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66925"/>
  <xr:revisionPtr revIDLastSave="0" documentId="13_ncr:1_{62C23F01-1F60-4764-BA70-B699A4FFE5AB}" xr6:coauthVersionLast="47" xr6:coauthVersionMax="47" xr10:uidLastSave="{00000000-0000-0000-0000-000000000000}"/>
  <bookViews>
    <workbookView xWindow="1710" yWindow="-120" windowWidth="27210" windowHeight="16440" tabRatio="775" xr2:uid="{3D3F88CA-975E-40FF-B177-14F49EFE2F45}"/>
  </bookViews>
  <sheets>
    <sheet name="Title page" sheetId="28" r:id="rId1"/>
    <sheet name="Cover" sheetId="1" r:id="rId2"/>
    <sheet name="Documentation" sheetId="3" r:id="rId3"/>
    <sheet name="Version log" sheetId="25" r:id="rId4"/>
    <sheet name="Dashboard" sheetId="2" r:id="rId5"/>
    <sheet name="Control panel" sheetId="23" r:id="rId6"/>
    <sheet name="Inpt&gt;" sheetId="4" r:id="rId7"/>
    <sheet name="Data" sheetId="5" r:id="rId8"/>
    <sheet name="Bus research" sheetId="24" r:id="rId9"/>
    <sheet name="Clcul.&gt;" sheetId="6" r:id="rId10"/>
    <sheet name="Route" sheetId="17" r:id="rId11"/>
    <sheet name="Diesel (BAU)" sheetId="7" r:id="rId12"/>
    <sheet name="RE Diesel" sheetId="8" r:id="rId13"/>
    <sheet name="H2 Blending" sheetId="9" r:id="rId14"/>
    <sheet name="Repowered" sheetId="14" r:id="rId15"/>
    <sheet name="BEB" sheetId="15" r:id="rId16"/>
    <sheet name="HFCB" sheetId="16" r:id="rId17"/>
    <sheet name="Otpt&gt;" sheetId="10" r:id="rId18"/>
    <sheet name="Results" sheetId="11" r:id="rId19"/>
    <sheet name="Sensitivity" sheetId="22" r:id="rId20"/>
    <sheet name="Graphs" sheetId="27" r:id="rId21"/>
  </sheets>
  <definedNames>
    <definedName name="_xlnm._FilterDatabase" localSheetId="8" hidden="1">'Bus research'!$A$85:$P$122</definedName>
    <definedName name="chart_proj_years">Dashboard!$H$24</definedName>
    <definedName name="chart_start_proj">Dashboard!$H$25</definedName>
    <definedName name="end_proj">#REF!</definedName>
    <definedName name="hist_years">#REF!</definedName>
    <definedName name="proj_set">#REF!</definedName>
    <definedName name="start_hist">#REF!</definedName>
    <definedName name="start_proj">#REF!</definedName>
    <definedName name="switch_proj_ccc">'Control panel'!#REF!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9" i="15" l="1"/>
  <c r="I225" i="15" s="1"/>
  <c r="I99" i="15"/>
  <c r="I102" i="15" s="1"/>
  <c r="G137" i="15"/>
  <c r="G143" i="15"/>
  <c r="G142" i="15"/>
  <c r="G141" i="15"/>
  <c r="G140" i="15"/>
  <c r="G139" i="15"/>
  <c r="H139" i="15" s="1"/>
  <c r="G138" i="15"/>
  <c r="G136" i="15"/>
  <c r="G135" i="15"/>
  <c r="G134" i="15"/>
  <c r="G133" i="15"/>
  <c r="G132" i="15"/>
  <c r="G131" i="15"/>
  <c r="G130" i="15"/>
  <c r="G129" i="15"/>
  <c r="G128" i="15"/>
  <c r="G100" i="14"/>
  <c r="G99" i="14"/>
  <c r="G98" i="14"/>
  <c r="G97" i="14"/>
  <c r="G96" i="14"/>
  <c r="H96" i="14" s="1"/>
  <c r="G95" i="14"/>
  <c r="G94" i="14"/>
  <c r="G93" i="14"/>
  <c r="G92" i="14"/>
  <c r="G91" i="14"/>
  <c r="G90" i="14"/>
  <c r="G89" i="14"/>
  <c r="G88" i="14"/>
  <c r="G87" i="14"/>
  <c r="G86" i="14"/>
  <c r="G85" i="14"/>
  <c r="G74" i="9"/>
  <c r="G73" i="9"/>
  <c r="G72" i="9"/>
  <c r="G71" i="9"/>
  <c r="G70" i="9"/>
  <c r="H70" i="9" s="1"/>
  <c r="G69" i="9"/>
  <c r="G68" i="9"/>
  <c r="G67" i="9"/>
  <c r="G66" i="9"/>
  <c r="G65" i="9"/>
  <c r="G64" i="9"/>
  <c r="G63" i="9"/>
  <c r="G62" i="9"/>
  <c r="G61" i="9"/>
  <c r="G60" i="9"/>
  <c r="G59" i="9"/>
  <c r="G82" i="8"/>
  <c r="G81" i="8"/>
  <c r="G80" i="8"/>
  <c r="G79" i="8"/>
  <c r="G78" i="8"/>
  <c r="H78" i="8" s="1"/>
  <c r="G77" i="8"/>
  <c r="G76" i="8"/>
  <c r="G75" i="8"/>
  <c r="G74" i="8"/>
  <c r="G73" i="8"/>
  <c r="G72" i="8"/>
  <c r="G71" i="8"/>
  <c r="G70" i="8"/>
  <c r="G69" i="8"/>
  <c r="G68" i="8"/>
  <c r="G67" i="8"/>
  <c r="H76" i="7"/>
  <c r="G83" i="7"/>
  <c r="G80" i="7"/>
  <c r="G79" i="7"/>
  <c r="G78" i="7"/>
  <c r="G77" i="7"/>
  <c r="G76" i="7"/>
  <c r="G75" i="7"/>
  <c r="G74" i="7"/>
  <c r="G73" i="7"/>
  <c r="G72" i="7"/>
  <c r="G71" i="7"/>
  <c r="G70" i="7"/>
  <c r="G69" i="7"/>
  <c r="G68" i="7"/>
  <c r="G67" i="7"/>
  <c r="G66" i="7"/>
  <c r="G65" i="7"/>
  <c r="G170" i="7"/>
  <c r="G250" i="7"/>
  <c r="G257" i="7"/>
  <c r="G255" i="7"/>
  <c r="AO82" i="22"/>
  <c r="AO81" i="22"/>
  <c r="AO80" i="22"/>
  <c r="AO79" i="22"/>
  <c r="AO87" i="22"/>
  <c r="AO98" i="22"/>
  <c r="AO99" i="22"/>
  <c r="AO100" i="22"/>
  <c r="AO97" i="22"/>
  <c r="AO92" i="22"/>
  <c r="AO93" i="22"/>
  <c r="AO94" i="22"/>
  <c r="AO95" i="22"/>
  <c r="AO85" i="22"/>
  <c r="AO86" i="22"/>
  <c r="AO84" i="22"/>
  <c r="AO73" i="22"/>
  <c r="AO74" i="22"/>
  <c r="AO75" i="22"/>
  <c r="AO72" i="22"/>
  <c r="AO68" i="22"/>
  <c r="AO69" i="22"/>
  <c r="AO70" i="22"/>
  <c r="AO67" i="22"/>
  <c r="AH98" i="22"/>
  <c r="AH99" i="22"/>
  <c r="AH100" i="22"/>
  <c r="AH97" i="22"/>
  <c r="AH92" i="22"/>
  <c r="AH93" i="22"/>
  <c r="AH94" i="22"/>
  <c r="AH95" i="22"/>
  <c r="AH85" i="22"/>
  <c r="AH86" i="22"/>
  <c r="AH87" i="22"/>
  <c r="AH84" i="22"/>
  <c r="AH79" i="22"/>
  <c r="AH80" i="22"/>
  <c r="AH81" i="22"/>
  <c r="AH82" i="22"/>
  <c r="AH73" i="22"/>
  <c r="AH74" i="22"/>
  <c r="AH75" i="22"/>
  <c r="AH72" i="22"/>
  <c r="AG72" i="22"/>
  <c r="AG73" i="22"/>
  <c r="AH67" i="22"/>
  <c r="AH68" i="22"/>
  <c r="AH69" i="22"/>
  <c r="AH70" i="22"/>
  <c r="N100" i="22"/>
  <c r="N97" i="22"/>
  <c r="N95" i="22"/>
  <c r="M95" i="22"/>
  <c r="M100" i="22"/>
  <c r="N99" i="22"/>
  <c r="M99" i="22"/>
  <c r="N98" i="22"/>
  <c r="M98" i="22"/>
  <c r="M97" i="22"/>
  <c r="N94" i="22"/>
  <c r="M94" i="22"/>
  <c r="N93" i="22"/>
  <c r="M93" i="22"/>
  <c r="N92" i="22"/>
  <c r="M92" i="22"/>
  <c r="N73" i="22"/>
  <c r="N74" i="22"/>
  <c r="N75" i="22"/>
  <c r="N72" i="22"/>
  <c r="N68" i="22"/>
  <c r="N69" i="22"/>
  <c r="N70" i="22"/>
  <c r="N67" i="22"/>
  <c r="G98" i="22"/>
  <c r="G99" i="22"/>
  <c r="G100" i="22"/>
  <c r="G97" i="22"/>
  <c r="G93" i="22"/>
  <c r="G94" i="22"/>
  <c r="G95" i="22"/>
  <c r="G92" i="22"/>
  <c r="G85" i="22"/>
  <c r="G86" i="22"/>
  <c r="G87" i="22"/>
  <c r="G84" i="22"/>
  <c r="G80" i="22"/>
  <c r="G81" i="22"/>
  <c r="G82" i="22"/>
  <c r="G79" i="22"/>
  <c r="G73" i="22"/>
  <c r="G74" i="22"/>
  <c r="G75" i="22"/>
  <c r="G72" i="22"/>
  <c r="G68" i="22"/>
  <c r="G69" i="22"/>
  <c r="G70" i="22"/>
  <c r="G67" i="22"/>
  <c r="F67" i="22"/>
  <c r="F84" i="22"/>
  <c r="M67" i="22"/>
  <c r="M68" i="22"/>
  <c r="M69" i="22"/>
  <c r="M70" i="22"/>
  <c r="F68" i="22"/>
  <c r="F69" i="22"/>
  <c r="F70" i="22"/>
  <c r="F73" i="22"/>
  <c r="F74" i="22"/>
  <c r="F75" i="22"/>
  <c r="F72" i="22"/>
  <c r="D66" i="22"/>
  <c r="E38" i="5"/>
  <c r="E37" i="5" s="1"/>
  <c r="E41" i="22"/>
  <c r="G78" i="2"/>
  <c r="N88" i="24"/>
  <c r="AB148" i="24"/>
  <c r="T91" i="24"/>
  <c r="E42" i="5" l="1"/>
  <c r="E40" i="5"/>
  <c r="E31" i="23"/>
  <c r="E30" i="23"/>
  <c r="E36" i="5"/>
  <c r="E35" i="5"/>
  <c r="I688" i="15" l="1"/>
  <c r="J688" i="15"/>
  <c r="K688" i="15"/>
  <c r="L688" i="15"/>
  <c r="M688" i="15"/>
  <c r="N688" i="15"/>
  <c r="O688" i="15"/>
  <c r="P688" i="15"/>
  <c r="Q688" i="15"/>
  <c r="R688" i="15"/>
  <c r="S688" i="15"/>
  <c r="U688" i="15"/>
  <c r="V688" i="15"/>
  <c r="W688" i="15"/>
  <c r="X688" i="15"/>
  <c r="Y688" i="15"/>
  <c r="Z688" i="15"/>
  <c r="AA688" i="15"/>
  <c r="AB688" i="15"/>
  <c r="AC688" i="15"/>
  <c r="AD688" i="15"/>
  <c r="AE688" i="15"/>
  <c r="AF688" i="15"/>
  <c r="AG688" i="15"/>
  <c r="AH688" i="15"/>
  <c r="AI688" i="15"/>
  <c r="AJ688" i="15"/>
  <c r="AK688" i="15"/>
  <c r="AL688" i="15"/>
  <c r="AM688" i="15"/>
  <c r="AN688" i="15"/>
  <c r="AO688" i="15"/>
  <c r="I689" i="15"/>
  <c r="J689" i="15"/>
  <c r="K689" i="15"/>
  <c r="L689" i="15"/>
  <c r="M689" i="15"/>
  <c r="N689" i="15"/>
  <c r="O689" i="15"/>
  <c r="P689" i="15"/>
  <c r="Q689" i="15"/>
  <c r="R689" i="15"/>
  <c r="S689" i="15"/>
  <c r="U689" i="15"/>
  <c r="V689" i="15"/>
  <c r="W689" i="15"/>
  <c r="X689" i="15"/>
  <c r="Y689" i="15"/>
  <c r="Z689" i="15"/>
  <c r="AA689" i="15"/>
  <c r="AB689" i="15"/>
  <c r="AC689" i="15"/>
  <c r="AD689" i="15"/>
  <c r="AE689" i="15"/>
  <c r="AF689" i="15"/>
  <c r="AG689" i="15"/>
  <c r="AH689" i="15"/>
  <c r="AI689" i="15"/>
  <c r="AJ689" i="15"/>
  <c r="AK689" i="15"/>
  <c r="AL689" i="15"/>
  <c r="AM689" i="15"/>
  <c r="AN689" i="15"/>
  <c r="AO689" i="15"/>
  <c r="H689" i="15"/>
  <c r="H688" i="15"/>
  <c r="E301" i="5"/>
  <c r="E315" i="5" s="1"/>
  <c r="E340" i="5"/>
  <c r="F10" i="27"/>
  <c r="G10" i="27"/>
  <c r="H10" i="27"/>
  <c r="I10" i="27"/>
  <c r="J10" i="27"/>
  <c r="K10" i="27"/>
  <c r="L10" i="27"/>
  <c r="M10" i="27"/>
  <c r="N10" i="27"/>
  <c r="O10" i="27"/>
  <c r="P10" i="27"/>
  <c r="Q10" i="27"/>
  <c r="R10" i="27"/>
  <c r="S10" i="27"/>
  <c r="T10" i="27"/>
  <c r="U10" i="27"/>
  <c r="V10" i="27"/>
  <c r="W10" i="27"/>
  <c r="X10" i="27"/>
  <c r="Y10" i="27"/>
  <c r="Z10" i="27"/>
  <c r="AA10" i="27"/>
  <c r="AB10" i="27"/>
  <c r="AC10" i="27"/>
  <c r="AD10" i="27"/>
  <c r="AE10" i="27"/>
  <c r="AF10" i="27"/>
  <c r="AG10" i="27"/>
  <c r="AH10" i="27"/>
  <c r="AI10" i="27"/>
  <c r="AJ10" i="27"/>
  <c r="AK10" i="27"/>
  <c r="AL10" i="27"/>
  <c r="F11" i="27"/>
  <c r="G11" i="27"/>
  <c r="H11" i="27"/>
  <c r="I11" i="27"/>
  <c r="J11" i="27"/>
  <c r="K11" i="27"/>
  <c r="L11" i="27"/>
  <c r="M11" i="27"/>
  <c r="N11" i="27"/>
  <c r="O11" i="27"/>
  <c r="P11" i="27"/>
  <c r="Q11" i="27"/>
  <c r="R11" i="27"/>
  <c r="S11" i="27"/>
  <c r="T11" i="27"/>
  <c r="U11" i="27"/>
  <c r="V11" i="27"/>
  <c r="W11" i="27"/>
  <c r="X11" i="27"/>
  <c r="Y11" i="27"/>
  <c r="Z11" i="27"/>
  <c r="AA11" i="27"/>
  <c r="AB11" i="27"/>
  <c r="AC11" i="27"/>
  <c r="AD11" i="27"/>
  <c r="AE11" i="27"/>
  <c r="AF11" i="27"/>
  <c r="AG11" i="27"/>
  <c r="AH11" i="27"/>
  <c r="AI11" i="27"/>
  <c r="AJ11" i="27"/>
  <c r="AK11" i="27"/>
  <c r="AL11" i="27"/>
  <c r="G12" i="27"/>
  <c r="H12" i="27"/>
  <c r="I12" i="27"/>
  <c r="J12" i="27"/>
  <c r="K12" i="27"/>
  <c r="L12" i="27"/>
  <c r="M12" i="27"/>
  <c r="N12" i="27"/>
  <c r="O12" i="27"/>
  <c r="P12" i="27"/>
  <c r="Q12" i="27"/>
  <c r="R12" i="27"/>
  <c r="S12" i="27"/>
  <c r="T12" i="27"/>
  <c r="U12" i="27"/>
  <c r="V12" i="27"/>
  <c r="W12" i="27"/>
  <c r="X12" i="27"/>
  <c r="Y12" i="27"/>
  <c r="Z12" i="27"/>
  <c r="AA12" i="27"/>
  <c r="AB12" i="27"/>
  <c r="AC12" i="27"/>
  <c r="AD12" i="27"/>
  <c r="AE12" i="27"/>
  <c r="AF12" i="27"/>
  <c r="AG12" i="27"/>
  <c r="AH12" i="27"/>
  <c r="AI12" i="27"/>
  <c r="AJ12" i="27"/>
  <c r="AK12" i="27"/>
  <c r="AL12" i="27"/>
  <c r="F13" i="27"/>
  <c r="G13" i="27"/>
  <c r="H13" i="27"/>
  <c r="I13" i="27"/>
  <c r="J13" i="27"/>
  <c r="K13" i="27"/>
  <c r="L13" i="27"/>
  <c r="M13" i="27"/>
  <c r="N13" i="27"/>
  <c r="O13" i="27"/>
  <c r="P13" i="27"/>
  <c r="Q13" i="27"/>
  <c r="R13" i="27"/>
  <c r="S13" i="27"/>
  <c r="T13" i="27"/>
  <c r="U13" i="27"/>
  <c r="V13" i="27"/>
  <c r="W13" i="27"/>
  <c r="X13" i="27"/>
  <c r="Y13" i="27"/>
  <c r="Z13" i="27"/>
  <c r="AA13" i="27"/>
  <c r="AB13" i="27"/>
  <c r="AC13" i="27"/>
  <c r="AD13" i="27"/>
  <c r="AE13" i="27"/>
  <c r="AF13" i="27"/>
  <c r="AG13" i="27"/>
  <c r="AH13" i="27"/>
  <c r="AI13" i="27"/>
  <c r="AJ13" i="27"/>
  <c r="AK13" i="27"/>
  <c r="AL13" i="27"/>
  <c r="E13" i="27"/>
  <c r="E11" i="27"/>
  <c r="E10" i="27"/>
  <c r="E9" i="27"/>
  <c r="F9" i="27" s="1"/>
  <c r="G9" i="27" s="1"/>
  <c r="H9" i="27" s="1"/>
  <c r="I9" i="27" s="1"/>
  <c r="J9" i="27" s="1"/>
  <c r="K9" i="27" s="1"/>
  <c r="L9" i="27" s="1"/>
  <c r="M9" i="27" s="1"/>
  <c r="N9" i="27" s="1"/>
  <c r="O9" i="27" s="1"/>
  <c r="P9" i="27" s="1"/>
  <c r="Q9" i="27" s="1"/>
  <c r="R9" i="27" s="1"/>
  <c r="S9" i="27" s="1"/>
  <c r="T9" i="27" s="1"/>
  <c r="U9" i="27" s="1"/>
  <c r="V9" i="27" s="1"/>
  <c r="W9" i="27" s="1"/>
  <c r="X9" i="27" s="1"/>
  <c r="Y9" i="27" s="1"/>
  <c r="Z9" i="27" s="1"/>
  <c r="AA9" i="27" s="1"/>
  <c r="AB9" i="27" s="1"/>
  <c r="AC9" i="27" s="1"/>
  <c r="AD9" i="27" s="1"/>
  <c r="AE9" i="27" s="1"/>
  <c r="AF9" i="27" s="1"/>
  <c r="AG9" i="27" s="1"/>
  <c r="AH9" i="27" s="1"/>
  <c r="AI9" i="27" s="1"/>
  <c r="AJ9" i="27" s="1"/>
  <c r="AK9" i="27" s="1"/>
  <c r="AL9" i="27" s="1"/>
  <c r="E318" i="5" l="1"/>
  <c r="E247" i="5" s="1"/>
  <c r="H11" i="24"/>
  <c r="I11" i="24" s="1"/>
  <c r="E42" i="22"/>
  <c r="E299" i="5"/>
  <c r="E298" i="5"/>
  <c r="E232" i="5"/>
  <c r="E231" i="5"/>
  <c r="E297" i="5"/>
  <c r="E251" i="5"/>
  <c r="E254" i="5" l="1"/>
  <c r="E235" i="5"/>
  <c r="E65" i="5"/>
  <c r="AM91" i="22"/>
  <c r="AM78" i="22"/>
  <c r="AM66" i="22"/>
  <c r="L91" i="22"/>
  <c r="L78" i="22"/>
  <c r="AF91" i="22"/>
  <c r="AF78" i="22"/>
  <c r="AF66" i="22"/>
  <c r="I54" i="17" l="1"/>
  <c r="J54" i="17"/>
  <c r="K54" i="17"/>
  <c r="L54" i="17"/>
  <c r="M54" i="17"/>
  <c r="N54" i="17"/>
  <c r="O54" i="17"/>
  <c r="P54" i="17"/>
  <c r="Q54" i="17"/>
  <c r="R54" i="17"/>
  <c r="T54" i="17"/>
  <c r="V54" i="17"/>
  <c r="W54" i="17"/>
  <c r="X54" i="17"/>
  <c r="Y54" i="17"/>
  <c r="Z54" i="17"/>
  <c r="AA54" i="17"/>
  <c r="AB54" i="17"/>
  <c r="AC54" i="17"/>
  <c r="AD54" i="17"/>
  <c r="AE54" i="17"/>
  <c r="AF54" i="17"/>
  <c r="AG54" i="17"/>
  <c r="AH54" i="17"/>
  <c r="AI54" i="17"/>
  <c r="AJ54" i="17"/>
  <c r="AK54" i="17"/>
  <c r="AL54" i="17"/>
  <c r="AM54" i="17"/>
  <c r="AN54" i="17"/>
  <c r="AO54" i="17"/>
  <c r="I105" i="15"/>
  <c r="L66" i="22"/>
  <c r="E66" i="22"/>
  <c r="I59" i="16" l="1"/>
  <c r="F159" i="24"/>
  <c r="F156" i="24"/>
  <c r="G156" i="24"/>
  <c r="H156" i="24"/>
  <c r="I156" i="24"/>
  <c r="J156" i="24"/>
  <c r="K156" i="24"/>
  <c r="L156" i="24"/>
  <c r="G159" i="24"/>
  <c r="H159" i="24"/>
  <c r="I159" i="24"/>
  <c r="J159" i="24"/>
  <c r="K159" i="24"/>
  <c r="L159" i="24"/>
  <c r="F162" i="24"/>
  <c r="G162" i="24"/>
  <c r="H162" i="24"/>
  <c r="I162" i="24"/>
  <c r="J162" i="24"/>
  <c r="K162" i="24"/>
  <c r="L162" i="24"/>
  <c r="M88" i="24"/>
  <c r="M99" i="24"/>
  <c r="M98" i="24"/>
  <c r="M87" i="24"/>
  <c r="E156" i="24"/>
  <c r="M141" i="24"/>
  <c r="E141" i="24"/>
  <c r="M91" i="24"/>
  <c r="T101" i="24"/>
  <c r="L157" i="24" s="1"/>
  <c r="T90" i="24"/>
  <c r="L158" i="24" s="1"/>
  <c r="V129" i="24"/>
  <c r="T99" i="24"/>
  <c r="T98" i="24"/>
  <c r="T102" i="24" s="1"/>
  <c r="T88" i="24"/>
  <c r="T87" i="24"/>
  <c r="T94" i="24"/>
  <c r="T110" i="24"/>
  <c r="F16" i="23"/>
  <c r="E16" i="23"/>
  <c r="F47" i="24"/>
  <c r="I46" i="24"/>
  <c r="I45" i="24"/>
  <c r="I47" i="24" s="1"/>
  <c r="G24" i="24"/>
  <c r="G25" i="24" s="1"/>
  <c r="L161" i="24" l="1"/>
  <c r="M101" i="24"/>
  <c r="E160" i="24" s="1"/>
  <c r="M90" i="24"/>
  <c r="E155" i="24" s="1"/>
  <c r="L155" i="24"/>
  <c r="E163" i="24"/>
  <c r="I48" i="24"/>
  <c r="E319" i="5" s="1"/>
  <c r="E248" i="5" s="1"/>
  <c r="E255" i="5" s="1"/>
  <c r="L160" i="24"/>
  <c r="L163" i="24"/>
  <c r="E389" i="5"/>
  <c r="E157" i="24"/>
  <c r="E161" i="24"/>
  <c r="D581" i="16"/>
  <c r="D315" i="16"/>
  <c r="D41" i="16"/>
  <c r="J619" i="16"/>
  <c r="K619" i="16"/>
  <c r="L619" i="16"/>
  <c r="M619" i="16"/>
  <c r="O619" i="16"/>
  <c r="P619" i="16"/>
  <c r="Q619" i="16"/>
  <c r="R619" i="16"/>
  <c r="V619" i="16"/>
  <c r="W619" i="16"/>
  <c r="X619" i="16"/>
  <c r="Y619" i="16"/>
  <c r="Z619" i="16"/>
  <c r="AA619" i="16"/>
  <c r="AB619" i="16"/>
  <c r="AC619" i="16"/>
  <c r="AD619" i="16"/>
  <c r="AE619" i="16"/>
  <c r="AF619" i="16"/>
  <c r="AG619" i="16"/>
  <c r="AH619" i="16"/>
  <c r="AI619" i="16"/>
  <c r="AJ619" i="16"/>
  <c r="AK619" i="16"/>
  <c r="AL619" i="16"/>
  <c r="AM619" i="16"/>
  <c r="AN619" i="16"/>
  <c r="AO619" i="16"/>
  <c r="I619" i="16"/>
  <c r="F619" i="16"/>
  <c r="J353" i="16"/>
  <c r="K353" i="16"/>
  <c r="L353" i="16"/>
  <c r="M353" i="16"/>
  <c r="O353" i="16"/>
  <c r="P353" i="16"/>
  <c r="Q353" i="16"/>
  <c r="R353" i="16"/>
  <c r="V353" i="16"/>
  <c r="W353" i="16"/>
  <c r="X353" i="16"/>
  <c r="Y353" i="16"/>
  <c r="Z353" i="16"/>
  <c r="AA353" i="16"/>
  <c r="AB353" i="16"/>
  <c r="AC353" i="16"/>
  <c r="AD353" i="16"/>
  <c r="AE353" i="16"/>
  <c r="AF353" i="16"/>
  <c r="AG353" i="16"/>
  <c r="AH353" i="16"/>
  <c r="AI353" i="16"/>
  <c r="AJ353" i="16"/>
  <c r="AK353" i="16"/>
  <c r="AL353" i="16"/>
  <c r="AM353" i="16"/>
  <c r="AN353" i="16"/>
  <c r="AO353" i="16"/>
  <c r="I353" i="16"/>
  <c r="F353" i="16"/>
  <c r="J79" i="16"/>
  <c r="K79" i="16"/>
  <c r="L79" i="16"/>
  <c r="M79" i="16"/>
  <c r="O79" i="16"/>
  <c r="P79" i="16"/>
  <c r="Q79" i="16"/>
  <c r="R79" i="16"/>
  <c r="V79" i="16"/>
  <c r="W79" i="16"/>
  <c r="X79" i="16"/>
  <c r="Y79" i="16"/>
  <c r="Z79" i="16"/>
  <c r="AA79" i="16"/>
  <c r="AB79" i="16"/>
  <c r="AC79" i="16"/>
  <c r="AD79" i="16"/>
  <c r="AE79" i="16"/>
  <c r="AF79" i="16"/>
  <c r="AG79" i="16"/>
  <c r="AH79" i="16"/>
  <c r="AI79" i="16"/>
  <c r="AJ79" i="16"/>
  <c r="AK79" i="16"/>
  <c r="AL79" i="16"/>
  <c r="AM79" i="16"/>
  <c r="AN79" i="16"/>
  <c r="AO79" i="16"/>
  <c r="I79" i="16"/>
  <c r="F79" i="16"/>
  <c r="U79" i="16" s="1"/>
  <c r="H176" i="16" s="1"/>
  <c r="H182" i="16" s="1"/>
  <c r="J746" i="15"/>
  <c r="K746" i="15"/>
  <c r="L746" i="15"/>
  <c r="M746" i="15"/>
  <c r="O746" i="15"/>
  <c r="P746" i="15"/>
  <c r="Q746" i="15"/>
  <c r="R746" i="15"/>
  <c r="V746" i="15"/>
  <c r="W746" i="15"/>
  <c r="X746" i="15"/>
  <c r="Y746" i="15"/>
  <c r="Z746" i="15"/>
  <c r="AA746" i="15"/>
  <c r="AB746" i="15"/>
  <c r="AC746" i="15"/>
  <c r="AD746" i="15"/>
  <c r="AE746" i="15"/>
  <c r="AF746" i="15"/>
  <c r="AG746" i="15"/>
  <c r="AH746" i="15"/>
  <c r="AI746" i="15"/>
  <c r="AJ746" i="15"/>
  <c r="AK746" i="15"/>
  <c r="AL746" i="15"/>
  <c r="AM746" i="15"/>
  <c r="AN746" i="15"/>
  <c r="AO746" i="15"/>
  <c r="AP746" i="15"/>
  <c r="I746" i="15"/>
  <c r="F746" i="15"/>
  <c r="N746" i="15" s="1"/>
  <c r="J428" i="15"/>
  <c r="K428" i="15"/>
  <c r="L428" i="15"/>
  <c r="M428" i="15"/>
  <c r="O428" i="15"/>
  <c r="Q428" i="15"/>
  <c r="R428" i="15"/>
  <c r="V428" i="15"/>
  <c r="W428" i="15"/>
  <c r="X428" i="15"/>
  <c r="Y428" i="15"/>
  <c r="Z428" i="15"/>
  <c r="AA428" i="15"/>
  <c r="AB428" i="15"/>
  <c r="AC428" i="15"/>
  <c r="AD428" i="15"/>
  <c r="AE428" i="15"/>
  <c r="AF428" i="15"/>
  <c r="AG428" i="15"/>
  <c r="AH428" i="15"/>
  <c r="AI428" i="15"/>
  <c r="AJ428" i="15"/>
  <c r="AK428" i="15"/>
  <c r="AL428" i="15"/>
  <c r="AM428" i="15"/>
  <c r="AN428" i="15"/>
  <c r="AO428" i="15"/>
  <c r="I428" i="15"/>
  <c r="F428" i="15"/>
  <c r="P428" i="15" s="1"/>
  <c r="J105" i="15"/>
  <c r="K105" i="15"/>
  <c r="L105" i="15"/>
  <c r="M105" i="15"/>
  <c r="N105" i="15"/>
  <c r="O105" i="15"/>
  <c r="P105" i="15"/>
  <c r="Q105" i="15"/>
  <c r="R105" i="15"/>
  <c r="V105" i="15"/>
  <c r="W105" i="15"/>
  <c r="X105" i="15"/>
  <c r="Y105" i="15"/>
  <c r="Z105" i="15"/>
  <c r="AA105" i="15"/>
  <c r="AB105" i="15"/>
  <c r="AC105" i="15"/>
  <c r="AD105" i="15"/>
  <c r="AE105" i="15"/>
  <c r="AF105" i="15"/>
  <c r="AG105" i="15"/>
  <c r="AH105" i="15"/>
  <c r="AI105" i="15"/>
  <c r="AJ105" i="15"/>
  <c r="AK105" i="15"/>
  <c r="AL105" i="15"/>
  <c r="AM105" i="15"/>
  <c r="AN105" i="15"/>
  <c r="AO105" i="15"/>
  <c r="F105" i="15"/>
  <c r="J353" i="14" a="1"/>
  <c r="J353" i="14" s="1"/>
  <c r="K353" i="14" a="1"/>
  <c r="K353" i="14" s="1"/>
  <c r="L353" i="14" a="1"/>
  <c r="L353" i="14" s="1"/>
  <c r="M353" i="14" a="1"/>
  <c r="M353" i="14" s="1"/>
  <c r="N353" i="14" a="1"/>
  <c r="N353" i="14" s="1"/>
  <c r="O353" i="14" a="1"/>
  <c r="O353" i="14" s="1"/>
  <c r="P353" i="14" a="1"/>
  <c r="P353" i="14" s="1"/>
  <c r="Q353" i="14" a="1"/>
  <c r="Q353" i="14" s="1"/>
  <c r="R353" i="14" a="1"/>
  <c r="R353" i="14" s="1"/>
  <c r="S353" i="14" a="1"/>
  <c r="S353" i="14" s="1"/>
  <c r="T353" i="14" a="1"/>
  <c r="T353" i="14" s="1"/>
  <c r="V353" i="14" a="1"/>
  <c r="V353" i="14" s="1"/>
  <c r="X353" i="14" a="1"/>
  <c r="X353" i="14" s="1"/>
  <c r="Y353" i="14" a="1"/>
  <c r="Y353" i="14" s="1"/>
  <c r="Z353" i="14" a="1"/>
  <c r="Z353" i="14" s="1"/>
  <c r="AA353" i="14" a="1"/>
  <c r="AA353" i="14" s="1"/>
  <c r="AB353" i="14" a="1"/>
  <c r="AB353" i="14" s="1"/>
  <c r="AD353" i="14" a="1"/>
  <c r="AD353" i="14" s="1"/>
  <c r="AE353" i="14" a="1"/>
  <c r="AE353" i="14" s="1"/>
  <c r="AF353" i="14" a="1"/>
  <c r="AF353" i="14" s="1"/>
  <c r="AG353" i="14" a="1"/>
  <c r="AG353" i="14" s="1"/>
  <c r="AH353" i="14" a="1"/>
  <c r="AH353" i="14" s="1"/>
  <c r="AI353" i="14" a="1"/>
  <c r="AI353" i="14" s="1"/>
  <c r="AJ353" i="14" a="1"/>
  <c r="AJ353" i="14" s="1"/>
  <c r="AK353" i="14" a="1"/>
  <c r="AK353" i="14" s="1"/>
  <c r="AL353" i="14" a="1"/>
  <c r="AL353" i="14" s="1"/>
  <c r="AM353" i="14" a="1"/>
  <c r="AM353" i="14" s="1"/>
  <c r="AN353" i="14" a="1"/>
  <c r="AN353" i="14" s="1"/>
  <c r="AO353" i="14" a="1"/>
  <c r="AO353" i="14" s="1"/>
  <c r="I353" i="14" a="1"/>
  <c r="I353" i="14" s="1"/>
  <c r="F353" i="14"/>
  <c r="W353" i="14" s="1" a="1"/>
  <c r="W353" i="14" s="1"/>
  <c r="J208" i="14" a="1"/>
  <c r="J208" i="14" s="1"/>
  <c r="K208" i="14" a="1"/>
  <c r="K208" i="14" s="1"/>
  <c r="L208" i="14" a="1"/>
  <c r="L208" i="14" s="1"/>
  <c r="M208" i="14" a="1"/>
  <c r="M208" i="14" s="1"/>
  <c r="N208" i="14" a="1"/>
  <c r="N208" i="14" s="1"/>
  <c r="O208" i="14" a="1"/>
  <c r="O208" i="14" s="1"/>
  <c r="P208" i="14" a="1"/>
  <c r="P208" i="14" s="1"/>
  <c r="Q208" i="14" a="1"/>
  <c r="Q208" i="14" s="1"/>
  <c r="R208" i="14" a="1"/>
  <c r="R208" i="14" s="1"/>
  <c r="S208" i="14" a="1"/>
  <c r="S208" i="14" s="1"/>
  <c r="T208" i="14" a="1"/>
  <c r="T208" i="14" s="1"/>
  <c r="V208" i="14" a="1"/>
  <c r="V208" i="14" s="1"/>
  <c r="X208" i="14" a="1"/>
  <c r="X208" i="14" s="1"/>
  <c r="Y208" i="14" a="1"/>
  <c r="Y208" i="14" s="1"/>
  <c r="Z208" i="14" a="1"/>
  <c r="Z208" i="14" s="1"/>
  <c r="AA208" i="14" a="1"/>
  <c r="AA208" i="14" s="1"/>
  <c r="AB208" i="14" a="1"/>
  <c r="AB208" i="14" s="1"/>
  <c r="AD208" i="14" a="1"/>
  <c r="AD208" i="14" s="1"/>
  <c r="AE208" i="14" a="1"/>
  <c r="AE208" i="14" s="1"/>
  <c r="AF208" i="14" a="1"/>
  <c r="AF208" i="14" s="1"/>
  <c r="AG208" i="14" a="1"/>
  <c r="AG208" i="14" s="1"/>
  <c r="AH208" i="14" a="1"/>
  <c r="AH208" i="14" s="1"/>
  <c r="AI208" i="14" a="1"/>
  <c r="AI208" i="14" s="1"/>
  <c r="AJ208" i="14" a="1"/>
  <c r="AJ208" i="14" s="1"/>
  <c r="AK208" i="14" a="1"/>
  <c r="AK208" i="14" s="1"/>
  <c r="AL208" i="14" a="1"/>
  <c r="AL208" i="14" s="1"/>
  <c r="AM208" i="14" a="1"/>
  <c r="AM208" i="14" s="1"/>
  <c r="AN208" i="14" a="1"/>
  <c r="AN208" i="14" s="1"/>
  <c r="AO208" i="14" a="1"/>
  <c r="AO208" i="14" s="1"/>
  <c r="I208" i="14" a="1"/>
  <c r="I208" i="14" s="1"/>
  <c r="F208" i="14"/>
  <c r="W208" i="14" s="1" a="1"/>
  <c r="W208" i="14" s="1"/>
  <c r="J66" i="14" a="1"/>
  <c r="J66" i="14" s="1"/>
  <c r="K66" i="14" a="1"/>
  <c r="K66" i="14" s="1"/>
  <c r="L66" i="14" a="1"/>
  <c r="L66" i="14" s="1"/>
  <c r="M66" i="14" a="1"/>
  <c r="M66" i="14" s="1"/>
  <c r="N66" i="14" a="1"/>
  <c r="N66" i="14" s="1"/>
  <c r="O66" i="14" a="1"/>
  <c r="O66" i="14" s="1"/>
  <c r="P66" i="14" a="1"/>
  <c r="P66" i="14" s="1"/>
  <c r="Q66" i="14" a="1"/>
  <c r="Q66" i="14" s="1"/>
  <c r="R66" i="14" a="1"/>
  <c r="R66" i="14" s="1"/>
  <c r="S66" i="14" a="1"/>
  <c r="S66" i="14" s="1"/>
  <c r="T66" i="14" a="1"/>
  <c r="T66" i="14" s="1"/>
  <c r="V66" i="14" a="1"/>
  <c r="V66" i="14" s="1"/>
  <c r="X66" i="14" a="1"/>
  <c r="X66" i="14" s="1"/>
  <c r="Y66" i="14" a="1"/>
  <c r="Y66" i="14" s="1"/>
  <c r="Z66" i="14" a="1"/>
  <c r="Z66" i="14" s="1"/>
  <c r="AA66" i="14" a="1"/>
  <c r="AA66" i="14" s="1"/>
  <c r="AB66" i="14" a="1"/>
  <c r="AB66" i="14" s="1"/>
  <c r="AD66" i="14" a="1"/>
  <c r="AD66" i="14" s="1"/>
  <c r="AE66" i="14" a="1"/>
  <c r="AE66" i="14" s="1"/>
  <c r="AF66" i="14" a="1"/>
  <c r="AF66" i="14" s="1"/>
  <c r="AG66" i="14" a="1"/>
  <c r="AG66" i="14" s="1"/>
  <c r="AH66" i="14" a="1"/>
  <c r="AH66" i="14" s="1"/>
  <c r="AI66" i="14" a="1"/>
  <c r="AI66" i="14" s="1"/>
  <c r="AJ66" i="14" a="1"/>
  <c r="AJ66" i="14" s="1"/>
  <c r="AK66" i="14" a="1"/>
  <c r="AK66" i="14" s="1"/>
  <c r="AL66" i="14" a="1"/>
  <c r="AL66" i="14" s="1"/>
  <c r="AM66" i="14" a="1"/>
  <c r="AM66" i="14" s="1"/>
  <c r="AN66" i="14" a="1"/>
  <c r="AN66" i="14" s="1"/>
  <c r="AO66" i="14" a="1"/>
  <c r="AO66" i="14" s="1"/>
  <c r="I66" i="14" a="1"/>
  <c r="I66" i="14" s="1"/>
  <c r="F66" i="14"/>
  <c r="W66" i="14" s="1" a="1"/>
  <c r="W66" i="14" s="1"/>
  <c r="E288" i="5"/>
  <c r="J229" i="8"/>
  <c r="K229" i="8"/>
  <c r="L229" i="8"/>
  <c r="M229" i="8"/>
  <c r="O229" i="8"/>
  <c r="P229" i="8"/>
  <c r="R229" i="8"/>
  <c r="V229" i="8"/>
  <c r="W229" i="8"/>
  <c r="X229" i="8"/>
  <c r="Y229" i="8"/>
  <c r="Z229" i="8"/>
  <c r="AA229" i="8"/>
  <c r="AB229" i="8"/>
  <c r="AC229" i="8"/>
  <c r="AD229" i="8"/>
  <c r="AE229" i="8"/>
  <c r="AF229" i="8"/>
  <c r="AG229" i="8"/>
  <c r="AH229" i="8"/>
  <c r="AI229" i="8"/>
  <c r="AJ229" i="8"/>
  <c r="AK229" i="8"/>
  <c r="AL229" i="8"/>
  <c r="AM229" i="8"/>
  <c r="AN229" i="8"/>
  <c r="AO229" i="8"/>
  <c r="I229" i="8"/>
  <c r="F229" i="8"/>
  <c r="N229" i="8" s="1"/>
  <c r="J139" i="8"/>
  <c r="K139" i="8"/>
  <c r="L139" i="8"/>
  <c r="M139" i="8"/>
  <c r="N139" i="8"/>
  <c r="O139" i="8"/>
  <c r="R139" i="8"/>
  <c r="V139" i="8"/>
  <c r="W139" i="8"/>
  <c r="X139" i="8"/>
  <c r="Y139" i="8"/>
  <c r="Z139" i="8"/>
  <c r="AA139" i="8"/>
  <c r="AB139" i="8"/>
  <c r="AC139" i="8"/>
  <c r="AD139" i="8"/>
  <c r="AE139" i="8"/>
  <c r="AF139" i="8"/>
  <c r="AG139" i="8"/>
  <c r="AH139" i="8"/>
  <c r="AI139" i="8"/>
  <c r="AJ139" i="8"/>
  <c r="AK139" i="8"/>
  <c r="AL139" i="8"/>
  <c r="AM139" i="8"/>
  <c r="AN139" i="8"/>
  <c r="AO139" i="8"/>
  <c r="I139" i="8"/>
  <c r="F139" i="8"/>
  <c r="P139" i="8" s="1"/>
  <c r="J48" i="8"/>
  <c r="K48" i="8"/>
  <c r="L48" i="8"/>
  <c r="M48" i="8"/>
  <c r="N48" i="8"/>
  <c r="O48" i="8"/>
  <c r="P48" i="8"/>
  <c r="R48" i="8"/>
  <c r="V48" i="8"/>
  <c r="W48" i="8"/>
  <c r="X48" i="8"/>
  <c r="Y48" i="8"/>
  <c r="Z48" i="8"/>
  <c r="AA48" i="8"/>
  <c r="AB48" i="8"/>
  <c r="AC48" i="8"/>
  <c r="AD48" i="8"/>
  <c r="AE48" i="8"/>
  <c r="AF48" i="8"/>
  <c r="AG48" i="8"/>
  <c r="AH48" i="8"/>
  <c r="AI48" i="8"/>
  <c r="AJ48" i="8"/>
  <c r="AK48" i="8"/>
  <c r="AL48" i="8"/>
  <c r="AM48" i="8"/>
  <c r="AN48" i="8"/>
  <c r="AO48" i="8"/>
  <c r="I48" i="8"/>
  <c r="F48" i="8"/>
  <c r="J218" i="9"/>
  <c r="K218" i="9"/>
  <c r="L218" i="9"/>
  <c r="M218" i="9"/>
  <c r="O218" i="9"/>
  <c r="P218" i="9"/>
  <c r="Q218" i="9"/>
  <c r="R218" i="9"/>
  <c r="T218" i="9"/>
  <c r="V218" i="9"/>
  <c r="W218" i="9"/>
  <c r="X218" i="9"/>
  <c r="Y218" i="9"/>
  <c r="Z218" i="9"/>
  <c r="AA218" i="9"/>
  <c r="AB218" i="9"/>
  <c r="AC218" i="9"/>
  <c r="AD218" i="9"/>
  <c r="AE218" i="9"/>
  <c r="AF218" i="9"/>
  <c r="AG218" i="9"/>
  <c r="AH218" i="9"/>
  <c r="AI218" i="9"/>
  <c r="AJ218" i="9"/>
  <c r="AK218" i="9"/>
  <c r="AL218" i="9"/>
  <c r="AM218" i="9"/>
  <c r="AN218" i="9"/>
  <c r="AO218" i="9"/>
  <c r="I218" i="9"/>
  <c r="F218" i="9"/>
  <c r="N218" i="9" s="1"/>
  <c r="I130" i="9"/>
  <c r="J130" i="9"/>
  <c r="K130" i="9"/>
  <c r="L130" i="9"/>
  <c r="M130" i="9"/>
  <c r="O130" i="9"/>
  <c r="V130" i="9"/>
  <c r="W130" i="9"/>
  <c r="X130" i="9"/>
  <c r="Y130" i="9"/>
  <c r="Z130" i="9"/>
  <c r="AA130" i="9"/>
  <c r="AB130" i="9"/>
  <c r="AC130" i="9"/>
  <c r="AD130" i="9"/>
  <c r="AE130" i="9"/>
  <c r="AF130" i="9"/>
  <c r="AG130" i="9"/>
  <c r="AH130" i="9"/>
  <c r="AI130" i="9"/>
  <c r="AJ130" i="9"/>
  <c r="AK130" i="9"/>
  <c r="AL130" i="9"/>
  <c r="AM130" i="9"/>
  <c r="AN130" i="9"/>
  <c r="AO130" i="9"/>
  <c r="J42" i="9"/>
  <c r="K42" i="9"/>
  <c r="L42" i="9"/>
  <c r="M42" i="9"/>
  <c r="N42" i="9"/>
  <c r="O42" i="9"/>
  <c r="P42" i="9"/>
  <c r="Q42" i="9"/>
  <c r="R42" i="9"/>
  <c r="V42" i="9"/>
  <c r="W42" i="9"/>
  <c r="X42" i="9"/>
  <c r="Y42" i="9"/>
  <c r="Z42" i="9"/>
  <c r="AA42" i="9"/>
  <c r="AB42" i="9"/>
  <c r="AC42" i="9"/>
  <c r="AD42" i="9"/>
  <c r="AE42" i="9"/>
  <c r="AF42" i="9"/>
  <c r="AG42" i="9"/>
  <c r="AH42" i="9"/>
  <c r="AI42" i="9"/>
  <c r="AJ42" i="9"/>
  <c r="AK42" i="9"/>
  <c r="AL42" i="9"/>
  <c r="AM42" i="9"/>
  <c r="AN42" i="9"/>
  <c r="AO42" i="9"/>
  <c r="I42" i="9"/>
  <c r="F130" i="9"/>
  <c r="R130" i="9" s="1"/>
  <c r="F42" i="9"/>
  <c r="U42" i="9" s="1"/>
  <c r="E99" i="5"/>
  <c r="E100" i="5"/>
  <c r="E101" i="5"/>
  <c r="Q48" i="8" s="1"/>
  <c r="E60" i="5"/>
  <c r="AN61" i="5" s="1"/>
  <c r="E74" i="5"/>
  <c r="E64" i="5"/>
  <c r="E59" i="5"/>
  <c r="F91" i="17"/>
  <c r="D73" i="2"/>
  <c r="H705" i="15"/>
  <c r="D703" i="15"/>
  <c r="D385" i="15"/>
  <c r="D62" i="15"/>
  <c r="H387" i="15"/>
  <c r="F314" i="14"/>
  <c r="F315" i="14"/>
  <c r="F313" i="14"/>
  <c r="E327" i="14"/>
  <c r="F170" i="14"/>
  <c r="F171" i="14"/>
  <c r="F169" i="14"/>
  <c r="F29" i="14"/>
  <c r="E182" i="14"/>
  <c r="E40" i="14"/>
  <c r="AE183" i="14"/>
  <c r="AC40" i="14"/>
  <c r="AC41" i="14" s="1"/>
  <c r="AD40" i="14"/>
  <c r="AD41" i="14" s="1"/>
  <c r="AE40" i="14"/>
  <c r="AE41" i="14" s="1"/>
  <c r="AF40" i="14"/>
  <c r="AG40" i="14"/>
  <c r="AH40" i="14"/>
  <c r="AI40" i="14"/>
  <c r="AJ40" i="14"/>
  <c r="AK40" i="14"/>
  <c r="AL40" i="14"/>
  <c r="AM40" i="14"/>
  <c r="AN40" i="14"/>
  <c r="AO40" i="14"/>
  <c r="H40" i="15"/>
  <c r="F31" i="14"/>
  <c r="F30" i="14"/>
  <c r="AC297" i="14"/>
  <c r="AC327" i="14" s="1"/>
  <c r="AD297" i="14"/>
  <c r="AD327" i="14" s="1"/>
  <c r="AE297" i="14"/>
  <c r="AE327" i="14" s="1"/>
  <c r="AF297" i="14"/>
  <c r="AF327" i="14" s="1"/>
  <c r="AG297" i="14"/>
  <c r="AG327" i="14" s="1"/>
  <c r="AH297" i="14"/>
  <c r="AH327" i="14" s="1"/>
  <c r="AI297" i="14"/>
  <c r="AI327" i="14" s="1"/>
  <c r="AJ297" i="14"/>
  <c r="AJ327" i="14" s="1"/>
  <c r="AK297" i="14"/>
  <c r="AK327" i="14" s="1"/>
  <c r="AL297" i="14"/>
  <c r="AL327" i="14" s="1"/>
  <c r="AM297" i="14"/>
  <c r="AM327" i="14" s="1"/>
  <c r="AN297" i="14"/>
  <c r="AN327" i="14" s="1"/>
  <c r="AO297" i="14"/>
  <c r="AO327" i="14" s="1"/>
  <c r="AC154" i="14"/>
  <c r="AC182" i="14" s="1"/>
  <c r="AC183" i="14" s="1"/>
  <c r="AD154" i="14"/>
  <c r="AD182" i="14" s="1"/>
  <c r="AD183" i="14" s="1"/>
  <c r="AE154" i="14"/>
  <c r="AF154" i="14"/>
  <c r="AG154" i="14"/>
  <c r="AH154" i="14"/>
  <c r="AI154" i="14"/>
  <c r="AJ154" i="14"/>
  <c r="AK154" i="14"/>
  <c r="AL154" i="14"/>
  <c r="AM154" i="14"/>
  <c r="AN154" i="14"/>
  <c r="AO154" i="14"/>
  <c r="I86" i="15"/>
  <c r="E333" i="5"/>
  <c r="E332" i="5" s="1"/>
  <c r="E268" i="5" s="1"/>
  <c r="H26" i="2"/>
  <c r="S139" i="8" l="1"/>
  <c r="U619" i="16"/>
  <c r="H710" i="16" s="1"/>
  <c r="H713" i="16" s="1"/>
  <c r="U218" i="9"/>
  <c r="U105" i="15"/>
  <c r="H223" i="15" s="1"/>
  <c r="H228" i="15" s="1"/>
  <c r="U353" i="16"/>
  <c r="H444" i="16" s="1"/>
  <c r="H447" i="16" s="1"/>
  <c r="U48" i="8"/>
  <c r="U746" i="15"/>
  <c r="H862" i="15" s="1"/>
  <c r="H865" i="15" s="1"/>
  <c r="U229" i="8"/>
  <c r="U130" i="9"/>
  <c r="U139" i="8"/>
  <c r="U428" i="15"/>
  <c r="H544" i="15" s="1"/>
  <c r="H547" i="15" s="1"/>
  <c r="S130" i="9"/>
  <c r="S428" i="15"/>
  <c r="S746" i="15"/>
  <c r="S79" i="16"/>
  <c r="S229" i="8"/>
  <c r="S218" i="9"/>
  <c r="S48" i="8"/>
  <c r="T42" i="9"/>
  <c r="S54" i="17"/>
  <c r="S42" i="9"/>
  <c r="E158" i="24"/>
  <c r="S105" i="15"/>
  <c r="S353" i="16"/>
  <c r="S619" i="16"/>
  <c r="T229" i="8"/>
  <c r="T105" i="15"/>
  <c r="T79" i="16"/>
  <c r="T353" i="16"/>
  <c r="T619" i="16"/>
  <c r="T48" i="8"/>
  <c r="T746" i="15"/>
  <c r="T130" i="9"/>
  <c r="T139" i="8"/>
  <c r="T428" i="15"/>
  <c r="N79" i="16"/>
  <c r="N619" i="16"/>
  <c r="N353" i="16"/>
  <c r="N130" i="9"/>
  <c r="N428" i="15"/>
  <c r="P130" i="9"/>
  <c r="Q139" i="8"/>
  <c r="Q130" i="9"/>
  <c r="Q229" i="8"/>
  <c r="I61" i="5"/>
  <c r="Q171" i="14"/>
  <c r="AD185" i="14"/>
  <c r="AC185" i="14"/>
  <c r="AC43" i="14"/>
  <c r="AD43" i="14"/>
  <c r="AG847" i="15"/>
  <c r="AO847" i="15"/>
  <c r="AH529" i="15"/>
  <c r="AO396" i="15"/>
  <c r="AL208" i="15"/>
  <c r="AO208" i="15"/>
  <c r="AH208" i="15"/>
  <c r="AL847" i="15"/>
  <c r="AH847" i="15"/>
  <c r="AI529" i="15"/>
  <c r="AN208" i="15"/>
  <c r="AC847" i="15"/>
  <c r="AL529" i="15"/>
  <c r="AE529" i="15"/>
  <c r="AI847" i="15"/>
  <c r="AO714" i="15"/>
  <c r="AJ529" i="15"/>
  <c r="AJ847" i="15"/>
  <c r="AC529" i="15"/>
  <c r="AK529" i="15"/>
  <c r="AC208" i="15"/>
  <c r="AO73" i="15"/>
  <c r="AK847" i="15"/>
  <c r="AM529" i="15"/>
  <c r="AE847" i="15"/>
  <c r="AM847" i="15"/>
  <c r="AF529" i="15"/>
  <c r="AN529" i="15"/>
  <c r="AJ208" i="15"/>
  <c r="AN847" i="15"/>
  <c r="AO529" i="15"/>
  <c r="AD529" i="15"/>
  <c r="AI208" i="15"/>
  <c r="AF847" i="15"/>
  <c r="AG529" i="15"/>
  <c r="AK208" i="15"/>
  <c r="AD847" i="15"/>
  <c r="AG208" i="15"/>
  <c r="AF208" i="15"/>
  <c r="AM208" i="15"/>
  <c r="AE208" i="15"/>
  <c r="AD208" i="15"/>
  <c r="I28" i="24"/>
  <c r="I32" i="24" s="1"/>
  <c r="I29" i="24"/>
  <c r="I37" i="24" s="1"/>
  <c r="H64" i="15"/>
  <c r="E245" i="5" l="1"/>
  <c r="E252" i="5" s="1"/>
  <c r="E316" i="5"/>
  <c r="C964" i="15"/>
  <c r="C646" i="15"/>
  <c r="AC693" i="16"/>
  <c r="AD693" i="16"/>
  <c r="AE693" i="16"/>
  <c r="AF693" i="16"/>
  <c r="AG693" i="16"/>
  <c r="AH693" i="16"/>
  <c r="AI693" i="16"/>
  <c r="AJ693" i="16"/>
  <c r="AK693" i="16"/>
  <c r="AL693" i="16"/>
  <c r="AM693" i="16"/>
  <c r="AN693" i="16"/>
  <c r="AO693" i="16"/>
  <c r="AC427" i="16"/>
  <c r="AD427" i="16"/>
  <c r="AE427" i="16"/>
  <c r="AF427" i="16"/>
  <c r="AG427" i="16"/>
  <c r="AH427" i="16"/>
  <c r="AI427" i="16"/>
  <c r="AJ427" i="16"/>
  <c r="AK427" i="16"/>
  <c r="AL427" i="16"/>
  <c r="AM427" i="16"/>
  <c r="AN427" i="16"/>
  <c r="AO427" i="16"/>
  <c r="AC156" i="16"/>
  <c r="AD156" i="16"/>
  <c r="AE156" i="16"/>
  <c r="AF156" i="16"/>
  <c r="AG156" i="16"/>
  <c r="AH156" i="16"/>
  <c r="AI156" i="16"/>
  <c r="AJ156" i="16"/>
  <c r="AK156" i="16"/>
  <c r="AL156" i="16"/>
  <c r="AM156" i="16"/>
  <c r="AN156" i="16"/>
  <c r="AO156" i="16"/>
  <c r="AC839" i="15"/>
  <c r="AD839" i="15"/>
  <c r="AE839" i="15"/>
  <c r="AF839" i="15"/>
  <c r="AG839" i="15"/>
  <c r="AH839" i="15"/>
  <c r="AI839" i="15"/>
  <c r="AJ839" i="15"/>
  <c r="AK839" i="15"/>
  <c r="AL839" i="15"/>
  <c r="AM839" i="15"/>
  <c r="AN839" i="15"/>
  <c r="AO839" i="15"/>
  <c r="AC836" i="15"/>
  <c r="AD836" i="15"/>
  <c r="AE836" i="15"/>
  <c r="AF836" i="15"/>
  <c r="AG836" i="15"/>
  <c r="AH836" i="15"/>
  <c r="AI836" i="15"/>
  <c r="AJ836" i="15"/>
  <c r="AK836" i="15"/>
  <c r="AL836" i="15"/>
  <c r="AM836" i="15"/>
  <c r="AN836" i="15"/>
  <c r="AO836" i="15"/>
  <c r="F838" i="15"/>
  <c r="AC521" i="15"/>
  <c r="AD521" i="15"/>
  <c r="AE521" i="15"/>
  <c r="AF521" i="15"/>
  <c r="AG521" i="15"/>
  <c r="AH521" i="15"/>
  <c r="AI521" i="15"/>
  <c r="AJ521" i="15"/>
  <c r="AK521" i="15"/>
  <c r="AL521" i="15"/>
  <c r="AM521" i="15"/>
  <c r="AN521" i="15"/>
  <c r="AO521" i="15"/>
  <c r="AC518" i="15"/>
  <c r="AD518" i="15"/>
  <c r="AE518" i="15"/>
  <c r="AF518" i="15"/>
  <c r="AG518" i="15"/>
  <c r="AH518" i="15"/>
  <c r="AI518" i="15"/>
  <c r="AJ518" i="15"/>
  <c r="AK518" i="15"/>
  <c r="AL518" i="15"/>
  <c r="AM518" i="15"/>
  <c r="AN518" i="15"/>
  <c r="AO518" i="15"/>
  <c r="F520" i="15"/>
  <c r="F199" i="15"/>
  <c r="AC200" i="15"/>
  <c r="AD200" i="15"/>
  <c r="AE200" i="15"/>
  <c r="AF200" i="15"/>
  <c r="AG200" i="15"/>
  <c r="AH200" i="15"/>
  <c r="AI200" i="15"/>
  <c r="AJ200" i="15"/>
  <c r="AK200" i="15"/>
  <c r="AL200" i="15"/>
  <c r="AM200" i="15"/>
  <c r="AN200" i="15"/>
  <c r="AO200" i="15"/>
  <c r="AC197" i="15"/>
  <c r="AD197" i="15"/>
  <c r="AE197" i="15"/>
  <c r="AF197" i="15"/>
  <c r="AG197" i="15"/>
  <c r="AH197" i="15"/>
  <c r="AI197" i="15"/>
  <c r="AJ197" i="15"/>
  <c r="AK197" i="15"/>
  <c r="AL197" i="15"/>
  <c r="AM197" i="15"/>
  <c r="AN197" i="15"/>
  <c r="AO197" i="15"/>
  <c r="H140" i="7"/>
  <c r="N98" i="24"/>
  <c r="N101" i="24" s="1"/>
  <c r="O98" i="24"/>
  <c r="O101" i="24" s="1"/>
  <c r="P98" i="24"/>
  <c r="P101" i="24" s="1"/>
  <c r="Q98" i="24"/>
  <c r="Q101" i="24" s="1"/>
  <c r="R98" i="24"/>
  <c r="R101" i="24" s="1"/>
  <c r="S98" i="24"/>
  <c r="S101" i="24" s="1"/>
  <c r="N87" i="24"/>
  <c r="N90" i="24" s="1"/>
  <c r="O87" i="24"/>
  <c r="O90" i="24" s="1"/>
  <c r="P87" i="24"/>
  <c r="P90" i="24" s="1"/>
  <c r="Q87" i="24"/>
  <c r="Q90" i="24" s="1"/>
  <c r="R87" i="24"/>
  <c r="R90" i="24" s="1"/>
  <c r="S87" i="24"/>
  <c r="S90" i="24" s="1"/>
  <c r="T115" i="24"/>
  <c r="H160" i="24" l="1"/>
  <c r="H157" i="24"/>
  <c r="H163" i="24"/>
  <c r="I155" i="24"/>
  <c r="I161" i="24"/>
  <c r="I158" i="24"/>
  <c r="J158" i="24"/>
  <c r="J155" i="24"/>
  <c r="J161" i="24"/>
  <c r="H155" i="24"/>
  <c r="H161" i="24"/>
  <c r="H158" i="24"/>
  <c r="F160" i="24"/>
  <c r="F157" i="24"/>
  <c r="F163" i="24"/>
  <c r="K158" i="24"/>
  <c r="K155" i="24"/>
  <c r="K161" i="24"/>
  <c r="G155" i="24"/>
  <c r="G161" i="24"/>
  <c r="G158" i="24"/>
  <c r="G160" i="24"/>
  <c r="G157" i="24"/>
  <c r="G163" i="24"/>
  <c r="F158" i="24"/>
  <c r="F155" i="24"/>
  <c r="F161" i="24"/>
  <c r="I157" i="24"/>
  <c r="I163" i="24"/>
  <c r="I160" i="24"/>
  <c r="K157" i="24"/>
  <c r="K163" i="24"/>
  <c r="K160" i="24"/>
  <c r="J157" i="24"/>
  <c r="J163" i="24"/>
  <c r="J160" i="24"/>
  <c r="H158" i="14"/>
  <c r="I158" i="14" s="1"/>
  <c r="J158" i="14" s="1"/>
  <c r="K158" i="14" s="1"/>
  <c r="L158" i="14" s="1"/>
  <c r="M158" i="14" s="1"/>
  <c r="N158" i="14" s="1"/>
  <c r="O158" i="14" s="1"/>
  <c r="P158" i="14" s="1"/>
  <c r="Q158" i="14" s="1"/>
  <c r="H301" i="14"/>
  <c r="I301" i="14" s="1"/>
  <c r="J301" i="14" s="1"/>
  <c r="K301" i="14" s="1"/>
  <c r="L301" i="14" s="1"/>
  <c r="M301" i="14" s="1"/>
  <c r="N301" i="14" s="1"/>
  <c r="O301" i="14" s="1"/>
  <c r="P301" i="14" s="1"/>
  <c r="Q301" i="14" s="1"/>
  <c r="H17" i="14"/>
  <c r="I17" i="14" s="1"/>
  <c r="J17" i="14" s="1"/>
  <c r="AL865" i="15"/>
  <c r="AO865" i="15"/>
  <c r="AI547" i="15"/>
  <c r="AD865" i="15"/>
  <c r="AJ547" i="15"/>
  <c r="AM865" i="15"/>
  <c r="AE865" i="15"/>
  <c r="AG865" i="15"/>
  <c r="AM547" i="15"/>
  <c r="AE547" i="15"/>
  <c r="AH865" i="15"/>
  <c r="AO228" i="15"/>
  <c r="AG228" i="15"/>
  <c r="AK547" i="15"/>
  <c r="AN865" i="15"/>
  <c r="AF865" i="15"/>
  <c r="AK865" i="15"/>
  <c r="AO547" i="15"/>
  <c r="AJ865" i="15"/>
  <c r="AN547" i="15"/>
  <c r="AF547" i="15"/>
  <c r="AI865" i="15"/>
  <c r="AG547" i="15"/>
  <c r="AH547" i="15"/>
  <c r="AL547" i="15"/>
  <c r="AD547" i="15"/>
  <c r="AI228" i="15"/>
  <c r="AN228" i="15"/>
  <c r="AF228" i="15"/>
  <c r="AM228" i="15"/>
  <c r="AE228" i="15"/>
  <c r="AK228" i="15"/>
  <c r="AJ228" i="15"/>
  <c r="AL228" i="15"/>
  <c r="AD228" i="15"/>
  <c r="AH228" i="15"/>
  <c r="R301" i="14" l="1"/>
  <c r="S301" i="14" s="1"/>
  <c r="T301" i="14" s="1"/>
  <c r="U301" i="14" s="1"/>
  <c r="V301" i="14" s="1"/>
  <c r="W301" i="14" s="1"/>
  <c r="X301" i="14" s="1"/>
  <c r="Y301" i="14" s="1"/>
  <c r="Z301" i="14" s="1"/>
  <c r="AA301" i="14" s="1"/>
  <c r="AB301" i="14" s="1"/>
  <c r="AC301" i="14" s="1"/>
  <c r="Q313" i="14"/>
  <c r="R158" i="14"/>
  <c r="S158" i="14" s="1"/>
  <c r="T158" i="14" s="1"/>
  <c r="U158" i="14" s="1"/>
  <c r="V158" i="14" s="1"/>
  <c r="W158" i="14" s="1"/>
  <c r="X158" i="14" s="1"/>
  <c r="Y158" i="14" s="1"/>
  <c r="Z158" i="14" s="1"/>
  <c r="AA158" i="14" s="1"/>
  <c r="AB158" i="14" s="1"/>
  <c r="AC158" i="14" s="1"/>
  <c r="Q169" i="14"/>
  <c r="K17" i="14"/>
  <c r="H10" i="24"/>
  <c r="G69" i="5"/>
  <c r="E12" i="27" s="1"/>
  <c r="H69" i="5"/>
  <c r="F12" i="27" s="1"/>
  <c r="J39" i="23"/>
  <c r="I39" i="23"/>
  <c r="H39" i="23"/>
  <c r="G39" i="23"/>
  <c r="V131" i="24"/>
  <c r="E93" i="5" s="1"/>
  <c r="E91" i="5"/>
  <c r="M147" i="24" l="1"/>
  <c r="E69" i="5"/>
  <c r="L17" i="14"/>
  <c r="M144" i="24"/>
  <c r="C328" i="15"/>
  <c r="F50" i="17"/>
  <c r="U54" i="17" s="1"/>
  <c r="F49" i="17"/>
  <c r="F48" i="17"/>
  <c r="F47" i="17"/>
  <c r="F41" i="17"/>
  <c r="J41" i="17" s="1"/>
  <c r="F42" i="17"/>
  <c r="F40" i="17"/>
  <c r="I18" i="24"/>
  <c r="I20" i="24" s="1"/>
  <c r="AO53" i="14"/>
  <c r="AN53" i="14"/>
  <c r="AM53" i="14"/>
  <c r="AL53" i="14"/>
  <c r="AK53" i="14"/>
  <c r="AJ53" i="14"/>
  <c r="AI53" i="14"/>
  <c r="AH53" i="14"/>
  <c r="AG53" i="14"/>
  <c r="AF53" i="14"/>
  <c r="AE53" i="14"/>
  <c r="AD53" i="14"/>
  <c r="AC53" i="14"/>
  <c r="AO52" i="14"/>
  <c r="AN52" i="14"/>
  <c r="AM52" i="14"/>
  <c r="AL52" i="14"/>
  <c r="AK52" i="14"/>
  <c r="AJ52" i="14"/>
  <c r="AI52" i="14"/>
  <c r="AH52" i="14"/>
  <c r="AG52" i="14"/>
  <c r="AF52" i="14"/>
  <c r="AE52" i="14"/>
  <c r="AD52" i="14"/>
  <c r="AC52" i="14"/>
  <c r="H318" i="14"/>
  <c r="H174" i="14"/>
  <c r="H34" i="14"/>
  <c r="H45" i="15"/>
  <c r="H46" i="15"/>
  <c r="I45" i="15"/>
  <c r="J45" i="15"/>
  <c r="K45" i="15"/>
  <c r="L45" i="15"/>
  <c r="M45" i="15"/>
  <c r="N45" i="15"/>
  <c r="O45" i="15"/>
  <c r="P45" i="15"/>
  <c r="Q45" i="15"/>
  <c r="R45" i="15"/>
  <c r="S45" i="15"/>
  <c r="T45" i="15"/>
  <c r="U45" i="15"/>
  <c r="V45" i="15"/>
  <c r="W45" i="15"/>
  <c r="X45" i="15"/>
  <c r="Y45" i="15"/>
  <c r="Z45" i="15"/>
  <c r="AA45" i="15"/>
  <c r="AB45" i="15"/>
  <c r="AC45" i="15"/>
  <c r="AD45" i="15"/>
  <c r="AE45" i="15"/>
  <c r="AF45" i="15"/>
  <c r="AG45" i="15"/>
  <c r="AH45" i="15"/>
  <c r="AI45" i="15"/>
  <c r="AJ45" i="15"/>
  <c r="AK45" i="15"/>
  <c r="AL45" i="15"/>
  <c r="AM45" i="15"/>
  <c r="AN45" i="15"/>
  <c r="AO45" i="15"/>
  <c r="I46" i="15"/>
  <c r="J46" i="15"/>
  <c r="K46" i="15"/>
  <c r="L46" i="15"/>
  <c r="M46" i="15"/>
  <c r="N46" i="15"/>
  <c r="O46" i="15"/>
  <c r="Q46" i="15"/>
  <c r="U46" i="15"/>
  <c r="V46" i="15"/>
  <c r="W46" i="15"/>
  <c r="X46" i="15"/>
  <c r="Y46" i="15"/>
  <c r="Z46" i="15"/>
  <c r="AA46" i="15"/>
  <c r="AB46" i="15"/>
  <c r="AC46" i="15"/>
  <c r="AD46" i="15"/>
  <c r="AE46" i="15"/>
  <c r="AF46" i="15"/>
  <c r="AG46" i="15"/>
  <c r="AH46" i="15"/>
  <c r="AI46" i="15"/>
  <c r="AJ46" i="15"/>
  <c r="AK46" i="15"/>
  <c r="AL46" i="15"/>
  <c r="AM46" i="15"/>
  <c r="AN46" i="15"/>
  <c r="AO46" i="15"/>
  <c r="AO76" i="15"/>
  <c r="H188" i="15"/>
  <c r="AC55" i="14"/>
  <c r="AD55" i="14"/>
  <c r="AE55" i="14"/>
  <c r="AF55" i="14"/>
  <c r="AG55" i="14"/>
  <c r="AH55" i="14"/>
  <c r="AI55" i="14"/>
  <c r="AJ55" i="14"/>
  <c r="AK55" i="14"/>
  <c r="AL55" i="14"/>
  <c r="AM55" i="14"/>
  <c r="AN55" i="14"/>
  <c r="AO55" i="14"/>
  <c r="F320" i="14"/>
  <c r="F176" i="14"/>
  <c r="H176" i="14" s="1"/>
  <c r="F36" i="14"/>
  <c r="H36" i="14" s="1"/>
  <c r="D168" i="24"/>
  <c r="E162" i="24"/>
  <c r="E159" i="24"/>
  <c r="D163" i="24"/>
  <c r="D162" i="24"/>
  <c r="D161" i="24"/>
  <c r="D160" i="24"/>
  <c r="D159" i="24"/>
  <c r="D158" i="24"/>
  <c r="D157" i="24"/>
  <c r="D156" i="24"/>
  <c r="D155" i="24"/>
  <c r="E633" i="5" a="1"/>
  <c r="E633" i="5" s="1"/>
  <c r="F101" i="17" s="1"/>
  <c r="I42" i="24"/>
  <c r="I35" i="24"/>
  <c r="I38" i="24" s="1"/>
  <c r="E390" i="5"/>
  <c r="E246" i="5" l="1"/>
  <c r="E253" i="5" s="1"/>
  <c r="E317" i="5"/>
  <c r="E378" i="5"/>
  <c r="E377" i="5"/>
  <c r="E379" i="5" s="1"/>
  <c r="M17" i="14"/>
  <c r="R46" i="15"/>
  <c r="U141" i="24"/>
  <c r="I41" i="17"/>
  <c r="AN41" i="17"/>
  <c r="AK41" i="17"/>
  <c r="AD41" i="17"/>
  <c r="AC41" i="17"/>
  <c r="X41" i="17"/>
  <c r="W41" i="17"/>
  <c r="AO41" i="17"/>
  <c r="AL41" i="17"/>
  <c r="AG41" i="17"/>
  <c r="Q41" i="17"/>
  <c r="AF41" i="17"/>
  <c r="P41" i="17"/>
  <c r="AE41" i="17"/>
  <c r="O41" i="17"/>
  <c r="AM41" i="17"/>
  <c r="Y41" i="17"/>
  <c r="V41" i="17"/>
  <c r="N41" i="17"/>
  <c r="U41" i="17"/>
  <c r="M41" i="17"/>
  <c r="AJ41" i="17"/>
  <c r="AB41" i="17"/>
  <c r="T41" i="17"/>
  <c r="L41" i="17"/>
  <c r="AI41" i="17"/>
  <c r="AA41" i="17"/>
  <c r="S41" i="17"/>
  <c r="K41" i="17"/>
  <c r="AH41" i="17"/>
  <c r="Z41" i="17"/>
  <c r="R41" i="17"/>
  <c r="H320" i="14"/>
  <c r="F104" i="17"/>
  <c r="P46" i="15" l="1"/>
  <c r="S46" i="15"/>
  <c r="N17" i="14"/>
  <c r="U97" i="17"/>
  <c r="U101" i="17" s="1"/>
  <c r="V97" i="17"/>
  <c r="W97" i="17"/>
  <c r="W101" i="17" s="1"/>
  <c r="X97" i="17"/>
  <c r="X101" i="17" s="1"/>
  <c r="Y97" i="17"/>
  <c r="Y101" i="17" s="1"/>
  <c r="Z97" i="17"/>
  <c r="Z101" i="17" s="1"/>
  <c r="AA97" i="17"/>
  <c r="AA101" i="17" s="1"/>
  <c r="AB97" i="17"/>
  <c r="AB101" i="17" s="1"/>
  <c r="AC97" i="17"/>
  <c r="AC101" i="17" s="1"/>
  <c r="AD97" i="17"/>
  <c r="AE97" i="17"/>
  <c r="AF97" i="17"/>
  <c r="AG97" i="17"/>
  <c r="AG101" i="17" s="1"/>
  <c r="AH97" i="17"/>
  <c r="AH101" i="17" s="1"/>
  <c r="AI97" i="17"/>
  <c r="AI101" i="17" s="1"/>
  <c r="AJ97" i="17"/>
  <c r="AJ101" i="17" s="1"/>
  <c r="AK97" i="17"/>
  <c r="AK101" i="17" s="1"/>
  <c r="AL97" i="17"/>
  <c r="AL104" i="17" s="1"/>
  <c r="AM97" i="17"/>
  <c r="AN97" i="17"/>
  <c r="AO97" i="17"/>
  <c r="AO101" i="17" s="1"/>
  <c r="F102" i="17"/>
  <c r="F103" i="17"/>
  <c r="F105" i="17"/>
  <c r="F106" i="17"/>
  <c r="F107" i="17"/>
  <c r="U26" i="17"/>
  <c r="V26" i="17"/>
  <c r="W26" i="17"/>
  <c r="X26" i="17"/>
  <c r="Y26" i="17"/>
  <c r="Z26" i="17"/>
  <c r="AA26" i="17"/>
  <c r="AB26" i="17"/>
  <c r="AC26" i="17"/>
  <c r="AD26" i="17"/>
  <c r="AE26" i="17"/>
  <c r="AF26" i="17"/>
  <c r="AG26" i="17"/>
  <c r="AH26" i="17"/>
  <c r="AI26" i="17"/>
  <c r="AJ26" i="17"/>
  <c r="AK26" i="17"/>
  <c r="AL26" i="17"/>
  <c r="AM26" i="17"/>
  <c r="AN26" i="17"/>
  <c r="AO26" i="17"/>
  <c r="AP26" i="17"/>
  <c r="U33" i="17"/>
  <c r="U44" i="17" s="1"/>
  <c r="V33" i="17"/>
  <c r="V44" i="17" s="1"/>
  <c r="W33" i="17"/>
  <c r="W44" i="17" s="1"/>
  <c r="X33" i="17"/>
  <c r="X44" i="17" s="1"/>
  <c r="Y33" i="17"/>
  <c r="Y44" i="17" s="1"/>
  <c r="Z33" i="17"/>
  <c r="Z44" i="17" s="1"/>
  <c r="AA33" i="17"/>
  <c r="AA44" i="17" s="1"/>
  <c r="AB33" i="17"/>
  <c r="AB44" i="17" s="1"/>
  <c r="AC33" i="17"/>
  <c r="AC44" i="17" s="1"/>
  <c r="AD33" i="17"/>
  <c r="AD44" i="17" s="1"/>
  <c r="AE33" i="17"/>
  <c r="AE44" i="17" s="1"/>
  <c r="AF33" i="17"/>
  <c r="AF44" i="17" s="1"/>
  <c r="AG33" i="17"/>
  <c r="AG44" i="17" s="1"/>
  <c r="AH33" i="17"/>
  <c r="AH44" i="17" s="1"/>
  <c r="AI33" i="17"/>
  <c r="AI44" i="17" s="1"/>
  <c r="AJ33" i="17"/>
  <c r="AJ44" i="17" s="1"/>
  <c r="AK33" i="17"/>
  <c r="AK44" i="17" s="1"/>
  <c r="AL33" i="17"/>
  <c r="AL44" i="17" s="1"/>
  <c r="AM33" i="17"/>
  <c r="AM44" i="17" s="1"/>
  <c r="AN33" i="17"/>
  <c r="AN44" i="17" s="1"/>
  <c r="AO33" i="17"/>
  <c r="AO44" i="17" s="1"/>
  <c r="F81" i="17"/>
  <c r="F80" i="17"/>
  <c r="F79" i="17"/>
  <c r="F78" i="17"/>
  <c r="F77" i="17"/>
  <c r="F75" i="17"/>
  <c r="F115" i="17"/>
  <c r="F114" i="17"/>
  <c r="F113" i="17"/>
  <c r="F112" i="17"/>
  <c r="F111" i="17"/>
  <c r="F109" i="17"/>
  <c r="O17" i="14" l="1"/>
  <c r="AE106" i="17"/>
  <c r="AE114" i="17" s="1"/>
  <c r="AM103" i="17"/>
  <c r="AM111" i="17" s="1"/>
  <c r="AL112" i="17"/>
  <c r="AD106" i="17"/>
  <c r="AD114" i="17" s="1"/>
  <c r="V102" i="17"/>
  <c r="V101" i="17"/>
  <c r="AL107" i="17"/>
  <c r="AL115" i="17" s="1"/>
  <c r="AN102" i="17"/>
  <c r="AF105" i="17"/>
  <c r="AF113" i="17" s="1"/>
  <c r="V107" i="17"/>
  <c r="V115" i="17" s="1"/>
  <c r="X106" i="17"/>
  <c r="X114" i="17" s="1"/>
  <c r="AE105" i="17"/>
  <c r="AE113" i="17" s="1"/>
  <c r="AF104" i="17"/>
  <c r="AF112" i="17" s="1"/>
  <c r="AL103" i="17"/>
  <c r="AL111" i="17" s="1"/>
  <c r="AM102" i="17"/>
  <c r="AN101" i="17"/>
  <c r="AK107" i="17"/>
  <c r="AK115" i="17" s="1"/>
  <c r="U107" i="17"/>
  <c r="U115" i="17" s="1"/>
  <c r="W106" i="17"/>
  <c r="W114" i="17" s="1"/>
  <c r="AD105" i="17"/>
  <c r="AD113" i="17" s="1"/>
  <c r="AE104" i="17"/>
  <c r="AE112" i="17" s="1"/>
  <c r="AF103" i="17"/>
  <c r="AF111" i="17" s="1"/>
  <c r="AL102" i="17"/>
  <c r="AM101" i="17"/>
  <c r="AF107" i="17"/>
  <c r="AF115" i="17" s="1"/>
  <c r="AN106" i="17"/>
  <c r="AN114" i="17" s="1"/>
  <c r="V106" i="17"/>
  <c r="V114" i="17" s="1"/>
  <c r="X105" i="17"/>
  <c r="X113" i="17" s="1"/>
  <c r="AD104" i="17"/>
  <c r="AD112" i="17" s="1"/>
  <c r="AE103" i="17"/>
  <c r="AE111" i="17" s="1"/>
  <c r="AF102" i="17"/>
  <c r="AL101" i="17"/>
  <c r="AE107" i="17"/>
  <c r="AE115" i="17" s="1"/>
  <c r="AM106" i="17"/>
  <c r="AM114" i="17" s="1"/>
  <c r="U106" i="17"/>
  <c r="U114" i="17" s="1"/>
  <c r="W105" i="17"/>
  <c r="W113" i="17" s="1"/>
  <c r="X104" i="17"/>
  <c r="X112" i="17" s="1"/>
  <c r="AD103" i="17"/>
  <c r="AD111" i="17" s="1"/>
  <c r="AE102" i="17"/>
  <c r="AF101" i="17"/>
  <c r="AD107" i="17"/>
  <c r="AD115" i="17" s="1"/>
  <c r="AL106" i="17"/>
  <c r="AL114" i="17" s="1"/>
  <c r="AN105" i="17"/>
  <c r="AN113" i="17" s="1"/>
  <c r="V105" i="17"/>
  <c r="V113" i="17" s="1"/>
  <c r="W104" i="17"/>
  <c r="W112" i="17" s="1"/>
  <c r="X103" i="17"/>
  <c r="X111" i="17" s="1"/>
  <c r="AD102" i="17"/>
  <c r="AE101" i="17"/>
  <c r="AC107" i="17"/>
  <c r="AC115" i="17" s="1"/>
  <c r="AF106" i="17"/>
  <c r="AF114" i="17" s="1"/>
  <c r="AM105" i="17"/>
  <c r="AM113" i="17" s="1"/>
  <c r="AN104" i="17"/>
  <c r="AN112" i="17" s="1"/>
  <c r="V104" i="17"/>
  <c r="V112" i="17" s="1"/>
  <c r="W103" i="17"/>
  <c r="W111" i="17" s="1"/>
  <c r="X102" i="17"/>
  <c r="AD101" i="17"/>
  <c r="AN107" i="17"/>
  <c r="AN115" i="17" s="1"/>
  <c r="X107" i="17"/>
  <c r="X115" i="17" s="1"/>
  <c r="AL105" i="17"/>
  <c r="AL113" i="17" s="1"/>
  <c r="AM104" i="17"/>
  <c r="AM112" i="17" s="1"/>
  <c r="AN103" i="17"/>
  <c r="AN111" i="17" s="1"/>
  <c r="V103" i="17"/>
  <c r="V111" i="17" s="1"/>
  <c r="W102" i="17"/>
  <c r="AM107" i="17"/>
  <c r="AM115" i="17" s="1"/>
  <c r="W107" i="17"/>
  <c r="W115" i="17" s="1"/>
  <c r="AI107" i="17"/>
  <c r="AI115" i="17" s="1"/>
  <c r="AA107" i="17"/>
  <c r="AA115" i="17" s="1"/>
  <c r="AI106" i="17"/>
  <c r="AI114" i="17" s="1"/>
  <c r="AA106" i="17"/>
  <c r="AA114" i="17" s="1"/>
  <c r="AI105" i="17"/>
  <c r="AI113" i="17" s="1"/>
  <c r="AA105" i="17"/>
  <c r="AA113" i="17" s="1"/>
  <c r="AI104" i="17"/>
  <c r="AI112" i="17" s="1"/>
  <c r="AA104" i="17"/>
  <c r="AA112" i="17" s="1"/>
  <c r="AI103" i="17"/>
  <c r="AI111" i="17" s="1"/>
  <c r="AA103" i="17"/>
  <c r="AA111" i="17" s="1"/>
  <c r="AI102" i="17"/>
  <c r="AA102" i="17"/>
  <c r="AH107" i="17"/>
  <c r="AH115" i="17" s="1"/>
  <c r="Z107" i="17"/>
  <c r="Z115" i="17" s="1"/>
  <c r="AH106" i="17"/>
  <c r="AH114" i="17" s="1"/>
  <c r="Z106" i="17"/>
  <c r="Z114" i="17" s="1"/>
  <c r="AH105" i="17"/>
  <c r="AH113" i="17" s="1"/>
  <c r="Z105" i="17"/>
  <c r="Z113" i="17" s="1"/>
  <c r="AH104" i="17"/>
  <c r="AH112" i="17" s="1"/>
  <c r="Z104" i="17"/>
  <c r="Z112" i="17" s="1"/>
  <c r="AH103" i="17"/>
  <c r="AH111" i="17" s="1"/>
  <c r="Z103" i="17"/>
  <c r="Z111" i="17" s="1"/>
  <c r="AH102" i="17"/>
  <c r="Z102" i="17"/>
  <c r="AO107" i="17"/>
  <c r="AO115" i="17" s="1"/>
  <c r="AG107" i="17"/>
  <c r="AG115" i="17" s="1"/>
  <c r="Y107" i="17"/>
  <c r="Y115" i="17" s="1"/>
  <c r="AO106" i="17"/>
  <c r="AO114" i="17" s="1"/>
  <c r="AG106" i="17"/>
  <c r="AG114" i="17" s="1"/>
  <c r="Y106" i="17"/>
  <c r="Y114" i="17" s="1"/>
  <c r="AO105" i="17"/>
  <c r="AO113" i="17" s="1"/>
  <c r="AG105" i="17"/>
  <c r="AG113" i="17" s="1"/>
  <c r="Y105" i="17"/>
  <c r="Y113" i="17" s="1"/>
  <c r="AO104" i="17"/>
  <c r="AO112" i="17" s="1"/>
  <c r="AG104" i="17"/>
  <c r="AG112" i="17" s="1"/>
  <c r="Y104" i="17"/>
  <c r="Y112" i="17" s="1"/>
  <c r="AO103" i="17"/>
  <c r="AO111" i="17" s="1"/>
  <c r="AG103" i="17"/>
  <c r="AG111" i="17" s="1"/>
  <c r="Y103" i="17"/>
  <c r="Y111" i="17" s="1"/>
  <c r="AO102" i="17"/>
  <c r="AG102" i="17"/>
  <c r="Y102" i="17"/>
  <c r="AK106" i="17"/>
  <c r="AK114" i="17" s="1"/>
  <c r="AC106" i="17"/>
  <c r="AC114" i="17" s="1"/>
  <c r="AK105" i="17"/>
  <c r="AK113" i="17" s="1"/>
  <c r="AC105" i="17"/>
  <c r="AC113" i="17" s="1"/>
  <c r="U105" i="17"/>
  <c r="U113" i="17" s="1"/>
  <c r="AK104" i="17"/>
  <c r="AK112" i="17" s="1"/>
  <c r="AC104" i="17"/>
  <c r="AC112" i="17" s="1"/>
  <c r="U104" i="17"/>
  <c r="U112" i="17" s="1"/>
  <c r="AK103" i="17"/>
  <c r="AK111" i="17" s="1"/>
  <c r="AC103" i="17"/>
  <c r="AC111" i="17" s="1"/>
  <c r="U103" i="17"/>
  <c r="U111" i="17" s="1"/>
  <c r="AK102" i="17"/>
  <c r="AC102" i="17"/>
  <c r="U102" i="17"/>
  <c r="AJ107" i="17"/>
  <c r="AJ115" i="17" s="1"/>
  <c r="AB107" i="17"/>
  <c r="AB115" i="17" s="1"/>
  <c r="AJ106" i="17"/>
  <c r="AJ114" i="17" s="1"/>
  <c r="AB106" i="17"/>
  <c r="AB114" i="17" s="1"/>
  <c r="AJ105" i="17"/>
  <c r="AJ113" i="17" s="1"/>
  <c r="AB105" i="17"/>
  <c r="AB113" i="17" s="1"/>
  <c r="AJ104" i="17"/>
  <c r="AJ112" i="17" s="1"/>
  <c r="AB104" i="17"/>
  <c r="AB112" i="17" s="1"/>
  <c r="AJ103" i="17"/>
  <c r="AJ111" i="17" s="1"/>
  <c r="AB103" i="17"/>
  <c r="AB111" i="17" s="1"/>
  <c r="AJ102" i="17"/>
  <c r="AB102" i="17"/>
  <c r="P17" i="14" l="1"/>
  <c r="O88" i="24"/>
  <c r="P88" i="24"/>
  <c r="Q88" i="24"/>
  <c r="R88" i="24"/>
  <c r="S88" i="24"/>
  <c r="M105" i="24"/>
  <c r="E142" i="24" s="1"/>
  <c r="N105" i="24"/>
  <c r="O105" i="24"/>
  <c r="P105" i="24"/>
  <c r="Q105" i="24"/>
  <c r="R105" i="24"/>
  <c r="S105" i="24"/>
  <c r="T105" i="24"/>
  <c r="M110" i="24"/>
  <c r="N110" i="24"/>
  <c r="O110" i="24"/>
  <c r="P110" i="24"/>
  <c r="Q110" i="24"/>
  <c r="R110" i="24"/>
  <c r="S110" i="24"/>
  <c r="F412" i="14"/>
  <c r="F411" i="14"/>
  <c r="F410" i="14"/>
  <c r="F409" i="14"/>
  <c r="F408" i="14"/>
  <c r="F406" i="14"/>
  <c r="F267" i="14"/>
  <c r="F266" i="14"/>
  <c r="F265" i="14"/>
  <c r="F264" i="14"/>
  <c r="F263" i="14"/>
  <c r="F261" i="14"/>
  <c r="AC109" i="14"/>
  <c r="AD109" i="14"/>
  <c r="AE109" i="14"/>
  <c r="AF109" i="14"/>
  <c r="AG109" i="14"/>
  <c r="AH109" i="14"/>
  <c r="AI109" i="14"/>
  <c r="AJ109" i="14"/>
  <c r="AK109" i="14"/>
  <c r="AL109" i="14"/>
  <c r="AM109" i="14"/>
  <c r="AN109" i="14"/>
  <c r="AO109" i="14"/>
  <c r="F125" i="14"/>
  <c r="F124" i="14"/>
  <c r="F123" i="14"/>
  <c r="F122" i="14"/>
  <c r="F121" i="14"/>
  <c r="F119" i="14"/>
  <c r="AE182" i="14"/>
  <c r="AE185" i="14" s="1"/>
  <c r="AF182" i="14"/>
  <c r="AF185" i="14" s="1"/>
  <c r="AG182" i="14"/>
  <c r="AG185" i="14" s="1"/>
  <c r="AH182" i="14"/>
  <c r="AI182" i="14"/>
  <c r="AJ182" i="14"/>
  <c r="AK182" i="14"/>
  <c r="AL182" i="14"/>
  <c r="AM182" i="14"/>
  <c r="AN182" i="14"/>
  <c r="AO182" i="14"/>
  <c r="F640" i="16"/>
  <c r="F641" i="16"/>
  <c r="F642" i="16"/>
  <c r="F643" i="16"/>
  <c r="F644" i="16"/>
  <c r="F638" i="16"/>
  <c r="F197" i="16"/>
  <c r="F378" i="16"/>
  <c r="F374" i="16"/>
  <c r="F375" i="16"/>
  <c r="F376" i="16"/>
  <c r="F377" i="16"/>
  <c r="F372" i="16"/>
  <c r="F464" i="16"/>
  <c r="F465" i="16"/>
  <c r="F466" i="16"/>
  <c r="F467" i="16"/>
  <c r="F468" i="16"/>
  <c r="F462" i="16"/>
  <c r="F730" i="16"/>
  <c r="F731" i="16"/>
  <c r="F732" i="16"/>
  <c r="F733" i="16"/>
  <c r="F734" i="16"/>
  <c r="F728" i="16"/>
  <c r="J743" i="16"/>
  <c r="K743" i="16"/>
  <c r="L743" i="16"/>
  <c r="M743" i="16"/>
  <c r="N743" i="16"/>
  <c r="O743" i="16"/>
  <c r="P743" i="16"/>
  <c r="Q743" i="16"/>
  <c r="R743" i="16"/>
  <c r="S743" i="16"/>
  <c r="T743" i="16"/>
  <c r="U743" i="16"/>
  <c r="V743" i="16"/>
  <c r="W743" i="16"/>
  <c r="X743" i="16"/>
  <c r="Y743" i="16"/>
  <c r="Z743" i="16"/>
  <c r="AA743" i="16"/>
  <c r="AB743" i="16"/>
  <c r="AC743" i="16"/>
  <c r="I743" i="16"/>
  <c r="I570" i="16"/>
  <c r="J570" i="16"/>
  <c r="K570" i="16"/>
  <c r="L570" i="16"/>
  <c r="O570" i="16"/>
  <c r="P570" i="16"/>
  <c r="Q570" i="16"/>
  <c r="U570" i="16"/>
  <c r="V570" i="16"/>
  <c r="W570" i="16"/>
  <c r="X570" i="16"/>
  <c r="Y570" i="16"/>
  <c r="Z570" i="16"/>
  <c r="AA570" i="16"/>
  <c r="AB570" i="16"/>
  <c r="AC570" i="16"/>
  <c r="AD570" i="16"/>
  <c r="AE570" i="16"/>
  <c r="AF570" i="16"/>
  <c r="AG570" i="16"/>
  <c r="AH570" i="16"/>
  <c r="AI570" i="16"/>
  <c r="AJ570" i="16"/>
  <c r="AK570" i="16"/>
  <c r="AL570" i="16"/>
  <c r="AM570" i="16"/>
  <c r="AN570" i="16"/>
  <c r="AO570" i="16"/>
  <c r="I571" i="16"/>
  <c r="J571" i="16"/>
  <c r="K571" i="16"/>
  <c r="L571" i="16"/>
  <c r="N571" i="16"/>
  <c r="O571" i="16"/>
  <c r="P571" i="16"/>
  <c r="Q571" i="16"/>
  <c r="R571" i="16"/>
  <c r="U571" i="16"/>
  <c r="V571" i="16"/>
  <c r="W571" i="16"/>
  <c r="X571" i="16"/>
  <c r="Y571" i="16"/>
  <c r="Z571" i="16"/>
  <c r="AA571" i="16"/>
  <c r="AB571" i="16"/>
  <c r="AC571" i="16"/>
  <c r="AD571" i="16"/>
  <c r="AE571" i="16"/>
  <c r="AF571" i="16"/>
  <c r="AG571" i="16"/>
  <c r="AH571" i="16"/>
  <c r="AI571" i="16"/>
  <c r="AJ571" i="16"/>
  <c r="AK571" i="16"/>
  <c r="AL571" i="16"/>
  <c r="AM571" i="16"/>
  <c r="AN571" i="16"/>
  <c r="AO571" i="16"/>
  <c r="I572" i="16"/>
  <c r="J572" i="16"/>
  <c r="K572" i="16"/>
  <c r="L572" i="16"/>
  <c r="N572" i="16"/>
  <c r="O572" i="16"/>
  <c r="Q572" i="16"/>
  <c r="R572" i="16"/>
  <c r="U572" i="16"/>
  <c r="V572" i="16"/>
  <c r="W572" i="16"/>
  <c r="X572" i="16"/>
  <c r="Y572" i="16"/>
  <c r="Z572" i="16"/>
  <c r="AA572" i="16"/>
  <c r="AB572" i="16"/>
  <c r="AC572" i="16"/>
  <c r="AD572" i="16"/>
  <c r="AE572" i="16"/>
  <c r="AF572" i="16"/>
  <c r="AG572" i="16"/>
  <c r="AH572" i="16"/>
  <c r="AI572" i="16"/>
  <c r="AJ572" i="16"/>
  <c r="AK572" i="16"/>
  <c r="AL572" i="16"/>
  <c r="AM572" i="16"/>
  <c r="AN572" i="16"/>
  <c r="AO572" i="16"/>
  <c r="H572" i="16"/>
  <c r="H571" i="16"/>
  <c r="H570" i="16"/>
  <c r="I304" i="16"/>
  <c r="J304" i="16"/>
  <c r="K304" i="16"/>
  <c r="L304" i="16"/>
  <c r="N304" i="16"/>
  <c r="O304" i="16"/>
  <c r="U304" i="16"/>
  <c r="V304" i="16"/>
  <c r="W304" i="16"/>
  <c r="X304" i="16"/>
  <c r="Y304" i="16"/>
  <c r="Z304" i="16"/>
  <c r="AA304" i="16"/>
  <c r="AB304" i="16"/>
  <c r="AC304" i="16"/>
  <c r="AD304" i="16"/>
  <c r="AE304" i="16"/>
  <c r="AF304" i="16"/>
  <c r="AG304" i="16"/>
  <c r="AH304" i="16"/>
  <c r="AI304" i="16"/>
  <c r="AJ304" i="16"/>
  <c r="AK304" i="16"/>
  <c r="AL304" i="16"/>
  <c r="AM304" i="16"/>
  <c r="AN304" i="16"/>
  <c r="AO304" i="16"/>
  <c r="I305" i="16"/>
  <c r="J305" i="16"/>
  <c r="K305" i="16"/>
  <c r="L305" i="16"/>
  <c r="N305" i="16"/>
  <c r="O305" i="16"/>
  <c r="R305" i="16"/>
  <c r="U305" i="16"/>
  <c r="V305" i="16"/>
  <c r="W305" i="16"/>
  <c r="X305" i="16"/>
  <c r="Y305" i="16"/>
  <c r="Z305" i="16"/>
  <c r="AA305" i="16"/>
  <c r="AB305" i="16"/>
  <c r="AC305" i="16"/>
  <c r="AD305" i="16"/>
  <c r="AE305" i="16"/>
  <c r="AF305" i="16"/>
  <c r="AG305" i="16"/>
  <c r="AH305" i="16"/>
  <c r="AI305" i="16"/>
  <c r="AJ305" i="16"/>
  <c r="AK305" i="16"/>
  <c r="AL305" i="16"/>
  <c r="AM305" i="16"/>
  <c r="AN305" i="16"/>
  <c r="AO305" i="16"/>
  <c r="I306" i="16"/>
  <c r="J306" i="16"/>
  <c r="K306" i="16"/>
  <c r="L306" i="16"/>
  <c r="Q306" i="16"/>
  <c r="R306" i="16"/>
  <c r="U306" i="16"/>
  <c r="V306" i="16"/>
  <c r="W306" i="16"/>
  <c r="X306" i="16"/>
  <c r="Y306" i="16"/>
  <c r="Z306" i="16"/>
  <c r="AA306" i="16"/>
  <c r="AB306" i="16"/>
  <c r="AC306" i="16"/>
  <c r="AD306" i="16"/>
  <c r="AE306" i="16"/>
  <c r="AF306" i="16"/>
  <c r="AG306" i="16"/>
  <c r="AH306" i="16"/>
  <c r="AI306" i="16"/>
  <c r="AJ306" i="16"/>
  <c r="AK306" i="16"/>
  <c r="AL306" i="16"/>
  <c r="AM306" i="16"/>
  <c r="AN306" i="16"/>
  <c r="AO306" i="16"/>
  <c r="H306" i="16"/>
  <c r="H305" i="16"/>
  <c r="H304" i="16"/>
  <c r="I30" i="16"/>
  <c r="J30" i="16"/>
  <c r="K30" i="16"/>
  <c r="L30" i="16"/>
  <c r="O30" i="16"/>
  <c r="Q30" i="16"/>
  <c r="U30" i="16"/>
  <c r="V30" i="16"/>
  <c r="W30" i="16"/>
  <c r="X30" i="16"/>
  <c r="Y30" i="16"/>
  <c r="Z30" i="16"/>
  <c r="AA30" i="16"/>
  <c r="AB30" i="16"/>
  <c r="AC30" i="16"/>
  <c r="AD30" i="16"/>
  <c r="AE30" i="16"/>
  <c r="AF30" i="16"/>
  <c r="AG30" i="16"/>
  <c r="AH30" i="16"/>
  <c r="AI30" i="16"/>
  <c r="AJ30" i="16"/>
  <c r="AK30" i="16"/>
  <c r="AL30" i="16"/>
  <c r="AM30" i="16"/>
  <c r="AN30" i="16"/>
  <c r="AO30" i="16"/>
  <c r="I31" i="16"/>
  <c r="J31" i="16"/>
  <c r="K31" i="16"/>
  <c r="L31" i="16"/>
  <c r="O31" i="16"/>
  <c r="Q31" i="16"/>
  <c r="U31" i="16"/>
  <c r="V31" i="16"/>
  <c r="W31" i="16"/>
  <c r="X31" i="16"/>
  <c r="Y31" i="16"/>
  <c r="Z31" i="16"/>
  <c r="AA31" i="16"/>
  <c r="AB31" i="16"/>
  <c r="AC31" i="16"/>
  <c r="AD31" i="16"/>
  <c r="AE31" i="16"/>
  <c r="AF31" i="16"/>
  <c r="AG31" i="16"/>
  <c r="AH31" i="16"/>
  <c r="AI31" i="16"/>
  <c r="AJ31" i="16"/>
  <c r="AK31" i="16"/>
  <c r="AL31" i="16"/>
  <c r="AM31" i="16"/>
  <c r="AN31" i="16"/>
  <c r="AO31" i="16"/>
  <c r="I32" i="16"/>
  <c r="J32" i="16"/>
  <c r="K32" i="16"/>
  <c r="L32" i="16"/>
  <c r="O32" i="16"/>
  <c r="Q32" i="16"/>
  <c r="U32" i="16"/>
  <c r="V32" i="16"/>
  <c r="W32" i="16"/>
  <c r="X32" i="16"/>
  <c r="Y32" i="16"/>
  <c r="Z32" i="16"/>
  <c r="AA32" i="16"/>
  <c r="AB32" i="16"/>
  <c r="AC32" i="16"/>
  <c r="AD32" i="16"/>
  <c r="AE32" i="16"/>
  <c r="AF32" i="16"/>
  <c r="AG32" i="16"/>
  <c r="AH32" i="16"/>
  <c r="AI32" i="16"/>
  <c r="AJ32" i="16"/>
  <c r="AK32" i="16"/>
  <c r="AL32" i="16"/>
  <c r="AM32" i="16"/>
  <c r="AN32" i="16"/>
  <c r="AO32" i="16"/>
  <c r="H31" i="16"/>
  <c r="H30" i="16"/>
  <c r="H32" i="16"/>
  <c r="F829" i="15"/>
  <c r="F851" i="15"/>
  <c r="F718" i="15"/>
  <c r="F511" i="15"/>
  <c r="F533" i="15"/>
  <c r="F400" i="15"/>
  <c r="F370" i="15"/>
  <c r="F310" i="14"/>
  <c r="F309" i="14"/>
  <c r="F308" i="14"/>
  <c r="F336" i="14"/>
  <c r="F335" i="14"/>
  <c r="F334" i="14"/>
  <c r="F348" i="14"/>
  <c r="F347" i="14"/>
  <c r="F346" i="14"/>
  <c r="F345" i="14"/>
  <c r="F166" i="14"/>
  <c r="F165" i="14"/>
  <c r="F164" i="14"/>
  <c r="F191" i="14"/>
  <c r="F190" i="14"/>
  <c r="F189" i="14"/>
  <c r="F203" i="14"/>
  <c r="F202" i="14"/>
  <c r="F201" i="14"/>
  <c r="F200" i="14"/>
  <c r="F116" i="9"/>
  <c r="F115" i="9"/>
  <c r="F114" i="9"/>
  <c r="F125" i="9"/>
  <c r="F124" i="9"/>
  <c r="F123" i="9"/>
  <c r="F122" i="9"/>
  <c r="F106" i="9"/>
  <c r="F107" i="9"/>
  <c r="F105" i="9"/>
  <c r="AO325" i="16"/>
  <c r="F349" i="16"/>
  <c r="F348" i="16"/>
  <c r="F347" i="16"/>
  <c r="F346" i="16"/>
  <c r="F340" i="16"/>
  <c r="F339" i="16"/>
  <c r="F338" i="16"/>
  <c r="F327" i="16"/>
  <c r="F330" i="16"/>
  <c r="F329" i="16"/>
  <c r="F328" i="16"/>
  <c r="F323" i="16"/>
  <c r="F322" i="16"/>
  <c r="F321" i="16"/>
  <c r="F306" i="16"/>
  <c r="N306" i="16" s="1"/>
  <c r="F305" i="16"/>
  <c r="Q305" i="16" s="1"/>
  <c r="F304" i="16"/>
  <c r="Q304" i="16" s="1"/>
  <c r="F435" i="16"/>
  <c r="F438" i="16"/>
  <c r="F437" i="16"/>
  <c r="F436" i="16"/>
  <c r="F433" i="16"/>
  <c r="F432" i="16"/>
  <c r="F431" i="16"/>
  <c r="F424" i="16"/>
  <c r="F423" i="16"/>
  <c r="F422" i="16"/>
  <c r="F701" i="16"/>
  <c r="F704" i="16"/>
  <c r="F703" i="16"/>
  <c r="F702" i="16"/>
  <c r="F698" i="16"/>
  <c r="F697" i="16"/>
  <c r="F696" i="16"/>
  <c r="F690" i="16"/>
  <c r="F689" i="16"/>
  <c r="F688" i="16"/>
  <c r="F612" i="16"/>
  <c r="F615" i="16"/>
  <c r="F614" i="16"/>
  <c r="F613" i="16"/>
  <c r="F606" i="16"/>
  <c r="F605" i="16"/>
  <c r="F604" i="16"/>
  <c r="F593" i="16"/>
  <c r="F596" i="16"/>
  <c r="F595" i="16"/>
  <c r="F594" i="16"/>
  <c r="F589" i="16"/>
  <c r="F588" i="16"/>
  <c r="F587" i="16"/>
  <c r="F572" i="16"/>
  <c r="S572" i="16" s="1"/>
  <c r="F571" i="16"/>
  <c r="S571" i="16" s="1"/>
  <c r="F570" i="16"/>
  <c r="N570" i="16" s="1"/>
  <c r="AO591" i="16"/>
  <c r="I557" i="16"/>
  <c r="J552" i="16"/>
  <c r="K552" i="16"/>
  <c r="L552" i="16"/>
  <c r="M552" i="16"/>
  <c r="N552" i="16"/>
  <c r="O552" i="16"/>
  <c r="P552" i="16"/>
  <c r="Q552" i="16"/>
  <c r="R552" i="16"/>
  <c r="S552" i="16"/>
  <c r="T552" i="16"/>
  <c r="U552" i="16"/>
  <c r="V552" i="16"/>
  <c r="W552" i="16"/>
  <c r="X552" i="16"/>
  <c r="Y552" i="16"/>
  <c r="Z552" i="16"/>
  <c r="AA552" i="16"/>
  <c r="AB552" i="16"/>
  <c r="AC552" i="16"/>
  <c r="AD552" i="16"/>
  <c r="AE552" i="16"/>
  <c r="AF552" i="16"/>
  <c r="AG552" i="16"/>
  <c r="AH552" i="16"/>
  <c r="AI552" i="16"/>
  <c r="AJ552" i="16"/>
  <c r="AK552" i="16"/>
  <c r="AL552" i="16"/>
  <c r="AM552" i="16"/>
  <c r="AN552" i="16"/>
  <c r="I552" i="16"/>
  <c r="J287" i="16"/>
  <c r="K287" i="16"/>
  <c r="L287" i="16"/>
  <c r="M287" i="16"/>
  <c r="N287" i="16"/>
  <c r="O287" i="16"/>
  <c r="P287" i="16"/>
  <c r="Q287" i="16"/>
  <c r="R287" i="16"/>
  <c r="S287" i="16"/>
  <c r="T287" i="16"/>
  <c r="U287" i="16"/>
  <c r="V287" i="16"/>
  <c r="W287" i="16"/>
  <c r="X287" i="16"/>
  <c r="Y287" i="16"/>
  <c r="Z287" i="16"/>
  <c r="AA287" i="16"/>
  <c r="AB287" i="16"/>
  <c r="AC287" i="16"/>
  <c r="AD287" i="16"/>
  <c r="AE287" i="16"/>
  <c r="AF287" i="16"/>
  <c r="AG287" i="16"/>
  <c r="AH287" i="16"/>
  <c r="AI287" i="16"/>
  <c r="AJ287" i="16"/>
  <c r="AK287" i="16"/>
  <c r="AL287" i="16"/>
  <c r="AM287" i="16"/>
  <c r="AN287" i="16"/>
  <c r="I287" i="16"/>
  <c r="J12" i="16"/>
  <c r="K12" i="16"/>
  <c r="L12" i="16"/>
  <c r="M12" i="16"/>
  <c r="N12" i="16"/>
  <c r="O12" i="16"/>
  <c r="P12" i="16"/>
  <c r="Q12" i="16"/>
  <c r="R12" i="16"/>
  <c r="S12" i="16"/>
  <c r="T12" i="16"/>
  <c r="U12" i="16"/>
  <c r="V12" i="16"/>
  <c r="W12" i="16"/>
  <c r="X12" i="16"/>
  <c r="Y12" i="16"/>
  <c r="Z12" i="16"/>
  <c r="AA12" i="16"/>
  <c r="AB12" i="16"/>
  <c r="AC12" i="16"/>
  <c r="AD12" i="16"/>
  <c r="AE12" i="16"/>
  <c r="AF12" i="16"/>
  <c r="AG12" i="16"/>
  <c r="AH12" i="16"/>
  <c r="AI12" i="16"/>
  <c r="AJ12" i="16"/>
  <c r="AK12" i="16"/>
  <c r="AL12" i="16"/>
  <c r="AM12" i="16"/>
  <c r="AN12" i="16"/>
  <c r="I12" i="16"/>
  <c r="I12" i="15"/>
  <c r="C776" i="16"/>
  <c r="F769" i="16"/>
  <c r="F768" i="16"/>
  <c r="F767" i="16"/>
  <c r="F766" i="16"/>
  <c r="F765" i="16"/>
  <c r="F763" i="16"/>
  <c r="AP753" i="16"/>
  <c r="AO753" i="16"/>
  <c r="AO743" i="16"/>
  <c r="AN743" i="16"/>
  <c r="AM743" i="16"/>
  <c r="AL743" i="16"/>
  <c r="AK743" i="16"/>
  <c r="AJ743" i="16"/>
  <c r="AI743" i="16"/>
  <c r="AH743" i="16"/>
  <c r="AG743" i="16"/>
  <c r="AF743" i="16"/>
  <c r="AE743" i="16"/>
  <c r="AD743" i="16"/>
  <c r="F742" i="16"/>
  <c r="F741" i="16"/>
  <c r="F740" i="16"/>
  <c r="F739" i="16"/>
  <c r="F738" i="16"/>
  <c r="F736" i="16"/>
  <c r="AN726" i="16"/>
  <c r="AM726" i="16"/>
  <c r="AL726" i="16"/>
  <c r="AK726" i="16"/>
  <c r="AJ726" i="16"/>
  <c r="AI726" i="16"/>
  <c r="AH726" i="16"/>
  <c r="AG726" i="16"/>
  <c r="AF726" i="16"/>
  <c r="AE726" i="16"/>
  <c r="AD726" i="16"/>
  <c r="AC726" i="16"/>
  <c r="C682" i="16"/>
  <c r="F675" i="16"/>
  <c r="F674" i="16"/>
  <c r="F673" i="16"/>
  <c r="F672" i="16"/>
  <c r="F671" i="16"/>
  <c r="F669" i="16"/>
  <c r="F652" i="16"/>
  <c r="F651" i="16"/>
  <c r="F650" i="16"/>
  <c r="F649" i="16"/>
  <c r="F648" i="16"/>
  <c r="F646" i="16"/>
  <c r="AO636" i="16"/>
  <c r="AO609" i="16"/>
  <c r="AD600" i="16"/>
  <c r="AC600" i="16"/>
  <c r="AB600" i="16"/>
  <c r="AA600" i="16"/>
  <c r="Z600" i="16"/>
  <c r="Y600" i="16"/>
  <c r="X600" i="16"/>
  <c r="W600" i="16"/>
  <c r="V600" i="16"/>
  <c r="U600" i="16"/>
  <c r="T600" i="16"/>
  <c r="S600" i="16"/>
  <c r="R600" i="16"/>
  <c r="Q600" i="16"/>
  <c r="P600" i="16"/>
  <c r="O600" i="16"/>
  <c r="N600" i="16"/>
  <c r="M600" i="16"/>
  <c r="L600" i="16"/>
  <c r="K600" i="16"/>
  <c r="J600" i="16"/>
  <c r="I600" i="16"/>
  <c r="C560" i="16"/>
  <c r="M557" i="16"/>
  <c r="L557" i="16"/>
  <c r="K557" i="16"/>
  <c r="J557" i="16"/>
  <c r="AN556" i="16"/>
  <c r="AM556" i="16"/>
  <c r="AL556" i="16"/>
  <c r="AK556" i="16"/>
  <c r="AJ556" i="16"/>
  <c r="AI556" i="16"/>
  <c r="AH556" i="16"/>
  <c r="AG556" i="16"/>
  <c r="AF556" i="16"/>
  <c r="AE556" i="16"/>
  <c r="AD556" i="16"/>
  <c r="AC556" i="16"/>
  <c r="AB556" i="16"/>
  <c r="AA556" i="16"/>
  <c r="Z556" i="16"/>
  <c r="Y556" i="16"/>
  <c r="X556" i="16"/>
  <c r="W556" i="16"/>
  <c r="V556" i="16"/>
  <c r="U556" i="16"/>
  <c r="C555" i="16"/>
  <c r="AO222" i="16"/>
  <c r="AP222" i="16"/>
  <c r="AO487" i="16"/>
  <c r="AO370" i="16"/>
  <c r="J334" i="16"/>
  <c r="K334" i="16"/>
  <c r="L334" i="16"/>
  <c r="M334" i="16"/>
  <c r="N334" i="16"/>
  <c r="O334" i="16"/>
  <c r="P334" i="16"/>
  <c r="Q334" i="16"/>
  <c r="R334" i="16"/>
  <c r="S334" i="16"/>
  <c r="T334" i="16"/>
  <c r="U334" i="16"/>
  <c r="V334" i="16"/>
  <c r="W334" i="16"/>
  <c r="X334" i="16"/>
  <c r="Y334" i="16"/>
  <c r="Z334" i="16"/>
  <c r="AA334" i="16"/>
  <c r="AB334" i="16"/>
  <c r="AC334" i="16"/>
  <c r="AD334" i="16"/>
  <c r="I334" i="16"/>
  <c r="J59" i="16"/>
  <c r="K59" i="16"/>
  <c r="L59" i="16"/>
  <c r="M59" i="16"/>
  <c r="N59" i="16"/>
  <c r="O59" i="16"/>
  <c r="P59" i="16"/>
  <c r="Q59" i="16"/>
  <c r="R59" i="16"/>
  <c r="S59" i="16"/>
  <c r="T59" i="16"/>
  <c r="U59" i="16"/>
  <c r="V59" i="16"/>
  <c r="W59" i="16"/>
  <c r="X59" i="16"/>
  <c r="Y59" i="16"/>
  <c r="Z59" i="16"/>
  <c r="AA59" i="16"/>
  <c r="AB59" i="16"/>
  <c r="AC59" i="16"/>
  <c r="AD59" i="16"/>
  <c r="J292" i="16"/>
  <c r="K292" i="16"/>
  <c r="L292" i="16"/>
  <c r="M292" i="16"/>
  <c r="I292" i="16"/>
  <c r="J17" i="16"/>
  <c r="K17" i="16"/>
  <c r="L17" i="16"/>
  <c r="M17" i="16"/>
  <c r="I17" i="16"/>
  <c r="U291" i="16"/>
  <c r="V291" i="16"/>
  <c r="V487" i="16" s="1"/>
  <c r="W291" i="16"/>
  <c r="W487" i="16" s="1"/>
  <c r="X291" i="16"/>
  <c r="X393" i="16" s="1"/>
  <c r="Y291" i="16"/>
  <c r="Z291" i="16"/>
  <c r="Z487" i="16" s="1"/>
  <c r="AA291" i="16"/>
  <c r="AA343" i="16" s="1"/>
  <c r="AB291" i="16"/>
  <c r="AB487" i="16" s="1"/>
  <c r="AC291" i="16"/>
  <c r="AC487" i="16" s="1"/>
  <c r="AD291" i="16"/>
  <c r="AD487" i="16" s="1"/>
  <c r="AE291" i="16"/>
  <c r="AE487" i="16" s="1"/>
  <c r="AF291" i="16"/>
  <c r="AF393" i="16" s="1"/>
  <c r="AG291" i="16"/>
  <c r="AH291" i="16"/>
  <c r="AH487" i="16" s="1"/>
  <c r="AI291" i="16"/>
  <c r="AI487" i="16" s="1"/>
  <c r="AJ291" i="16"/>
  <c r="AJ487" i="16" s="1"/>
  <c r="AK291" i="16"/>
  <c r="AL291" i="16"/>
  <c r="AL487" i="16" s="1"/>
  <c r="AM291" i="16"/>
  <c r="AM487" i="16" s="1"/>
  <c r="AN291" i="16"/>
  <c r="AN393" i="16" s="1"/>
  <c r="U16" i="16"/>
  <c r="U222" i="16" s="1"/>
  <c r="V16" i="16"/>
  <c r="V222" i="16" s="1"/>
  <c r="W16" i="16"/>
  <c r="W222" i="16" s="1"/>
  <c r="X16" i="16"/>
  <c r="X222" i="16" s="1"/>
  <c r="Y16" i="16"/>
  <c r="Y222" i="16" s="1"/>
  <c r="Z16" i="16"/>
  <c r="Z222" i="16" s="1"/>
  <c r="AA16" i="16"/>
  <c r="AA222" i="16" s="1"/>
  <c r="AB16" i="16"/>
  <c r="AB222" i="16" s="1"/>
  <c r="AC16" i="16"/>
  <c r="AC222" i="16" s="1"/>
  <c r="AD16" i="16"/>
  <c r="AD222" i="16" s="1"/>
  <c r="AE16" i="16"/>
  <c r="AE222" i="16" s="1"/>
  <c r="AF16" i="16"/>
  <c r="AF222" i="16" s="1"/>
  <c r="AG16" i="16"/>
  <c r="AG222" i="16" s="1"/>
  <c r="AH16" i="16"/>
  <c r="AH222" i="16" s="1"/>
  <c r="AI16" i="16"/>
  <c r="AI222" i="16" s="1"/>
  <c r="AJ16" i="16"/>
  <c r="AJ222" i="16" s="1"/>
  <c r="AK16" i="16"/>
  <c r="AK222" i="16" s="1"/>
  <c r="AL16" i="16"/>
  <c r="AL222" i="16" s="1"/>
  <c r="AM16" i="16"/>
  <c r="AM222" i="16" s="1"/>
  <c r="AN16" i="16"/>
  <c r="AN222" i="16" s="1"/>
  <c r="C510" i="16"/>
  <c r="F503" i="16"/>
  <c r="F502" i="16"/>
  <c r="F501" i="16"/>
  <c r="F500" i="16"/>
  <c r="F499" i="16"/>
  <c r="F497" i="16"/>
  <c r="AP487" i="16"/>
  <c r="AO477" i="16"/>
  <c r="AN477" i="16"/>
  <c r="AM477" i="16"/>
  <c r="AL477" i="16"/>
  <c r="AK477" i="16"/>
  <c r="AJ477" i="16"/>
  <c r="AI477" i="16"/>
  <c r="AH477" i="16"/>
  <c r="AG477" i="16"/>
  <c r="AF477" i="16"/>
  <c r="AE477" i="16"/>
  <c r="AD477" i="16"/>
  <c r="F476" i="16"/>
  <c r="F475" i="16"/>
  <c r="F474" i="16"/>
  <c r="F473" i="16"/>
  <c r="F472" i="16"/>
  <c r="F470" i="16"/>
  <c r="AN460" i="16"/>
  <c r="AM460" i="16"/>
  <c r="AL460" i="16"/>
  <c r="AK460" i="16"/>
  <c r="AJ460" i="16"/>
  <c r="AI460" i="16"/>
  <c r="AH460" i="16"/>
  <c r="AG460" i="16"/>
  <c r="AF460" i="16"/>
  <c r="AE460" i="16"/>
  <c r="AD460" i="16"/>
  <c r="AC460" i="16"/>
  <c r="C416" i="16"/>
  <c r="F409" i="16"/>
  <c r="F408" i="16"/>
  <c r="F407" i="16"/>
  <c r="F406" i="16"/>
  <c r="F405" i="16"/>
  <c r="F403" i="16"/>
  <c r="F386" i="16"/>
  <c r="F385" i="16"/>
  <c r="F384" i="16"/>
  <c r="F383" i="16"/>
  <c r="F382" i="16"/>
  <c r="F380" i="16"/>
  <c r="AO343" i="16"/>
  <c r="C295" i="16"/>
  <c r="C290" i="16"/>
  <c r="J12" i="15"/>
  <c r="J35" i="15"/>
  <c r="I35" i="15"/>
  <c r="F688" i="15"/>
  <c r="I822" i="15"/>
  <c r="J822" i="15"/>
  <c r="K822" i="15"/>
  <c r="L822" i="15"/>
  <c r="M822" i="15"/>
  <c r="N822" i="15"/>
  <c r="O822" i="15"/>
  <c r="P822" i="15"/>
  <c r="R822" i="15"/>
  <c r="S822" i="15"/>
  <c r="T822" i="15"/>
  <c r="U822" i="15"/>
  <c r="V822" i="15"/>
  <c r="W822" i="15"/>
  <c r="X822" i="15"/>
  <c r="Y822" i="15"/>
  <c r="Z822" i="15"/>
  <c r="AA822" i="15"/>
  <c r="AB822" i="15"/>
  <c r="AC822" i="15"/>
  <c r="AD822" i="15"/>
  <c r="AE822" i="15"/>
  <c r="AF822" i="15"/>
  <c r="AG822" i="15"/>
  <c r="AH822" i="15"/>
  <c r="AI822" i="15"/>
  <c r="AJ822" i="15"/>
  <c r="AK822" i="15"/>
  <c r="AL822" i="15"/>
  <c r="AM822" i="15"/>
  <c r="AN822" i="15"/>
  <c r="AO822" i="15"/>
  <c r="I823" i="15"/>
  <c r="J823" i="15"/>
  <c r="K823" i="15"/>
  <c r="L823" i="15"/>
  <c r="M823" i="15"/>
  <c r="N823" i="15"/>
  <c r="O823" i="15"/>
  <c r="P823" i="15"/>
  <c r="R823" i="15"/>
  <c r="S823" i="15"/>
  <c r="T823" i="15"/>
  <c r="U823" i="15"/>
  <c r="V823" i="15"/>
  <c r="W823" i="15"/>
  <c r="X823" i="15"/>
  <c r="Y823" i="15"/>
  <c r="Z823" i="15"/>
  <c r="AA823" i="15"/>
  <c r="AB823" i="15"/>
  <c r="AC823" i="15"/>
  <c r="AD823" i="15"/>
  <c r="AE823" i="15"/>
  <c r="AF823" i="15"/>
  <c r="AG823" i="15"/>
  <c r="AH823" i="15"/>
  <c r="AI823" i="15"/>
  <c r="AJ823" i="15"/>
  <c r="AK823" i="15"/>
  <c r="AL823" i="15"/>
  <c r="AM823" i="15"/>
  <c r="AN823" i="15"/>
  <c r="AO823" i="15"/>
  <c r="I824" i="15"/>
  <c r="J824" i="15"/>
  <c r="K824" i="15"/>
  <c r="L824" i="15"/>
  <c r="M824" i="15"/>
  <c r="N824" i="15"/>
  <c r="O824" i="15"/>
  <c r="P824" i="15"/>
  <c r="R824" i="15"/>
  <c r="S824" i="15"/>
  <c r="T824" i="15"/>
  <c r="U824" i="15"/>
  <c r="V824" i="15"/>
  <c r="W824" i="15"/>
  <c r="X824" i="15"/>
  <c r="Y824" i="15"/>
  <c r="Z824" i="15"/>
  <c r="AA824" i="15"/>
  <c r="AB824" i="15"/>
  <c r="AC824" i="15"/>
  <c r="AD824" i="15"/>
  <c r="AE824" i="15"/>
  <c r="AF824" i="15"/>
  <c r="AG824" i="15"/>
  <c r="AH824" i="15"/>
  <c r="AI824" i="15"/>
  <c r="AJ824" i="15"/>
  <c r="AK824" i="15"/>
  <c r="AL824" i="15"/>
  <c r="AM824" i="15"/>
  <c r="AN824" i="15"/>
  <c r="AO824" i="15"/>
  <c r="H824" i="15"/>
  <c r="H823" i="15"/>
  <c r="H822" i="15"/>
  <c r="I727" i="15"/>
  <c r="J727" i="15"/>
  <c r="K727" i="15"/>
  <c r="L727" i="15"/>
  <c r="M727" i="15"/>
  <c r="N727" i="15"/>
  <c r="O727" i="15"/>
  <c r="P727" i="15"/>
  <c r="Q727" i="15"/>
  <c r="R727" i="15"/>
  <c r="S727" i="15"/>
  <c r="T727" i="15"/>
  <c r="U727" i="15"/>
  <c r="V727" i="15"/>
  <c r="W727" i="15"/>
  <c r="X727" i="15"/>
  <c r="Y727" i="15"/>
  <c r="Z727" i="15"/>
  <c r="AA727" i="15"/>
  <c r="AB727" i="15"/>
  <c r="AC727" i="15"/>
  <c r="AD727" i="15"/>
  <c r="J409" i="15"/>
  <c r="K409" i="15"/>
  <c r="L409" i="15"/>
  <c r="M409" i="15"/>
  <c r="N409" i="15"/>
  <c r="O409" i="15"/>
  <c r="P409" i="15"/>
  <c r="Q409" i="15"/>
  <c r="R409" i="15"/>
  <c r="S409" i="15"/>
  <c r="T409" i="15"/>
  <c r="U409" i="15"/>
  <c r="V409" i="15"/>
  <c r="W409" i="15"/>
  <c r="X409" i="15"/>
  <c r="Y409" i="15"/>
  <c r="Z409" i="15"/>
  <c r="AA409" i="15"/>
  <c r="AB409" i="15"/>
  <c r="AC409" i="15"/>
  <c r="AD409" i="15"/>
  <c r="I409" i="15"/>
  <c r="AO718" i="15"/>
  <c r="H687" i="15"/>
  <c r="H686" i="15"/>
  <c r="H681" i="15"/>
  <c r="H678" i="15"/>
  <c r="H677" i="15"/>
  <c r="H676" i="15"/>
  <c r="I363" i="15"/>
  <c r="J363" i="15"/>
  <c r="K363" i="15"/>
  <c r="L363" i="15"/>
  <c r="M363" i="15"/>
  <c r="N363" i="15"/>
  <c r="O363" i="15"/>
  <c r="P363" i="15"/>
  <c r="Q363" i="15"/>
  <c r="R363" i="15"/>
  <c r="S363" i="15"/>
  <c r="T363" i="15"/>
  <c r="U363" i="15"/>
  <c r="AD363" i="15"/>
  <c r="AE363" i="15"/>
  <c r="AF363" i="15"/>
  <c r="AG363" i="15"/>
  <c r="AH363" i="15"/>
  <c r="AI363" i="15"/>
  <c r="AJ363" i="15"/>
  <c r="AK363" i="15"/>
  <c r="AL363" i="15"/>
  <c r="AM363" i="15"/>
  <c r="AN363" i="15"/>
  <c r="AO363" i="15"/>
  <c r="I364" i="15"/>
  <c r="J364" i="15"/>
  <c r="K364" i="15"/>
  <c r="L364" i="15"/>
  <c r="M364" i="15"/>
  <c r="N364" i="15"/>
  <c r="O364" i="15"/>
  <c r="P364" i="15"/>
  <c r="Q364" i="15"/>
  <c r="R364" i="15"/>
  <c r="S364" i="15"/>
  <c r="T364" i="15"/>
  <c r="U364" i="15"/>
  <c r="AD364" i="15"/>
  <c r="AE364" i="15"/>
  <c r="AF364" i="15"/>
  <c r="AG364" i="15"/>
  <c r="AH364" i="15"/>
  <c r="AI364" i="15"/>
  <c r="AJ364" i="15"/>
  <c r="AK364" i="15"/>
  <c r="AL364" i="15"/>
  <c r="AM364" i="15"/>
  <c r="AN364" i="15"/>
  <c r="AO364" i="15"/>
  <c r="I365" i="15"/>
  <c r="J365" i="15"/>
  <c r="K365" i="15"/>
  <c r="L365" i="15"/>
  <c r="M365" i="15"/>
  <c r="N365" i="15"/>
  <c r="O365" i="15"/>
  <c r="P365" i="15"/>
  <c r="Q365" i="15"/>
  <c r="R365" i="15"/>
  <c r="S365" i="15"/>
  <c r="T365" i="15"/>
  <c r="U365" i="15"/>
  <c r="AD365" i="15"/>
  <c r="AE365" i="15"/>
  <c r="AF365" i="15"/>
  <c r="AG365" i="15"/>
  <c r="AH365" i="15"/>
  <c r="AI365" i="15"/>
  <c r="AJ365" i="15"/>
  <c r="AK365" i="15"/>
  <c r="AL365" i="15"/>
  <c r="AM365" i="15"/>
  <c r="AN365" i="15"/>
  <c r="AO365" i="15"/>
  <c r="H364" i="15"/>
  <c r="I681" i="15"/>
  <c r="J681" i="15"/>
  <c r="K681" i="15"/>
  <c r="L681" i="15"/>
  <c r="M681" i="15"/>
  <c r="N681" i="15"/>
  <c r="O681" i="15"/>
  <c r="P681" i="15"/>
  <c r="Q681" i="15"/>
  <c r="R681" i="15"/>
  <c r="S681" i="15"/>
  <c r="T681" i="15"/>
  <c r="U681" i="15"/>
  <c r="X681" i="15"/>
  <c r="Z681" i="15"/>
  <c r="AD681" i="15"/>
  <c r="AE681" i="15"/>
  <c r="AF681" i="15"/>
  <c r="AG681" i="15"/>
  <c r="AH681" i="15"/>
  <c r="AI681" i="15"/>
  <c r="AJ681" i="15"/>
  <c r="AK681" i="15"/>
  <c r="AL681" i="15"/>
  <c r="AM681" i="15"/>
  <c r="AN681" i="15"/>
  <c r="AO681" i="15"/>
  <c r="I682" i="15"/>
  <c r="J682" i="15"/>
  <c r="K682" i="15"/>
  <c r="L682" i="15"/>
  <c r="M682" i="15"/>
  <c r="N682" i="15"/>
  <c r="O682" i="15"/>
  <c r="P682" i="15"/>
  <c r="Q682" i="15"/>
  <c r="R682" i="15"/>
  <c r="S682" i="15"/>
  <c r="T682" i="15"/>
  <c r="U682" i="15"/>
  <c r="V682" i="15"/>
  <c r="X682" i="15"/>
  <c r="Z682" i="15"/>
  <c r="AD682" i="15"/>
  <c r="AE682" i="15"/>
  <c r="AF682" i="15"/>
  <c r="AG682" i="15"/>
  <c r="AH682" i="15"/>
  <c r="AI682" i="15"/>
  <c r="AJ682" i="15"/>
  <c r="AK682" i="15"/>
  <c r="AL682" i="15"/>
  <c r="AM682" i="15"/>
  <c r="AN682" i="15"/>
  <c r="AO682" i="15"/>
  <c r="I683" i="15"/>
  <c r="J683" i="15"/>
  <c r="K683" i="15"/>
  <c r="L683" i="15"/>
  <c r="M683" i="15"/>
  <c r="N683" i="15"/>
  <c r="O683" i="15"/>
  <c r="P683" i="15"/>
  <c r="Q683" i="15"/>
  <c r="R683" i="15"/>
  <c r="S683" i="15"/>
  <c r="T683" i="15"/>
  <c r="U683" i="15"/>
  <c r="V683" i="15"/>
  <c r="X683" i="15"/>
  <c r="Z683" i="15"/>
  <c r="AD683" i="15"/>
  <c r="AE683" i="15"/>
  <c r="AF683" i="15"/>
  <c r="AG683" i="15"/>
  <c r="AH683" i="15"/>
  <c r="AI683" i="15"/>
  <c r="AJ683" i="15"/>
  <c r="AK683" i="15"/>
  <c r="AL683" i="15"/>
  <c r="AM683" i="15"/>
  <c r="AN683" i="15"/>
  <c r="AO683" i="15"/>
  <c r="H683" i="15"/>
  <c r="H682" i="15"/>
  <c r="I676" i="15"/>
  <c r="J676" i="15"/>
  <c r="K676" i="15"/>
  <c r="L676" i="15"/>
  <c r="N676" i="15"/>
  <c r="O676" i="15"/>
  <c r="Q676" i="15"/>
  <c r="U676" i="15"/>
  <c r="V676" i="15"/>
  <c r="W676" i="15"/>
  <c r="X676" i="15"/>
  <c r="Y676" i="15"/>
  <c r="Z676" i="15"/>
  <c r="AA676" i="15"/>
  <c r="AB676" i="15"/>
  <c r="AC676" i="15"/>
  <c r="AD676" i="15"/>
  <c r="AE676" i="15"/>
  <c r="AF676" i="15"/>
  <c r="AG676" i="15"/>
  <c r="AH676" i="15"/>
  <c r="AI676" i="15"/>
  <c r="AJ676" i="15"/>
  <c r="AK676" i="15"/>
  <c r="AL676" i="15"/>
  <c r="AM676" i="15"/>
  <c r="AN676" i="15"/>
  <c r="AO676" i="15"/>
  <c r="I677" i="15"/>
  <c r="J677" i="15"/>
  <c r="K677" i="15"/>
  <c r="L677" i="15"/>
  <c r="O677" i="15"/>
  <c r="Q677" i="15"/>
  <c r="U677" i="15"/>
  <c r="V677" i="15"/>
  <c r="W677" i="15"/>
  <c r="X677" i="15"/>
  <c r="Y677" i="15"/>
  <c r="Z677" i="15"/>
  <c r="AA677" i="15"/>
  <c r="AB677" i="15"/>
  <c r="AC677" i="15"/>
  <c r="AD677" i="15"/>
  <c r="AE677" i="15"/>
  <c r="AF677" i="15"/>
  <c r="AG677" i="15"/>
  <c r="AH677" i="15"/>
  <c r="AI677" i="15"/>
  <c r="AJ677" i="15"/>
  <c r="AK677" i="15"/>
  <c r="AL677" i="15"/>
  <c r="AM677" i="15"/>
  <c r="AN677" i="15"/>
  <c r="AO677" i="15"/>
  <c r="I678" i="15"/>
  <c r="J678" i="15"/>
  <c r="K678" i="15"/>
  <c r="L678" i="15"/>
  <c r="N678" i="15"/>
  <c r="O678" i="15"/>
  <c r="Q678" i="15"/>
  <c r="U678" i="15"/>
  <c r="V678" i="15"/>
  <c r="W678" i="15"/>
  <c r="X678" i="15"/>
  <c r="Y678" i="15"/>
  <c r="Z678" i="15"/>
  <c r="AA678" i="15"/>
  <c r="AB678" i="15"/>
  <c r="AC678" i="15"/>
  <c r="AD678" i="15"/>
  <c r="AE678" i="15"/>
  <c r="AF678" i="15"/>
  <c r="AG678" i="15"/>
  <c r="AH678" i="15"/>
  <c r="AI678" i="15"/>
  <c r="AJ678" i="15"/>
  <c r="AK678" i="15"/>
  <c r="AL678" i="15"/>
  <c r="AM678" i="15"/>
  <c r="AN678" i="15"/>
  <c r="AO678" i="15"/>
  <c r="F853" i="15"/>
  <c r="F856" i="15"/>
  <c r="F855" i="15"/>
  <c r="F854" i="15"/>
  <c r="F845" i="15"/>
  <c r="F844" i="15"/>
  <c r="F843" i="15"/>
  <c r="F824" i="15"/>
  <c r="F823" i="15"/>
  <c r="F822" i="15"/>
  <c r="F819" i="15"/>
  <c r="F818" i="15"/>
  <c r="F817" i="15"/>
  <c r="F742" i="15"/>
  <c r="F741" i="15"/>
  <c r="F740" i="15"/>
  <c r="F739" i="15"/>
  <c r="F733" i="15"/>
  <c r="F732" i="15"/>
  <c r="F731" i="15"/>
  <c r="F720" i="15"/>
  <c r="F723" i="15"/>
  <c r="F722" i="15"/>
  <c r="F721" i="15"/>
  <c r="F712" i="15"/>
  <c r="F711" i="15"/>
  <c r="F710" i="15"/>
  <c r="F683" i="15"/>
  <c r="AA683" i="15" s="1"/>
  <c r="F682" i="15"/>
  <c r="Y682" i="15" s="1"/>
  <c r="F681" i="15"/>
  <c r="Y681" i="15" s="1"/>
  <c r="F678" i="15"/>
  <c r="R678" i="15" s="1"/>
  <c r="F677" i="15"/>
  <c r="P677" i="15" s="1"/>
  <c r="F676" i="15"/>
  <c r="P676" i="15" s="1"/>
  <c r="J658" i="15"/>
  <c r="K658" i="15"/>
  <c r="L658" i="15"/>
  <c r="M658" i="15"/>
  <c r="N658" i="15"/>
  <c r="O658" i="15"/>
  <c r="P658" i="15"/>
  <c r="I658" i="15"/>
  <c r="X657" i="15"/>
  <c r="Y657" i="15"/>
  <c r="Z657" i="15"/>
  <c r="AA657" i="15"/>
  <c r="AB657" i="15"/>
  <c r="AC657" i="15"/>
  <c r="AD657" i="15"/>
  <c r="AE657" i="15"/>
  <c r="AF657" i="15"/>
  <c r="AG657" i="15"/>
  <c r="AH657" i="15"/>
  <c r="AI657" i="15"/>
  <c r="AJ657" i="15"/>
  <c r="AK657" i="15"/>
  <c r="AL657" i="15"/>
  <c r="AM657" i="15"/>
  <c r="AN657" i="15"/>
  <c r="J653" i="15"/>
  <c r="K653" i="15"/>
  <c r="L653" i="15"/>
  <c r="M653" i="15"/>
  <c r="N653" i="15"/>
  <c r="O653" i="15"/>
  <c r="P653" i="15"/>
  <c r="Q653" i="15"/>
  <c r="R653" i="15"/>
  <c r="S653" i="15"/>
  <c r="T653" i="15"/>
  <c r="U653" i="15"/>
  <c r="V653" i="15"/>
  <c r="W653" i="15"/>
  <c r="X653" i="15"/>
  <c r="Y653" i="15"/>
  <c r="Z653" i="15"/>
  <c r="AA653" i="15"/>
  <c r="AB653" i="15"/>
  <c r="AC653" i="15"/>
  <c r="AD653" i="15"/>
  <c r="AE653" i="15"/>
  <c r="AF653" i="15"/>
  <c r="AG653" i="15"/>
  <c r="AH653" i="15"/>
  <c r="AI653" i="15"/>
  <c r="AJ653" i="15"/>
  <c r="AK653" i="15"/>
  <c r="AL653" i="15"/>
  <c r="AM653" i="15"/>
  <c r="AN653" i="15"/>
  <c r="I653" i="15"/>
  <c r="C930" i="15"/>
  <c r="F923" i="15"/>
  <c r="F922" i="15"/>
  <c r="F921" i="15"/>
  <c r="F920" i="15"/>
  <c r="F919" i="15"/>
  <c r="F917" i="15"/>
  <c r="AO907" i="15"/>
  <c r="F896" i="15"/>
  <c r="F895" i="15"/>
  <c r="F894" i="15"/>
  <c r="F893" i="15"/>
  <c r="F892" i="15"/>
  <c r="F890" i="15"/>
  <c r="AO880" i="15"/>
  <c r="AN880" i="15"/>
  <c r="AM880" i="15"/>
  <c r="AL880" i="15"/>
  <c r="AK880" i="15"/>
  <c r="AJ880" i="15"/>
  <c r="AI880" i="15"/>
  <c r="AH880" i="15"/>
  <c r="AG880" i="15"/>
  <c r="AF880" i="15"/>
  <c r="AE880" i="15"/>
  <c r="AD880" i="15"/>
  <c r="AC880" i="15"/>
  <c r="F874" i="15"/>
  <c r="F873" i="15"/>
  <c r="H827" i="15"/>
  <c r="C811" i="15"/>
  <c r="F804" i="15"/>
  <c r="F803" i="15"/>
  <c r="F802" i="15"/>
  <c r="F801" i="15"/>
  <c r="F800" i="15"/>
  <c r="F798" i="15"/>
  <c r="AO788" i="15"/>
  <c r="F781" i="15"/>
  <c r="F780" i="15"/>
  <c r="F779" i="15"/>
  <c r="F778" i="15"/>
  <c r="F777" i="15"/>
  <c r="F775" i="15"/>
  <c r="AO765" i="15"/>
  <c r="F758" i="15"/>
  <c r="F757" i="15"/>
  <c r="AO736" i="15"/>
  <c r="AO717" i="15"/>
  <c r="AO687" i="15"/>
  <c r="AN687" i="15"/>
  <c r="AM687" i="15"/>
  <c r="AL687" i="15"/>
  <c r="AK687" i="15"/>
  <c r="AJ687" i="15"/>
  <c r="AI687" i="15"/>
  <c r="AH687" i="15"/>
  <c r="AG687" i="15"/>
  <c r="AF687" i="15"/>
  <c r="AE687" i="15"/>
  <c r="AD687" i="15"/>
  <c r="AC687" i="15"/>
  <c r="AB687" i="15"/>
  <c r="AA687" i="15"/>
  <c r="Z687" i="15"/>
  <c r="Y687" i="15"/>
  <c r="X687" i="15"/>
  <c r="W687" i="15"/>
  <c r="V687" i="15"/>
  <c r="U687" i="15"/>
  <c r="S687" i="15"/>
  <c r="R687" i="15"/>
  <c r="Q687" i="15"/>
  <c r="O687" i="15"/>
  <c r="N687" i="15"/>
  <c r="M687" i="15"/>
  <c r="L687" i="15"/>
  <c r="K687" i="15"/>
  <c r="J687" i="15"/>
  <c r="I687" i="15"/>
  <c r="AO686" i="15"/>
  <c r="AN686" i="15"/>
  <c r="AM686" i="15"/>
  <c r="AL686" i="15"/>
  <c r="AK686" i="15"/>
  <c r="AJ686" i="15"/>
  <c r="AI686" i="15"/>
  <c r="AH686" i="15"/>
  <c r="AG686" i="15"/>
  <c r="AF686" i="15"/>
  <c r="AE686" i="15"/>
  <c r="AD686" i="15"/>
  <c r="AC686" i="15"/>
  <c r="AB686" i="15"/>
  <c r="AA686" i="15"/>
  <c r="Z686" i="15"/>
  <c r="Y686" i="15"/>
  <c r="X686" i="15"/>
  <c r="W686" i="15"/>
  <c r="V686" i="15"/>
  <c r="U686" i="15"/>
  <c r="T686" i="15"/>
  <c r="S686" i="15"/>
  <c r="R686" i="15"/>
  <c r="Q686" i="15"/>
  <c r="P686" i="15"/>
  <c r="O686" i="15"/>
  <c r="N686" i="15"/>
  <c r="M686" i="15"/>
  <c r="L686" i="15"/>
  <c r="K686" i="15"/>
  <c r="J686" i="15"/>
  <c r="I686" i="15"/>
  <c r="C661" i="15"/>
  <c r="C656" i="15"/>
  <c r="AC562" i="15"/>
  <c r="AD562" i="15"/>
  <c r="AE562" i="15"/>
  <c r="AF562" i="15"/>
  <c r="AG562" i="15"/>
  <c r="AH562" i="15"/>
  <c r="AI562" i="15"/>
  <c r="AJ562" i="15"/>
  <c r="AK562" i="15"/>
  <c r="AL562" i="15"/>
  <c r="AM562" i="15"/>
  <c r="AN562" i="15"/>
  <c r="AO562" i="15"/>
  <c r="I504" i="15"/>
  <c r="J504" i="15"/>
  <c r="K504" i="15"/>
  <c r="L504" i="15"/>
  <c r="M504" i="15"/>
  <c r="N504" i="15"/>
  <c r="O504" i="15"/>
  <c r="P504" i="15"/>
  <c r="R504" i="15"/>
  <c r="S504" i="15"/>
  <c r="T504" i="15"/>
  <c r="U504" i="15"/>
  <c r="V504" i="15"/>
  <c r="W504" i="15"/>
  <c r="X504" i="15"/>
  <c r="Y504" i="15"/>
  <c r="Z504" i="15"/>
  <c r="AA504" i="15"/>
  <c r="AB504" i="15"/>
  <c r="AC504" i="15"/>
  <c r="AD504" i="15"/>
  <c r="AE504" i="15"/>
  <c r="AF504" i="15"/>
  <c r="AG504" i="15"/>
  <c r="AH504" i="15"/>
  <c r="AI504" i="15"/>
  <c r="AJ504" i="15"/>
  <c r="AK504" i="15"/>
  <c r="AL504" i="15"/>
  <c r="AM504" i="15"/>
  <c r="AN504" i="15"/>
  <c r="AO504" i="15"/>
  <c r="I505" i="15"/>
  <c r="J505" i="15"/>
  <c r="K505" i="15"/>
  <c r="L505" i="15"/>
  <c r="M505" i="15"/>
  <c r="N505" i="15"/>
  <c r="O505" i="15"/>
  <c r="P505" i="15"/>
  <c r="R505" i="15"/>
  <c r="S505" i="15"/>
  <c r="T505" i="15"/>
  <c r="U505" i="15"/>
  <c r="V505" i="15"/>
  <c r="W505" i="15"/>
  <c r="X505" i="15"/>
  <c r="Y505" i="15"/>
  <c r="Z505" i="15"/>
  <c r="AA505" i="15"/>
  <c r="AB505" i="15"/>
  <c r="AC505" i="15"/>
  <c r="AD505" i="15"/>
  <c r="AE505" i="15"/>
  <c r="AF505" i="15"/>
  <c r="AG505" i="15"/>
  <c r="AH505" i="15"/>
  <c r="AI505" i="15"/>
  <c r="AJ505" i="15"/>
  <c r="AK505" i="15"/>
  <c r="AL505" i="15"/>
  <c r="AM505" i="15"/>
  <c r="AN505" i="15"/>
  <c r="AO505" i="15"/>
  <c r="I506" i="15"/>
  <c r="J506" i="15"/>
  <c r="K506" i="15"/>
  <c r="L506" i="15"/>
  <c r="M506" i="15"/>
  <c r="N506" i="15"/>
  <c r="O506" i="15"/>
  <c r="P506" i="15"/>
  <c r="R506" i="15"/>
  <c r="S506" i="15"/>
  <c r="T506" i="15"/>
  <c r="U506" i="15"/>
  <c r="V506" i="15"/>
  <c r="W506" i="15"/>
  <c r="X506" i="15"/>
  <c r="Y506" i="15"/>
  <c r="Z506" i="15"/>
  <c r="AA506" i="15"/>
  <c r="AB506" i="15"/>
  <c r="AC506" i="15"/>
  <c r="AD506" i="15"/>
  <c r="AE506" i="15"/>
  <c r="AF506" i="15"/>
  <c r="AG506" i="15"/>
  <c r="AH506" i="15"/>
  <c r="AI506" i="15"/>
  <c r="AJ506" i="15"/>
  <c r="AK506" i="15"/>
  <c r="AL506" i="15"/>
  <c r="AM506" i="15"/>
  <c r="AN506" i="15"/>
  <c r="AO506" i="15"/>
  <c r="H506" i="15"/>
  <c r="H505" i="15"/>
  <c r="H504" i="15"/>
  <c r="F535" i="15"/>
  <c r="F538" i="15"/>
  <c r="F537" i="15"/>
  <c r="F536" i="15"/>
  <c r="F527" i="15"/>
  <c r="F526" i="15"/>
  <c r="F525" i="15"/>
  <c r="F506" i="15"/>
  <c r="F505" i="15"/>
  <c r="F504" i="15"/>
  <c r="F501" i="15"/>
  <c r="F500" i="15"/>
  <c r="F499" i="15"/>
  <c r="F421" i="15"/>
  <c r="F424" i="15"/>
  <c r="F423" i="15"/>
  <c r="F422" i="15"/>
  <c r="F415" i="15"/>
  <c r="F414" i="15"/>
  <c r="F413" i="15"/>
  <c r="F402" i="15"/>
  <c r="F405" i="15"/>
  <c r="F404" i="15"/>
  <c r="F403" i="15"/>
  <c r="F394" i="15"/>
  <c r="F393" i="15"/>
  <c r="F392" i="15"/>
  <c r="F365" i="15"/>
  <c r="AA365" i="15" s="1"/>
  <c r="F364" i="15"/>
  <c r="X364" i="15" s="1"/>
  <c r="F363" i="15"/>
  <c r="Y363" i="15" s="1"/>
  <c r="F360" i="15"/>
  <c r="F359" i="15"/>
  <c r="S359" i="15" s="1"/>
  <c r="F358" i="15"/>
  <c r="P358" i="15" s="1"/>
  <c r="AO400" i="15"/>
  <c r="I368" i="15"/>
  <c r="J368" i="15"/>
  <c r="K368" i="15"/>
  <c r="L368" i="15"/>
  <c r="M368" i="15"/>
  <c r="N368" i="15"/>
  <c r="O368" i="15"/>
  <c r="P368" i="15"/>
  <c r="Q368" i="15"/>
  <c r="R368" i="15"/>
  <c r="S368" i="15"/>
  <c r="T368" i="15"/>
  <c r="U368" i="15"/>
  <c r="V368" i="15"/>
  <c r="W368" i="15"/>
  <c r="X368" i="15"/>
  <c r="Y368" i="15"/>
  <c r="Z368" i="15"/>
  <c r="AA368" i="15"/>
  <c r="AB368" i="15"/>
  <c r="AC368" i="15"/>
  <c r="AD368" i="15"/>
  <c r="AE368" i="15"/>
  <c r="AF368" i="15"/>
  <c r="AG368" i="15"/>
  <c r="AH368" i="15"/>
  <c r="AI368" i="15"/>
  <c r="AJ368" i="15"/>
  <c r="AK368" i="15"/>
  <c r="AL368" i="15"/>
  <c r="AM368" i="15"/>
  <c r="AN368" i="15"/>
  <c r="AO368" i="15"/>
  <c r="I369" i="15"/>
  <c r="J369" i="15"/>
  <c r="K369" i="15"/>
  <c r="L369" i="15"/>
  <c r="M369" i="15"/>
  <c r="N369" i="15"/>
  <c r="O369" i="15"/>
  <c r="Q369" i="15"/>
  <c r="R369" i="15"/>
  <c r="S369" i="15"/>
  <c r="U369" i="15"/>
  <c r="V369" i="15"/>
  <c r="W369" i="15"/>
  <c r="X369" i="15"/>
  <c r="Y369" i="15"/>
  <c r="Z369" i="15"/>
  <c r="AA369" i="15"/>
  <c r="AB369" i="15"/>
  <c r="AC369" i="15"/>
  <c r="AD369" i="15"/>
  <c r="AE369" i="15"/>
  <c r="AF369" i="15"/>
  <c r="AG369" i="15"/>
  <c r="AH369" i="15"/>
  <c r="AI369" i="15"/>
  <c r="AJ369" i="15"/>
  <c r="AK369" i="15"/>
  <c r="AL369" i="15"/>
  <c r="AM369" i="15"/>
  <c r="AN369" i="15"/>
  <c r="AO369" i="15"/>
  <c r="I370" i="15"/>
  <c r="J370" i="15"/>
  <c r="K370" i="15"/>
  <c r="L370" i="15"/>
  <c r="M370" i="15"/>
  <c r="O370" i="15"/>
  <c r="Q370" i="15"/>
  <c r="U370" i="15"/>
  <c r="V370" i="15"/>
  <c r="W370" i="15"/>
  <c r="X370" i="15"/>
  <c r="Y370" i="15"/>
  <c r="Z370" i="15"/>
  <c r="AA370" i="15"/>
  <c r="AB370" i="15"/>
  <c r="AC370" i="15"/>
  <c r="AD370" i="15"/>
  <c r="AE370" i="15"/>
  <c r="AF370" i="15"/>
  <c r="AG370" i="15"/>
  <c r="AH370" i="15"/>
  <c r="AI370" i="15"/>
  <c r="AJ370" i="15"/>
  <c r="AK370" i="15"/>
  <c r="AL370" i="15"/>
  <c r="AM370" i="15"/>
  <c r="AN370" i="15"/>
  <c r="AO370" i="15"/>
  <c r="I371" i="15"/>
  <c r="J371" i="15"/>
  <c r="K371" i="15"/>
  <c r="L371" i="15"/>
  <c r="M371" i="15"/>
  <c r="O371" i="15"/>
  <c r="Q371" i="15"/>
  <c r="U371" i="15"/>
  <c r="V371" i="15"/>
  <c r="W371" i="15"/>
  <c r="X371" i="15"/>
  <c r="Y371" i="15"/>
  <c r="Z371" i="15"/>
  <c r="AA371" i="15"/>
  <c r="AB371" i="15"/>
  <c r="AC371" i="15"/>
  <c r="AD371" i="15"/>
  <c r="AE371" i="15"/>
  <c r="AF371" i="15"/>
  <c r="AG371" i="15"/>
  <c r="AH371" i="15"/>
  <c r="AI371" i="15"/>
  <c r="AJ371" i="15"/>
  <c r="AK371" i="15"/>
  <c r="AL371" i="15"/>
  <c r="AM371" i="15"/>
  <c r="AN371" i="15"/>
  <c r="AO371" i="15"/>
  <c r="H371" i="15"/>
  <c r="H370" i="15"/>
  <c r="H369" i="15"/>
  <c r="H368" i="15"/>
  <c r="H363" i="15"/>
  <c r="H365" i="15"/>
  <c r="I358" i="15"/>
  <c r="J358" i="15"/>
  <c r="K358" i="15"/>
  <c r="L358" i="15"/>
  <c r="O358" i="15"/>
  <c r="Q358" i="15"/>
  <c r="U358" i="15"/>
  <c r="V358" i="15"/>
  <c r="W358" i="15"/>
  <c r="X358" i="15"/>
  <c r="Y358" i="15"/>
  <c r="Z358" i="15"/>
  <c r="AA358" i="15"/>
  <c r="AB358" i="15"/>
  <c r="AC358" i="15"/>
  <c r="AD358" i="15"/>
  <c r="AE358" i="15"/>
  <c r="AF358" i="15"/>
  <c r="AG358" i="15"/>
  <c r="AH358" i="15"/>
  <c r="AI358" i="15"/>
  <c r="AJ358" i="15"/>
  <c r="AK358" i="15"/>
  <c r="AL358" i="15"/>
  <c r="AM358" i="15"/>
  <c r="AN358" i="15"/>
  <c r="AO358" i="15"/>
  <c r="I359" i="15"/>
  <c r="J359" i="15"/>
  <c r="K359" i="15"/>
  <c r="L359" i="15"/>
  <c r="M359" i="15"/>
  <c r="O359" i="15"/>
  <c r="Q359" i="15"/>
  <c r="U359" i="15"/>
  <c r="V359" i="15"/>
  <c r="W359" i="15"/>
  <c r="X359" i="15"/>
  <c r="Y359" i="15"/>
  <c r="Z359" i="15"/>
  <c r="AA359" i="15"/>
  <c r="AB359" i="15"/>
  <c r="AC359" i="15"/>
  <c r="AD359" i="15"/>
  <c r="AE359" i="15"/>
  <c r="AF359" i="15"/>
  <c r="AG359" i="15"/>
  <c r="AH359" i="15"/>
  <c r="AI359" i="15"/>
  <c r="AJ359" i="15"/>
  <c r="AK359" i="15"/>
  <c r="AL359" i="15"/>
  <c r="AM359" i="15"/>
  <c r="AN359" i="15"/>
  <c r="AO359" i="15"/>
  <c r="I360" i="15"/>
  <c r="J360" i="15"/>
  <c r="K360" i="15"/>
  <c r="L360" i="15"/>
  <c r="M360" i="15"/>
  <c r="N360" i="15"/>
  <c r="O360" i="15"/>
  <c r="Q360" i="15"/>
  <c r="R360" i="15"/>
  <c r="S360" i="15"/>
  <c r="U360" i="15"/>
  <c r="V360" i="15"/>
  <c r="W360" i="15"/>
  <c r="X360" i="15"/>
  <c r="Y360" i="15"/>
  <c r="Z360" i="15"/>
  <c r="AA360" i="15"/>
  <c r="AB360" i="15"/>
  <c r="AC360" i="15"/>
  <c r="AD360" i="15"/>
  <c r="AE360" i="15"/>
  <c r="AF360" i="15"/>
  <c r="AG360" i="15"/>
  <c r="AH360" i="15"/>
  <c r="AI360" i="15"/>
  <c r="AJ360" i="15"/>
  <c r="AK360" i="15"/>
  <c r="AL360" i="15"/>
  <c r="AM360" i="15"/>
  <c r="AN360" i="15"/>
  <c r="AO360" i="15"/>
  <c r="H360" i="15"/>
  <c r="H359" i="15"/>
  <c r="H358" i="15"/>
  <c r="H37" i="15"/>
  <c r="H36" i="15"/>
  <c r="H35" i="15"/>
  <c r="J340" i="15"/>
  <c r="K340" i="15"/>
  <c r="L340" i="15"/>
  <c r="M340" i="15"/>
  <c r="N340" i="15"/>
  <c r="O340" i="15"/>
  <c r="P340" i="15"/>
  <c r="I340" i="15"/>
  <c r="X339" i="15"/>
  <c r="Y339" i="15"/>
  <c r="Z339" i="15"/>
  <c r="AA339" i="15"/>
  <c r="AB339" i="15"/>
  <c r="AC339" i="15"/>
  <c r="AD339" i="15"/>
  <c r="AE339" i="15"/>
  <c r="AF339" i="15"/>
  <c r="AG339" i="15"/>
  <c r="AH339" i="15"/>
  <c r="AI339" i="15"/>
  <c r="AJ339" i="15"/>
  <c r="AK339" i="15"/>
  <c r="AL339" i="15"/>
  <c r="AM339" i="15"/>
  <c r="AN339" i="15"/>
  <c r="J335" i="15"/>
  <c r="K335" i="15"/>
  <c r="L335" i="15"/>
  <c r="M335" i="15"/>
  <c r="N335" i="15"/>
  <c r="O335" i="15"/>
  <c r="P335" i="15"/>
  <c r="Q335" i="15"/>
  <c r="R335" i="15"/>
  <c r="S335" i="15"/>
  <c r="T335" i="15"/>
  <c r="U335" i="15"/>
  <c r="V335" i="15"/>
  <c r="W335" i="15"/>
  <c r="X335" i="15"/>
  <c r="Y335" i="15"/>
  <c r="Z335" i="15"/>
  <c r="AA335" i="15"/>
  <c r="AB335" i="15"/>
  <c r="AC335" i="15"/>
  <c r="AD335" i="15"/>
  <c r="AE335" i="15"/>
  <c r="AF335" i="15"/>
  <c r="AG335" i="15"/>
  <c r="AH335" i="15"/>
  <c r="AI335" i="15"/>
  <c r="AJ335" i="15"/>
  <c r="AK335" i="15"/>
  <c r="AL335" i="15"/>
  <c r="AM335" i="15"/>
  <c r="AN335" i="15"/>
  <c r="I335" i="15"/>
  <c r="C612" i="15"/>
  <c r="F605" i="15"/>
  <c r="F604" i="15"/>
  <c r="F603" i="15"/>
  <c r="F602" i="15"/>
  <c r="F601" i="15"/>
  <c r="F599" i="15"/>
  <c r="AO589" i="15"/>
  <c r="F578" i="15"/>
  <c r="F577" i="15"/>
  <c r="F576" i="15"/>
  <c r="F575" i="15"/>
  <c r="F574" i="15"/>
  <c r="F572" i="15"/>
  <c r="F556" i="15"/>
  <c r="F555" i="15"/>
  <c r="H509" i="15"/>
  <c r="C493" i="15"/>
  <c r="F486" i="15"/>
  <c r="F485" i="15"/>
  <c r="F484" i="15"/>
  <c r="F483" i="15"/>
  <c r="F482" i="15"/>
  <c r="F480" i="15"/>
  <c r="AO470" i="15"/>
  <c r="F463" i="15"/>
  <c r="F462" i="15"/>
  <c r="F461" i="15"/>
  <c r="F460" i="15"/>
  <c r="F459" i="15"/>
  <c r="F457" i="15"/>
  <c r="AO447" i="15"/>
  <c r="F440" i="15"/>
  <c r="F439" i="15"/>
  <c r="AO418" i="15"/>
  <c r="AO399" i="15"/>
  <c r="C343" i="15"/>
  <c r="C338" i="15"/>
  <c r="D149" i="24"/>
  <c r="AM9" i="5"/>
  <c r="AN225" i="15" s="1"/>
  <c r="AN9" i="5"/>
  <c r="AO225" i="15" s="1"/>
  <c r="T689" i="15" l="1"/>
  <c r="T688" i="15"/>
  <c r="J853" i="15" a="1"/>
  <c r="J853" i="15" s="1"/>
  <c r="Q853" i="15" a="1"/>
  <c r="Q853" i="15" s="1"/>
  <c r="V853" i="15" a="1"/>
  <c r="V853" i="15" s="1"/>
  <c r="I853" i="15" a="1"/>
  <c r="I853" i="15" s="1"/>
  <c r="X853" i="15" a="1"/>
  <c r="X853" i="15" s="1"/>
  <c r="K853" i="15" a="1"/>
  <c r="K853" i="15" s="1"/>
  <c r="R853" i="15" a="1"/>
  <c r="R853" i="15" s="1"/>
  <c r="W853" i="15" a="1"/>
  <c r="W853" i="15" s="1"/>
  <c r="L853" i="15" a="1"/>
  <c r="L853" i="15" s="1"/>
  <c r="P853" i="15" a="1"/>
  <c r="P853" i="15" s="1"/>
  <c r="M853" i="15" a="1"/>
  <c r="M853" i="15" s="1"/>
  <c r="S853" i="15" a="1"/>
  <c r="S853" i="15" s="1"/>
  <c r="Y853" i="15" a="1"/>
  <c r="Y853" i="15" s="1"/>
  <c r="AA853" i="15" a="1"/>
  <c r="AA853" i="15" s="1"/>
  <c r="U853" i="15" a="1"/>
  <c r="U853" i="15" s="1"/>
  <c r="N853" i="15" a="1"/>
  <c r="N853" i="15" s="1"/>
  <c r="T853" i="15" a="1"/>
  <c r="T853" i="15" s="1"/>
  <c r="Z853" i="15" a="1"/>
  <c r="Z853" i="15" s="1"/>
  <c r="O853" i="15" a="1"/>
  <c r="O853" i="15" s="1"/>
  <c r="AB853" i="15" a="1"/>
  <c r="AB853" i="15" s="1"/>
  <c r="P720" i="15" a="1"/>
  <c r="P720" i="15" s="1"/>
  <c r="W720" i="15" a="1"/>
  <c r="W720" i="15" s="1"/>
  <c r="AE720" i="15" a="1"/>
  <c r="AE720" i="15" s="1"/>
  <c r="AM720" i="15" a="1"/>
  <c r="AM720" i="15" s="1"/>
  <c r="Y720" i="15" a="1"/>
  <c r="Y720" i="15" s="1"/>
  <c r="AO720" i="15" a="1"/>
  <c r="AO720" i="15" s="1"/>
  <c r="AK720" i="15" a="1"/>
  <c r="AK720" i="15" s="1"/>
  <c r="AD720" i="15" a="1"/>
  <c r="AD720" i="15" s="1"/>
  <c r="Q720" i="15" a="1"/>
  <c r="Q720" i="15" s="1"/>
  <c r="X720" i="15" a="1"/>
  <c r="X720" i="15" s="1"/>
  <c r="AF720" i="15" a="1"/>
  <c r="AF720" i="15" s="1"/>
  <c r="AN720" i="15" a="1"/>
  <c r="AN720" i="15" s="1"/>
  <c r="J720" i="15" a="1"/>
  <c r="J720" i="15" s="1"/>
  <c r="AG720" i="15" a="1"/>
  <c r="AG720" i="15" s="1"/>
  <c r="U720" i="15" a="1"/>
  <c r="U720" i="15" s="1"/>
  <c r="AL720" i="15" a="1"/>
  <c r="AL720" i="15" s="1"/>
  <c r="K720" i="15" a="1"/>
  <c r="K720" i="15" s="1"/>
  <c r="R720" i="15" a="1"/>
  <c r="R720" i="15" s="1"/>
  <c r="Z720" i="15" a="1"/>
  <c r="Z720" i="15" s="1"/>
  <c r="AH720" i="15" a="1"/>
  <c r="AH720" i="15" s="1"/>
  <c r="T720" i="15" a="1"/>
  <c r="T720" i="15" s="1"/>
  <c r="AJ720" i="15" a="1"/>
  <c r="AJ720" i="15" s="1"/>
  <c r="N720" i="15" a="1"/>
  <c r="N720" i="15" s="1"/>
  <c r="O720" i="15" a="1"/>
  <c r="O720" i="15" s="1"/>
  <c r="L720" i="15" a="1"/>
  <c r="L720" i="15" s="1"/>
  <c r="S720" i="15" a="1"/>
  <c r="S720" i="15" s="1"/>
  <c r="AA720" i="15" a="1"/>
  <c r="AA720" i="15" s="1"/>
  <c r="AI720" i="15" a="1"/>
  <c r="AI720" i="15" s="1"/>
  <c r="I720" i="15" a="1"/>
  <c r="I720" i="15" s="1"/>
  <c r="M720" i="15" a="1"/>
  <c r="M720" i="15" s="1"/>
  <c r="AB720" i="15" a="1"/>
  <c r="AB720" i="15" s="1"/>
  <c r="AC720" i="15" a="1"/>
  <c r="AC720" i="15" s="1"/>
  <c r="V720" i="15" a="1"/>
  <c r="V720" i="15" s="1"/>
  <c r="N402" i="15" a="1"/>
  <c r="N402" i="15" s="1"/>
  <c r="AC402" i="15" a="1"/>
  <c r="AC402" i="15" s="1"/>
  <c r="AJ402" i="15" a="1"/>
  <c r="AJ402" i="15" s="1"/>
  <c r="AN402" i="15" a="1"/>
  <c r="AN402" i="15" s="1"/>
  <c r="AO402" i="15" a="1"/>
  <c r="AO402" i="15" s="1"/>
  <c r="O402" i="15" a="1"/>
  <c r="O402" i="15" s="1"/>
  <c r="V402" i="15" a="1"/>
  <c r="V402" i="15" s="1"/>
  <c r="AK402" i="15" a="1"/>
  <c r="AK402" i="15" s="1"/>
  <c r="K402" i="15" a="1"/>
  <c r="K402" i="15" s="1"/>
  <c r="I402" i="15" a="1"/>
  <c r="I402" i="15" s="1"/>
  <c r="P402" i="15" a="1"/>
  <c r="P402" i="15" s="1"/>
  <c r="W402" i="15" a="1"/>
  <c r="W402" i="15" s="1"/>
  <c r="AD402" i="15" a="1"/>
  <c r="AD402" i="15" s="1"/>
  <c r="AL402" i="15" a="1"/>
  <c r="AL402" i="15" s="1"/>
  <c r="R402" i="15" a="1"/>
  <c r="R402" i="15" s="1"/>
  <c r="L402" i="15" a="1"/>
  <c r="L402" i="15" s="1"/>
  <c r="J402" i="15" a="1"/>
  <c r="J402" i="15" s="1"/>
  <c r="Q402" i="15" a="1"/>
  <c r="Q402" i="15" s="1"/>
  <c r="X402" i="15" a="1"/>
  <c r="X402" i="15" s="1"/>
  <c r="AE402" i="15" a="1"/>
  <c r="AE402" i="15" s="1"/>
  <c r="AM402" i="15" a="1"/>
  <c r="AM402" i="15" s="1"/>
  <c r="S402" i="15" a="1"/>
  <c r="S402" i="15" s="1"/>
  <c r="M402" i="15" a="1"/>
  <c r="M402" i="15" s="1"/>
  <c r="T402" i="15" a="1"/>
  <c r="T402" i="15" s="1"/>
  <c r="AA402" i="15" a="1"/>
  <c r="AA402" i="15" s="1"/>
  <c r="AH402" i="15" a="1"/>
  <c r="AH402" i="15" s="1"/>
  <c r="Y402" i="15" a="1"/>
  <c r="Y402" i="15" s="1"/>
  <c r="Z402" i="15" a="1"/>
  <c r="Z402" i="15" s="1"/>
  <c r="U402" i="15" a="1"/>
  <c r="U402" i="15" s="1"/>
  <c r="AB402" i="15" a="1"/>
  <c r="AB402" i="15" s="1"/>
  <c r="AI402" i="15" a="1"/>
  <c r="AI402" i="15" s="1"/>
  <c r="AF402" i="15" a="1"/>
  <c r="AF402" i="15" s="1"/>
  <c r="AG402" i="15" a="1"/>
  <c r="AG402" i="15" s="1"/>
  <c r="L535" i="15" a="1"/>
  <c r="L535" i="15" s="1"/>
  <c r="T535" i="15" a="1"/>
  <c r="T535" i="15" s="1"/>
  <c r="AB535" i="15" a="1"/>
  <c r="AB535" i="15" s="1"/>
  <c r="P535" i="15" a="1"/>
  <c r="P535" i="15" s="1"/>
  <c r="Q535" i="15" a="1"/>
  <c r="Q535" i="15" s="1"/>
  <c r="M535" i="15" a="1"/>
  <c r="M535" i="15" s="1"/>
  <c r="U535" i="15" a="1"/>
  <c r="U535" i="15" s="1"/>
  <c r="I535" i="15" a="1"/>
  <c r="I535" i="15" s="1"/>
  <c r="Y535" i="15" a="1"/>
  <c r="Y535" i="15" s="1"/>
  <c r="N535" i="15" a="1"/>
  <c r="N535" i="15" s="1"/>
  <c r="V535" i="15" a="1"/>
  <c r="V535" i="15" s="1"/>
  <c r="O535" i="15" a="1"/>
  <c r="O535" i="15" s="1"/>
  <c r="W535" i="15" a="1"/>
  <c r="W535" i="15" s="1"/>
  <c r="X535" i="15" a="1"/>
  <c r="X535" i="15" s="1"/>
  <c r="J535" i="15" a="1"/>
  <c r="J535" i="15" s="1"/>
  <c r="R535" i="15" a="1"/>
  <c r="R535" i="15" s="1"/>
  <c r="Z535" i="15" a="1"/>
  <c r="Z535" i="15" s="1"/>
  <c r="K535" i="15" a="1"/>
  <c r="K535" i="15" s="1"/>
  <c r="S535" i="15" a="1"/>
  <c r="S535" i="15" s="1"/>
  <c r="AA535" i="15" a="1"/>
  <c r="AA535" i="15" s="1"/>
  <c r="L435" i="16" a="1"/>
  <c r="L435" i="16" s="1"/>
  <c r="R435" i="16" a="1"/>
  <c r="R435" i="16" s="1"/>
  <c r="Y435" i="16" a="1"/>
  <c r="Y435" i="16" s="1"/>
  <c r="AE435" i="16" a="1"/>
  <c r="AE435" i="16" s="1"/>
  <c r="M435" i="16" a="1"/>
  <c r="M435" i="16" s="1"/>
  <c r="S435" i="16" a="1"/>
  <c r="S435" i="16" s="1"/>
  <c r="AF435" i="16" a="1"/>
  <c r="AF435" i="16" s="1"/>
  <c r="AL435" i="16" a="1"/>
  <c r="AL435" i="16" s="1"/>
  <c r="T435" i="16" a="1"/>
  <c r="T435" i="16" s="1"/>
  <c r="Z435" i="16" a="1"/>
  <c r="Z435" i="16" s="1"/>
  <c r="AG435" i="16" a="1"/>
  <c r="AG435" i="16" s="1"/>
  <c r="AM435" i="16" a="1"/>
  <c r="AM435" i="16" s="1"/>
  <c r="N435" i="16" a="1"/>
  <c r="N435" i="16" s="1"/>
  <c r="U435" i="16" a="1"/>
  <c r="U435" i="16" s="1"/>
  <c r="AA435" i="16" a="1"/>
  <c r="AA435" i="16" s="1"/>
  <c r="AN435" i="16" a="1"/>
  <c r="AN435" i="16" s="1"/>
  <c r="P435" i="16" a="1"/>
  <c r="P435" i="16" s="1"/>
  <c r="AC435" i="16" a="1"/>
  <c r="AC435" i="16" s="1"/>
  <c r="O435" i="16" a="1"/>
  <c r="O435" i="16" s="1"/>
  <c r="AB435" i="16" a="1"/>
  <c r="AB435" i="16" s="1"/>
  <c r="AH435" i="16" a="1"/>
  <c r="AH435" i="16" s="1"/>
  <c r="AO435" i="16" a="1"/>
  <c r="AO435" i="16" s="1"/>
  <c r="V435" i="16" a="1"/>
  <c r="V435" i="16" s="1"/>
  <c r="AI435" i="16" a="1"/>
  <c r="AI435" i="16" s="1"/>
  <c r="J435" i="16" a="1"/>
  <c r="J435" i="16" s="1"/>
  <c r="Q435" i="16" a="1"/>
  <c r="Q435" i="16" s="1"/>
  <c r="W435" i="16" a="1"/>
  <c r="W435" i="16" s="1"/>
  <c r="AJ435" i="16" a="1"/>
  <c r="AJ435" i="16" s="1"/>
  <c r="K435" i="16" a="1"/>
  <c r="K435" i="16" s="1"/>
  <c r="X435" i="16" a="1"/>
  <c r="X435" i="16" s="1"/>
  <c r="AD435" i="16" a="1"/>
  <c r="AD435" i="16" s="1"/>
  <c r="AK435" i="16" a="1"/>
  <c r="AK435" i="16" s="1"/>
  <c r="I435" i="16" a="1"/>
  <c r="I435" i="16" s="1"/>
  <c r="AG327" i="16" a="1"/>
  <c r="AG327" i="16" s="1"/>
  <c r="J327" i="16" a="1"/>
  <c r="J327" i="16" s="1"/>
  <c r="R327" i="16" a="1"/>
  <c r="R327" i="16" s="1"/>
  <c r="Z327" i="16" a="1"/>
  <c r="Z327" i="16" s="1"/>
  <c r="AH327" i="16" a="1"/>
  <c r="AH327" i="16" s="1"/>
  <c r="K327" i="16" a="1"/>
  <c r="K327" i="16" s="1"/>
  <c r="S327" i="16" a="1"/>
  <c r="S327" i="16" s="1"/>
  <c r="AA327" i="16" a="1"/>
  <c r="AA327" i="16" s="1"/>
  <c r="AI327" i="16" a="1"/>
  <c r="AI327" i="16" s="1"/>
  <c r="L327" i="16" a="1"/>
  <c r="L327" i="16" s="1"/>
  <c r="T327" i="16" a="1"/>
  <c r="T327" i="16" s="1"/>
  <c r="AB327" i="16" a="1"/>
  <c r="AB327" i="16" s="1"/>
  <c r="AJ327" i="16" a="1"/>
  <c r="AJ327" i="16" s="1"/>
  <c r="N327" i="16" a="1"/>
  <c r="N327" i="16" s="1"/>
  <c r="AD327" i="16" a="1"/>
  <c r="AD327" i="16" s="1"/>
  <c r="Y327" i="16" a="1"/>
  <c r="Y327" i="16" s="1"/>
  <c r="M327" i="16" a="1"/>
  <c r="M327" i="16" s="1"/>
  <c r="U327" i="16" a="1"/>
  <c r="U327" i="16" s="1"/>
  <c r="AC327" i="16" a="1"/>
  <c r="AC327" i="16" s="1"/>
  <c r="AK327" i="16" a="1"/>
  <c r="AK327" i="16" s="1"/>
  <c r="V327" i="16" a="1"/>
  <c r="V327" i="16" s="1"/>
  <c r="Q327" i="16" a="1"/>
  <c r="Q327" i="16" s="1"/>
  <c r="AL327" i="16" a="1"/>
  <c r="AL327" i="16" s="1"/>
  <c r="AO327" i="16" a="1"/>
  <c r="AO327" i="16" s="1"/>
  <c r="O327" i="16" a="1"/>
  <c r="O327" i="16" s="1"/>
  <c r="W327" i="16" a="1"/>
  <c r="W327" i="16" s="1"/>
  <c r="AE327" i="16" a="1"/>
  <c r="AE327" i="16" s="1"/>
  <c r="AM327" i="16" a="1"/>
  <c r="AM327" i="16" s="1"/>
  <c r="P327" i="16" a="1"/>
  <c r="P327" i="16" s="1"/>
  <c r="X327" i="16" a="1"/>
  <c r="X327" i="16" s="1"/>
  <c r="AF327" i="16" a="1"/>
  <c r="AF327" i="16" s="1"/>
  <c r="AN327" i="16" a="1"/>
  <c r="AN327" i="16" s="1"/>
  <c r="I327" i="16" a="1"/>
  <c r="I327" i="16" s="1"/>
  <c r="T701" i="16" a="1"/>
  <c r="T701" i="16" s="1"/>
  <c r="Z701" i="16" a="1"/>
  <c r="Z701" i="16" s="1"/>
  <c r="AG701" i="16" a="1"/>
  <c r="AG701" i="16" s="1"/>
  <c r="AM701" i="16" a="1"/>
  <c r="AM701" i="16" s="1"/>
  <c r="N701" i="16" a="1"/>
  <c r="N701" i="16" s="1"/>
  <c r="U701" i="16" a="1"/>
  <c r="U701" i="16" s="1"/>
  <c r="AA701" i="16" a="1"/>
  <c r="AA701" i="16" s="1"/>
  <c r="AN701" i="16" a="1"/>
  <c r="AN701" i="16" s="1"/>
  <c r="O701" i="16" a="1"/>
  <c r="O701" i="16" s="1"/>
  <c r="AB701" i="16" a="1"/>
  <c r="AB701" i="16" s="1"/>
  <c r="AH701" i="16" a="1"/>
  <c r="AH701" i="16" s="1"/>
  <c r="AO701" i="16" a="1"/>
  <c r="AO701" i="16" s="1"/>
  <c r="P701" i="16" a="1"/>
  <c r="P701" i="16" s="1"/>
  <c r="V701" i="16" a="1"/>
  <c r="V701" i="16" s="1"/>
  <c r="AC701" i="16" a="1"/>
  <c r="AC701" i="16" s="1"/>
  <c r="AI701" i="16" a="1"/>
  <c r="AI701" i="16" s="1"/>
  <c r="J701" i="16" a="1"/>
  <c r="J701" i="16" s="1"/>
  <c r="Q701" i="16" a="1"/>
  <c r="Q701" i="16" s="1"/>
  <c r="W701" i="16" a="1"/>
  <c r="W701" i="16" s="1"/>
  <c r="AJ701" i="16" a="1"/>
  <c r="AJ701" i="16" s="1"/>
  <c r="I701" i="16" a="1"/>
  <c r="I701" i="16" s="1"/>
  <c r="K701" i="16" a="1"/>
  <c r="K701" i="16" s="1"/>
  <c r="X701" i="16" a="1"/>
  <c r="X701" i="16" s="1"/>
  <c r="AD701" i="16" a="1"/>
  <c r="AD701" i="16" s="1"/>
  <c r="AK701" i="16" a="1"/>
  <c r="AK701" i="16" s="1"/>
  <c r="L701" i="16" a="1"/>
  <c r="L701" i="16" s="1"/>
  <c r="R701" i="16" a="1"/>
  <c r="R701" i="16" s="1"/>
  <c r="Y701" i="16" a="1"/>
  <c r="Y701" i="16" s="1"/>
  <c r="AE701" i="16" a="1"/>
  <c r="AE701" i="16" s="1"/>
  <c r="M701" i="16" a="1"/>
  <c r="M701" i="16" s="1"/>
  <c r="S701" i="16" a="1"/>
  <c r="S701" i="16" s="1"/>
  <c r="AF701" i="16" a="1"/>
  <c r="AF701" i="16" s="1"/>
  <c r="AL701" i="16" a="1"/>
  <c r="AL701" i="16" s="1"/>
  <c r="W593" i="16" a="1"/>
  <c r="W593" i="16" s="1"/>
  <c r="AM593" i="16" a="1"/>
  <c r="AM593" i="16" s="1"/>
  <c r="M593" i="16" a="1"/>
  <c r="M593" i="16" s="1"/>
  <c r="R593" i="16" a="1"/>
  <c r="R593" i="16" s="1"/>
  <c r="X593" i="16" a="1"/>
  <c r="X593" i="16" s="1"/>
  <c r="AC593" i="16" a="1"/>
  <c r="AC593" i="16" s="1"/>
  <c r="AH593" i="16" a="1"/>
  <c r="AH593" i="16" s="1"/>
  <c r="AN593" i="16" a="1"/>
  <c r="AN593" i="16" s="1"/>
  <c r="S593" i="16" a="1"/>
  <c r="S593" i="16" s="1"/>
  <c r="AI593" i="16" a="1"/>
  <c r="AI593" i="16" s="1"/>
  <c r="N593" i="16" a="1"/>
  <c r="N593" i="16" s="1"/>
  <c r="T593" i="16" a="1"/>
  <c r="T593" i="16" s="1"/>
  <c r="Y593" i="16" a="1"/>
  <c r="Y593" i="16" s="1"/>
  <c r="AD593" i="16" a="1"/>
  <c r="AD593" i="16" s="1"/>
  <c r="AJ593" i="16" a="1"/>
  <c r="AJ593" i="16" s="1"/>
  <c r="AO593" i="16" a="1"/>
  <c r="AO593" i="16" s="1"/>
  <c r="J593" i="16" a="1"/>
  <c r="J593" i="16" s="1"/>
  <c r="AK593" i="16" a="1"/>
  <c r="AK593" i="16" s="1"/>
  <c r="O593" i="16" a="1"/>
  <c r="O593" i="16" s="1"/>
  <c r="AE593" i="16" a="1"/>
  <c r="AE593" i="16" s="1"/>
  <c r="U593" i="16" a="1"/>
  <c r="U593" i="16" s="1"/>
  <c r="Z593" i="16" a="1"/>
  <c r="Z593" i="16" s="1"/>
  <c r="AF593" i="16" a="1"/>
  <c r="AF593" i="16" s="1"/>
  <c r="I593" i="16" a="1"/>
  <c r="I593" i="16" s="1"/>
  <c r="P593" i="16" a="1"/>
  <c r="P593" i="16" s="1"/>
  <c r="K593" i="16" a="1"/>
  <c r="K593" i="16" s="1"/>
  <c r="AA593" i="16" a="1"/>
  <c r="AA593" i="16" s="1"/>
  <c r="L593" i="16" a="1"/>
  <c r="L593" i="16" s="1"/>
  <c r="Q593" i="16" a="1"/>
  <c r="Q593" i="16" s="1"/>
  <c r="V593" i="16" a="1"/>
  <c r="V593" i="16" s="1"/>
  <c r="AB593" i="16" a="1"/>
  <c r="AB593" i="16" s="1"/>
  <c r="AG593" i="16" a="1"/>
  <c r="AG593" i="16" s="1"/>
  <c r="AL593" i="16" a="1"/>
  <c r="AL593" i="16" s="1"/>
  <c r="J200" i="14" a="1"/>
  <c r="J200" i="14" s="1"/>
  <c r="S200" i="14" a="1"/>
  <c r="S200" i="14" s="1"/>
  <c r="X200" i="14" a="1"/>
  <c r="X200" i="14" s="1"/>
  <c r="AG200" i="14" a="1"/>
  <c r="AG200" i="14" s="1"/>
  <c r="I200" i="14" a="1"/>
  <c r="I200" i="14" s="1"/>
  <c r="O200" i="14" a="1"/>
  <c r="O200" i="14" s="1"/>
  <c r="T200" i="14" a="1"/>
  <c r="T200" i="14" s="1"/>
  <c r="AC200" i="14" a="1"/>
  <c r="AC200" i="14" s="1"/>
  <c r="AL200" i="14" a="1"/>
  <c r="AL200" i="14" s="1"/>
  <c r="K200" i="14" a="1"/>
  <c r="K200" i="14" s="1"/>
  <c r="P200" i="14" a="1"/>
  <c r="P200" i="14" s="1"/>
  <c r="Y200" i="14" a="1"/>
  <c r="Y200" i="14" s="1"/>
  <c r="AH200" i="14" a="1"/>
  <c r="AH200" i="14" s="1"/>
  <c r="AK200" i="14" a="1"/>
  <c r="AK200" i="14" s="1"/>
  <c r="L200" i="14" a="1"/>
  <c r="L200" i="14" s="1"/>
  <c r="U200" i="14" a="1"/>
  <c r="U200" i="14" s="1"/>
  <c r="AD200" i="14" a="1"/>
  <c r="AD200" i="14" s="1"/>
  <c r="AM200" i="14" a="1"/>
  <c r="AM200" i="14" s="1"/>
  <c r="W200" i="14" a="1"/>
  <c r="W200" i="14" s="1"/>
  <c r="Q200" i="14" a="1"/>
  <c r="Q200" i="14" s="1"/>
  <c r="Z200" i="14" a="1"/>
  <c r="Z200" i="14" s="1"/>
  <c r="AI200" i="14" a="1"/>
  <c r="AI200" i="14" s="1"/>
  <c r="AN200" i="14" a="1"/>
  <c r="AN200" i="14" s="1"/>
  <c r="AB200" i="14" a="1"/>
  <c r="AB200" i="14" s="1"/>
  <c r="M200" i="14" a="1"/>
  <c r="M200" i="14" s="1"/>
  <c r="V200" i="14" a="1"/>
  <c r="V200" i="14" s="1"/>
  <c r="AE200" i="14" a="1"/>
  <c r="AE200" i="14" s="1"/>
  <c r="AJ200" i="14" a="1"/>
  <c r="AJ200" i="14" s="1"/>
  <c r="R200" i="14" a="1"/>
  <c r="R200" i="14" s="1"/>
  <c r="AA200" i="14" a="1"/>
  <c r="AA200" i="14" s="1"/>
  <c r="AF200" i="14" a="1"/>
  <c r="AF200" i="14" s="1"/>
  <c r="AO200" i="14" a="1"/>
  <c r="AO200" i="14" s="1"/>
  <c r="N200" i="14" a="1"/>
  <c r="N200" i="14" s="1"/>
  <c r="J345" i="14" a="1"/>
  <c r="J345" i="14" s="1"/>
  <c r="Q345" i="14" a="1"/>
  <c r="Q345" i="14" s="1"/>
  <c r="W345" i="14" a="1"/>
  <c r="W345" i="14" s="1"/>
  <c r="AJ345" i="14" a="1"/>
  <c r="AJ345" i="14" s="1"/>
  <c r="R345" i="14" a="1"/>
  <c r="R345" i="14" s="1"/>
  <c r="Y345" i="14" a="1"/>
  <c r="Y345" i="14" s="1"/>
  <c r="N345" i="14" a="1"/>
  <c r="N345" i="14" s="1"/>
  <c r="AN345" i="14" a="1"/>
  <c r="AN345" i="14" s="1"/>
  <c r="AH345" i="14" a="1"/>
  <c r="AH345" i="14" s="1"/>
  <c r="P345" i="14" a="1"/>
  <c r="P345" i="14" s="1"/>
  <c r="AC345" i="14" a="1"/>
  <c r="AC345" i="14" s="1"/>
  <c r="K345" i="14" a="1"/>
  <c r="K345" i="14" s="1"/>
  <c r="X345" i="14" a="1"/>
  <c r="X345" i="14" s="1"/>
  <c r="AD345" i="14" a="1"/>
  <c r="AD345" i="14" s="1"/>
  <c r="AK345" i="14" a="1"/>
  <c r="AK345" i="14" s="1"/>
  <c r="L345" i="14" a="1"/>
  <c r="L345" i="14" s="1"/>
  <c r="AE345" i="14" a="1"/>
  <c r="AE345" i="14" s="1"/>
  <c r="U345" i="14" a="1"/>
  <c r="U345" i="14" s="1"/>
  <c r="O345" i="14" a="1"/>
  <c r="O345" i="14" s="1"/>
  <c r="AO345" i="14" a="1"/>
  <c r="AO345" i="14" s="1"/>
  <c r="I345" i="14" a="1"/>
  <c r="I345" i="14" s="1"/>
  <c r="AI345" i="14" a="1"/>
  <c r="AI345" i="14" s="1"/>
  <c r="M345" i="14" a="1"/>
  <c r="M345" i="14" s="1"/>
  <c r="S345" i="14" a="1"/>
  <c r="S345" i="14" s="1"/>
  <c r="AF345" i="14" a="1"/>
  <c r="AF345" i="14" s="1"/>
  <c r="AL345" i="14" a="1"/>
  <c r="AL345" i="14" s="1"/>
  <c r="T345" i="14" a="1"/>
  <c r="T345" i="14" s="1"/>
  <c r="Z345" i="14" a="1"/>
  <c r="Z345" i="14" s="1"/>
  <c r="AG345" i="14" a="1"/>
  <c r="AG345" i="14" s="1"/>
  <c r="AM345" i="14" a="1"/>
  <c r="AM345" i="14" s="1"/>
  <c r="AA345" i="14" a="1"/>
  <c r="AA345" i="14" s="1"/>
  <c r="AB345" i="14" a="1"/>
  <c r="AB345" i="14" s="1"/>
  <c r="V345" i="14" a="1"/>
  <c r="V345" i="14" s="1"/>
  <c r="S91" i="24"/>
  <c r="R91" i="24"/>
  <c r="Q91" i="24"/>
  <c r="P91" i="24"/>
  <c r="O91" i="24"/>
  <c r="N91" i="24"/>
  <c r="E83" i="5"/>
  <c r="E19" i="23"/>
  <c r="AI876" i="15"/>
  <c r="AB682" i="15"/>
  <c r="S677" i="15"/>
  <c r="AB683" i="15"/>
  <c r="S678" i="15"/>
  <c r="AB365" i="15"/>
  <c r="AB364" i="15"/>
  <c r="AH574" i="16"/>
  <c r="AH577" i="16" s="1"/>
  <c r="Z574" i="16"/>
  <c r="Z577" i="16" s="1"/>
  <c r="AO574" i="16"/>
  <c r="AO577" i="16" s="1"/>
  <c r="AG574" i="16"/>
  <c r="AG577" i="16" s="1"/>
  <c r="Y574" i="16"/>
  <c r="Y577" i="16" s="1"/>
  <c r="AK574" i="16"/>
  <c r="AK577" i="16" s="1"/>
  <c r="AC574" i="16"/>
  <c r="AC577" i="16" s="1"/>
  <c r="U574" i="16"/>
  <c r="U577" i="16" s="1"/>
  <c r="AJ574" i="16"/>
  <c r="AJ577" i="16" s="1"/>
  <c r="AB574" i="16"/>
  <c r="AB577" i="16" s="1"/>
  <c r="AI574" i="16"/>
  <c r="AI577" i="16" s="1"/>
  <c r="AA574" i="16"/>
  <c r="AA577" i="16" s="1"/>
  <c r="Q574" i="16"/>
  <c r="Q577" i="16" s="1"/>
  <c r="O574" i="16"/>
  <c r="O577" i="16" s="1"/>
  <c r="N574" i="16"/>
  <c r="N577" i="16" s="1"/>
  <c r="AN574" i="16"/>
  <c r="AN577" i="16" s="1"/>
  <c r="AF574" i="16"/>
  <c r="AF577" i="16" s="1"/>
  <c r="X574" i="16"/>
  <c r="X577" i="16" s="1"/>
  <c r="L574" i="16"/>
  <c r="L577" i="16" s="1"/>
  <c r="H574" i="16"/>
  <c r="H577" i="16" s="1"/>
  <c r="AM574" i="16"/>
  <c r="AM577" i="16" s="1"/>
  <c r="AE574" i="16"/>
  <c r="AE577" i="16" s="1"/>
  <c r="W574" i="16"/>
  <c r="W577" i="16" s="1"/>
  <c r="K574" i="16"/>
  <c r="K577" i="16" s="1"/>
  <c r="AL574" i="16"/>
  <c r="AL577" i="16" s="1"/>
  <c r="AD574" i="16"/>
  <c r="AD577" i="16" s="1"/>
  <c r="V574" i="16"/>
  <c r="V577" i="16" s="1"/>
  <c r="J574" i="16"/>
  <c r="J577" i="16" s="1"/>
  <c r="I574" i="16"/>
  <c r="I577" i="16" s="1"/>
  <c r="V364" i="15"/>
  <c r="M358" i="15"/>
  <c r="M676" i="15"/>
  <c r="V681" i="15"/>
  <c r="V691" i="15" s="1"/>
  <c r="V698" i="15" s="1"/>
  <c r="M678" i="15"/>
  <c r="M677" i="15"/>
  <c r="M305" i="16"/>
  <c r="M570" i="16"/>
  <c r="M571" i="16"/>
  <c r="M572" i="16"/>
  <c r="V363" i="15"/>
  <c r="M306" i="16"/>
  <c r="M304" i="16"/>
  <c r="S306" i="16"/>
  <c r="S305" i="16"/>
  <c r="X363" i="15"/>
  <c r="X365" i="15"/>
  <c r="O306" i="16"/>
  <c r="P304" i="16"/>
  <c r="Z364" i="15"/>
  <c r="Z365" i="15"/>
  <c r="Z363" i="15"/>
  <c r="W681" i="15"/>
  <c r="W682" i="15"/>
  <c r="W683" i="15"/>
  <c r="N358" i="15"/>
  <c r="W363" i="15"/>
  <c r="W365" i="15"/>
  <c r="W364" i="15"/>
  <c r="AN691" i="15"/>
  <c r="AN698" i="15" s="1"/>
  <c r="AF691" i="15"/>
  <c r="AF698" i="15" s="1"/>
  <c r="X691" i="15"/>
  <c r="X698" i="15" s="1"/>
  <c r="AM691" i="15"/>
  <c r="AM698" i="15" s="1"/>
  <c r="AE691" i="15"/>
  <c r="AE698" i="15" s="1"/>
  <c r="L691" i="15"/>
  <c r="L698" i="15" s="1"/>
  <c r="AH691" i="15"/>
  <c r="AH698" i="15" s="1"/>
  <c r="Z691" i="15"/>
  <c r="Z698" i="15" s="1"/>
  <c r="O691" i="15"/>
  <c r="O698" i="15" s="1"/>
  <c r="AO691" i="15"/>
  <c r="AO698" i="15" s="1"/>
  <c r="AG691" i="15"/>
  <c r="AG698" i="15" s="1"/>
  <c r="AL691" i="15"/>
  <c r="AL698" i="15" s="1"/>
  <c r="AD691" i="15"/>
  <c r="AD698" i="15" s="1"/>
  <c r="K691" i="15"/>
  <c r="K698" i="15" s="1"/>
  <c r="AK691" i="15"/>
  <c r="AK698" i="15" s="1"/>
  <c r="U691" i="15"/>
  <c r="U698" i="15" s="1"/>
  <c r="J691" i="15"/>
  <c r="J698" i="15" s="1"/>
  <c r="AJ691" i="15"/>
  <c r="AJ698" i="15" s="1"/>
  <c r="I691" i="15"/>
  <c r="I698" i="15" s="1"/>
  <c r="H691" i="15"/>
  <c r="H698" i="15" s="1"/>
  <c r="AI691" i="15"/>
  <c r="AI698" i="15" s="1"/>
  <c r="Q691" i="15"/>
  <c r="Q698" i="15" s="1"/>
  <c r="Q17" i="14"/>
  <c r="Q29" i="14" s="1"/>
  <c r="K876" i="15"/>
  <c r="AO376" i="16"/>
  <c r="AO384" i="16" s="1"/>
  <c r="AL339" i="14"/>
  <c r="AD339" i="14"/>
  <c r="AK339" i="14"/>
  <c r="AK328" i="14"/>
  <c r="AK330" i="14" s="1"/>
  <c r="AC339" i="14"/>
  <c r="AC328" i="14"/>
  <c r="AC330" i="14" s="1"/>
  <c r="AJ339" i="14"/>
  <c r="AJ328" i="14"/>
  <c r="AJ330" i="14" s="1"/>
  <c r="AE339" i="14"/>
  <c r="AI339" i="14"/>
  <c r="AH339" i="14"/>
  <c r="AH328" i="14"/>
  <c r="AH330" i="14" s="1"/>
  <c r="AO339" i="14"/>
  <c r="AG339" i="14"/>
  <c r="AM339" i="14"/>
  <c r="AN339" i="14"/>
  <c r="AN328" i="14"/>
  <c r="AF339" i="14"/>
  <c r="M142" i="24"/>
  <c r="M148" i="24"/>
  <c r="M145" i="24"/>
  <c r="L142" i="24"/>
  <c r="T148" i="24"/>
  <c r="T145" i="24"/>
  <c r="T142" i="24"/>
  <c r="T141" i="24"/>
  <c r="T147" i="24"/>
  <c r="T144" i="24"/>
  <c r="S145" i="24"/>
  <c r="S148" i="24"/>
  <c r="S142" i="24"/>
  <c r="S147" i="24"/>
  <c r="S144" i="24"/>
  <c r="S141" i="24"/>
  <c r="R142" i="24"/>
  <c r="R145" i="24"/>
  <c r="R148" i="24"/>
  <c r="R147" i="24"/>
  <c r="R141" i="24"/>
  <c r="R144" i="24"/>
  <c r="Q142" i="24"/>
  <c r="Q148" i="24"/>
  <c r="Q145" i="24"/>
  <c r="Q141" i="24"/>
  <c r="Q144" i="24"/>
  <c r="Q147" i="24"/>
  <c r="P148" i="24"/>
  <c r="P142" i="24"/>
  <c r="P145" i="24"/>
  <c r="P141" i="24"/>
  <c r="P144" i="24"/>
  <c r="P147" i="24"/>
  <c r="O145" i="24"/>
  <c r="O142" i="24"/>
  <c r="O148" i="24"/>
  <c r="O147" i="24"/>
  <c r="O144" i="24"/>
  <c r="O141" i="24"/>
  <c r="N142" i="24"/>
  <c r="N148" i="24"/>
  <c r="N145" i="24"/>
  <c r="N144" i="24"/>
  <c r="N147" i="24"/>
  <c r="N141" i="24"/>
  <c r="AC728" i="16"/>
  <c r="AC736" i="16" s="1"/>
  <c r="AC464" i="16"/>
  <c r="AC472" i="16" s="1"/>
  <c r="AO378" i="16"/>
  <c r="AO386" i="16" s="1"/>
  <c r="AC465" i="16"/>
  <c r="AC473" i="16" s="1"/>
  <c r="AC733" i="16"/>
  <c r="AC741" i="16" s="1"/>
  <c r="AO640" i="16"/>
  <c r="AO648" i="16" s="1"/>
  <c r="AC732" i="16"/>
  <c r="AC740" i="16" s="1"/>
  <c r="AC730" i="16"/>
  <c r="AC738" i="16" s="1"/>
  <c r="AO638" i="16"/>
  <c r="AO646" i="16" s="1"/>
  <c r="AC731" i="16"/>
  <c r="AC739" i="16" s="1"/>
  <c r="AC462" i="16"/>
  <c r="AC470" i="16" s="1"/>
  <c r="AO644" i="16"/>
  <c r="AO652" i="16" s="1"/>
  <c r="AC468" i="16"/>
  <c r="AC476" i="16" s="1"/>
  <c r="AO643" i="16"/>
  <c r="AO651" i="16" s="1"/>
  <c r="AC467" i="16"/>
  <c r="AC475" i="16" s="1"/>
  <c r="AO642" i="16"/>
  <c r="AO650" i="16" s="1"/>
  <c r="AC734" i="16"/>
  <c r="AC742" i="16" s="1"/>
  <c r="AC466" i="16"/>
  <c r="AC474" i="16" s="1"/>
  <c r="AO641" i="16"/>
  <c r="AO649" i="16" s="1"/>
  <c r="AO194" i="14"/>
  <c r="AO195" i="14"/>
  <c r="AG195" i="14"/>
  <c r="AG194" i="14"/>
  <c r="AN194" i="14"/>
  <c r="AN195" i="14"/>
  <c r="AF194" i="14"/>
  <c r="AF195" i="14"/>
  <c r="AE195" i="14"/>
  <c r="AE194" i="14"/>
  <c r="AL194" i="14"/>
  <c r="AL195" i="14"/>
  <c r="AD194" i="14"/>
  <c r="AD195" i="14"/>
  <c r="AM194" i="14"/>
  <c r="AM195" i="14"/>
  <c r="AK195" i="14"/>
  <c r="AK194" i="14"/>
  <c r="AC195" i="14"/>
  <c r="AC194" i="14"/>
  <c r="AJ195" i="14"/>
  <c r="AJ194" i="14"/>
  <c r="AI194" i="14"/>
  <c r="AI195" i="14"/>
  <c r="AH195" i="14"/>
  <c r="AH194" i="14"/>
  <c r="AO197" i="14"/>
  <c r="AG197" i="14"/>
  <c r="AI340" i="14"/>
  <c r="AI342" i="14"/>
  <c r="AN197" i="14"/>
  <c r="AF197" i="14"/>
  <c r="AH342" i="14"/>
  <c r="AH340" i="14"/>
  <c r="AM197" i="14"/>
  <c r="AE197" i="14"/>
  <c r="AO342" i="14"/>
  <c r="AO340" i="14"/>
  <c r="AG342" i="14"/>
  <c r="AG340" i="14"/>
  <c r="AL197" i="14"/>
  <c r="AD197" i="14"/>
  <c r="AN342" i="14"/>
  <c r="AN340" i="14"/>
  <c r="AF342" i="14"/>
  <c r="AF340" i="14"/>
  <c r="AK197" i="14"/>
  <c r="AC197" i="14"/>
  <c r="AM342" i="14"/>
  <c r="AM340" i="14"/>
  <c r="AE342" i="14"/>
  <c r="AE340" i="14"/>
  <c r="AJ197" i="14"/>
  <c r="AL342" i="14"/>
  <c r="AL340" i="14"/>
  <c r="AD340" i="14"/>
  <c r="AD342" i="14"/>
  <c r="AI197" i="14"/>
  <c r="AK340" i="14"/>
  <c r="AK342" i="14"/>
  <c r="AC340" i="14"/>
  <c r="AC342" i="14"/>
  <c r="AH197" i="14"/>
  <c r="AJ340" i="14"/>
  <c r="AJ342" i="14"/>
  <c r="AI396" i="14"/>
  <c r="AH396" i="14"/>
  <c r="AO396" i="14"/>
  <c r="AG396" i="14"/>
  <c r="AN396" i="14"/>
  <c r="AF396" i="14"/>
  <c r="AM396" i="14"/>
  <c r="AE396" i="14"/>
  <c r="AL396" i="14"/>
  <c r="AD396" i="14"/>
  <c r="AK396" i="14"/>
  <c r="AC396" i="14"/>
  <c r="AJ396" i="14"/>
  <c r="AN251" i="14"/>
  <c r="AF251" i="14"/>
  <c r="AM251" i="14"/>
  <c r="AE251" i="14"/>
  <c r="AO251" i="14"/>
  <c r="AL251" i="14"/>
  <c r="AD251" i="14"/>
  <c r="AG251" i="14"/>
  <c r="AK251" i="14"/>
  <c r="AC251" i="14"/>
  <c r="AJ251" i="14"/>
  <c r="AI251" i="14"/>
  <c r="AH251" i="14"/>
  <c r="I141" i="24"/>
  <c r="S876" i="15"/>
  <c r="AJ834" i="15"/>
  <c r="AA682" i="15"/>
  <c r="AA364" i="15"/>
  <c r="AJ343" i="16"/>
  <c r="AL393" i="16"/>
  <c r="W393" i="16"/>
  <c r="L289" i="16"/>
  <c r="AC393" i="16"/>
  <c r="AK487" i="16"/>
  <c r="AK393" i="16"/>
  <c r="U487" i="16"/>
  <c r="U393" i="16"/>
  <c r="T554" i="16"/>
  <c r="L554" i="16"/>
  <c r="L558" i="16" s="1"/>
  <c r="AD834" i="15"/>
  <c r="AN479" i="16"/>
  <c r="AO372" i="16"/>
  <c r="AO380" i="16" s="1"/>
  <c r="AN487" i="16"/>
  <c r="AN745" i="16"/>
  <c r="AO745" i="16"/>
  <c r="AO479" i="16"/>
  <c r="AF487" i="16"/>
  <c r="AB289" i="16"/>
  <c r="X487" i="16"/>
  <c r="T289" i="16"/>
  <c r="R554" i="16"/>
  <c r="AH289" i="16"/>
  <c r="AH554" i="16"/>
  <c r="AB554" i="16"/>
  <c r="AG393" i="16"/>
  <c r="Y393" i="16"/>
  <c r="AO375" i="16"/>
  <c r="AO383" i="16" s="1"/>
  <c r="AO374" i="16"/>
  <c r="AO382" i="16" s="1"/>
  <c r="Z753" i="16"/>
  <c r="AH753" i="16"/>
  <c r="AA487" i="16"/>
  <c r="AB753" i="16"/>
  <c r="AJ753" i="16"/>
  <c r="AO377" i="16"/>
  <c r="AO385" i="16" s="1"/>
  <c r="AG487" i="16"/>
  <c r="Y487" i="16"/>
  <c r="U609" i="16"/>
  <c r="AC609" i="16"/>
  <c r="W609" i="16"/>
  <c r="AM609" i="16"/>
  <c r="AI753" i="16"/>
  <c r="Z554" i="16"/>
  <c r="Z289" i="16"/>
  <c r="R289" i="16"/>
  <c r="J554" i="16"/>
  <c r="J558" i="16" s="1"/>
  <c r="J289" i="16"/>
  <c r="M289" i="16"/>
  <c r="M554" i="16"/>
  <c r="M558" i="16" s="1"/>
  <c r="AJ554" i="16"/>
  <c r="AJ289" i="16"/>
  <c r="AI554" i="16"/>
  <c r="AA554" i="16"/>
  <c r="S554" i="16"/>
  <c r="K554" i="16"/>
  <c r="K558" i="16" s="1"/>
  <c r="AI289" i="16"/>
  <c r="AA289" i="16"/>
  <c r="S289" i="16"/>
  <c r="K289" i="16"/>
  <c r="I554" i="16"/>
  <c r="I558" i="16" s="1"/>
  <c r="AG554" i="16"/>
  <c r="Y554" i="16"/>
  <c r="Q554" i="16"/>
  <c r="I289" i="16"/>
  <c r="I293" i="16" s="1"/>
  <c r="AG289" i="16"/>
  <c r="Y289" i="16"/>
  <c r="Q289" i="16"/>
  <c r="AN554" i="16"/>
  <c r="AF554" i="16"/>
  <c r="X554" i="16"/>
  <c r="P554" i="16"/>
  <c r="AN289" i="16"/>
  <c r="AF289" i="16"/>
  <c r="X289" i="16"/>
  <c r="P289" i="16"/>
  <c r="AM554" i="16"/>
  <c r="AE554" i="16"/>
  <c r="W554" i="16"/>
  <c r="O554" i="16"/>
  <c r="AM289" i="16"/>
  <c r="AE289" i="16"/>
  <c r="W289" i="16"/>
  <c r="O289" i="16"/>
  <c r="AL554" i="16"/>
  <c r="AD554" i="16"/>
  <c r="V554" i="16"/>
  <c r="N554" i="16"/>
  <c r="AL289" i="16"/>
  <c r="AD289" i="16"/>
  <c r="V289" i="16"/>
  <c r="N289" i="16"/>
  <c r="AK554" i="16"/>
  <c r="AC554" i="16"/>
  <c r="U554" i="16"/>
  <c r="AK289" i="16"/>
  <c r="AC289" i="16"/>
  <c r="U289" i="16"/>
  <c r="H308" i="16"/>
  <c r="H311" i="16" s="1"/>
  <c r="L834" i="15"/>
  <c r="AA753" i="16"/>
  <c r="AA659" i="16"/>
  <c r="AK753" i="16"/>
  <c r="AK659" i="16"/>
  <c r="V753" i="16"/>
  <c r="V659" i="16"/>
  <c r="V609" i="16"/>
  <c r="AD753" i="16"/>
  <c r="AD659" i="16"/>
  <c r="AD609" i="16"/>
  <c r="AL659" i="16"/>
  <c r="AL753" i="16"/>
  <c r="AL609" i="16"/>
  <c r="U753" i="16"/>
  <c r="U659" i="16"/>
  <c r="W753" i="16"/>
  <c r="W659" i="16"/>
  <c r="AE753" i="16"/>
  <c r="AE659" i="16"/>
  <c r="AM659" i="16"/>
  <c r="AM753" i="16"/>
  <c r="AE609" i="16"/>
  <c r="AC753" i="16"/>
  <c r="AC659" i="16"/>
  <c r="X659" i="16"/>
  <c r="X609" i="16"/>
  <c r="X753" i="16"/>
  <c r="AF753" i="16"/>
  <c r="AF659" i="16"/>
  <c r="AF609" i="16"/>
  <c r="AN753" i="16"/>
  <c r="AN659" i="16"/>
  <c r="AN609" i="16"/>
  <c r="AK609" i="16"/>
  <c r="Y753" i="16"/>
  <c r="Y609" i="16"/>
  <c r="AG753" i="16"/>
  <c r="AG659" i="16"/>
  <c r="AG609" i="16"/>
  <c r="Y659" i="16"/>
  <c r="Z659" i="16"/>
  <c r="AB659" i="16"/>
  <c r="Z609" i="16"/>
  <c r="AH609" i="16"/>
  <c r="AH659" i="16"/>
  <c r="AA609" i="16"/>
  <c r="AI609" i="16"/>
  <c r="AI659" i="16"/>
  <c r="AB609" i="16"/>
  <c r="AJ609" i="16"/>
  <c r="AJ659" i="16"/>
  <c r="V343" i="16"/>
  <c r="V393" i="16"/>
  <c r="AI393" i="16"/>
  <c r="Y343" i="16"/>
  <c r="I14" i="16"/>
  <c r="I18" i="16" s="1"/>
  <c r="AB393" i="16"/>
  <c r="AB343" i="16"/>
  <c r="AJ393" i="16"/>
  <c r="AK343" i="16"/>
  <c r="AD393" i="16"/>
  <c r="AL343" i="16"/>
  <c r="AE343" i="16"/>
  <c r="AE393" i="16"/>
  <c r="AM393" i="16"/>
  <c r="AM343" i="16"/>
  <c r="AC343" i="16"/>
  <c r="AN343" i="16"/>
  <c r="U343" i="16"/>
  <c r="AD343" i="16"/>
  <c r="AF343" i="16"/>
  <c r="Z393" i="16"/>
  <c r="Z343" i="16"/>
  <c r="AH393" i="16"/>
  <c r="AH343" i="16"/>
  <c r="W343" i="16"/>
  <c r="AG343" i="16"/>
  <c r="AA393" i="16"/>
  <c r="X343" i="16"/>
  <c r="AI343" i="16"/>
  <c r="AB834" i="15"/>
  <c r="T834" i="15"/>
  <c r="K834" i="15"/>
  <c r="V365" i="15"/>
  <c r="N834" i="15"/>
  <c r="AI834" i="15"/>
  <c r="AA834" i="15"/>
  <c r="S834" i="15"/>
  <c r="J834" i="15"/>
  <c r="AA876" i="15"/>
  <c r="R834" i="15"/>
  <c r="Z655" i="15"/>
  <c r="K337" i="15"/>
  <c r="K341" i="15" s="1"/>
  <c r="K396" i="15" s="1"/>
  <c r="I834" i="15"/>
  <c r="Z834" i="15"/>
  <c r="AH834" i="15"/>
  <c r="AO876" i="15"/>
  <c r="AO834" i="15"/>
  <c r="AG876" i="15"/>
  <c r="AG834" i="15"/>
  <c r="Y876" i="15"/>
  <c r="Y834" i="15"/>
  <c r="P876" i="15"/>
  <c r="AN876" i="15"/>
  <c r="AG655" i="15"/>
  <c r="AM876" i="15"/>
  <c r="AE876" i="15"/>
  <c r="W876" i="15"/>
  <c r="N876" i="15"/>
  <c r="O876" i="15"/>
  <c r="Y655" i="15"/>
  <c r="AL876" i="15"/>
  <c r="AD876" i="15"/>
  <c r="V876" i="15"/>
  <c r="M876" i="15"/>
  <c r="X876" i="15"/>
  <c r="AK876" i="15"/>
  <c r="AC876" i="15"/>
  <c r="U876" i="15"/>
  <c r="S655" i="15"/>
  <c r="J655" i="15"/>
  <c r="AF876" i="15"/>
  <c r="J876" i="15"/>
  <c r="AH876" i="15"/>
  <c r="Z876" i="15"/>
  <c r="R876" i="15"/>
  <c r="I876" i="15"/>
  <c r="AA655" i="15"/>
  <c r="L655" i="15"/>
  <c r="T655" i="15"/>
  <c r="AB655" i="15"/>
  <c r="AJ655" i="15"/>
  <c r="M655" i="15"/>
  <c r="U655" i="15"/>
  <c r="AC655" i="15"/>
  <c r="AK655" i="15"/>
  <c r="N655" i="15"/>
  <c r="V655" i="15"/>
  <c r="AD655" i="15"/>
  <c r="AL655" i="15"/>
  <c r="O655" i="15"/>
  <c r="W655" i="15"/>
  <c r="AE655" i="15"/>
  <c r="AM655" i="15"/>
  <c r="P655" i="15"/>
  <c r="X655" i="15"/>
  <c r="AF655" i="15"/>
  <c r="AN655" i="15"/>
  <c r="I655" i="15"/>
  <c r="R655" i="15"/>
  <c r="AI655" i="15"/>
  <c r="Q655" i="15"/>
  <c r="AH655" i="15"/>
  <c r="K655" i="15"/>
  <c r="AL760" i="15"/>
  <c r="AD760" i="15"/>
  <c r="N760" i="15"/>
  <c r="AN760" i="15"/>
  <c r="X760" i="15"/>
  <c r="P760" i="15"/>
  <c r="L876" i="15"/>
  <c r="H876" i="15"/>
  <c r="AJ876" i="15"/>
  <c r="AB876" i="15"/>
  <c r="T876" i="15"/>
  <c r="AE834" i="15"/>
  <c r="O834" i="15"/>
  <c r="AL834" i="15"/>
  <c r="V834" i="15"/>
  <c r="AM834" i="15"/>
  <c r="W834" i="15"/>
  <c r="AK760" i="15"/>
  <c r="U760" i="15"/>
  <c r="M760" i="15"/>
  <c r="AJ760" i="15"/>
  <c r="L760" i="15"/>
  <c r="AI760" i="15"/>
  <c r="S760" i="15"/>
  <c r="K760" i="15"/>
  <c r="AH760" i="15"/>
  <c r="Z760" i="15"/>
  <c r="R760" i="15"/>
  <c r="J760" i="15"/>
  <c r="AO760" i="15"/>
  <c r="AG760" i="15"/>
  <c r="Q760" i="15"/>
  <c r="I760" i="15"/>
  <c r="AM760" i="15"/>
  <c r="AE760" i="15"/>
  <c r="O760" i="15"/>
  <c r="H760" i="15"/>
  <c r="P834" i="15"/>
  <c r="X834" i="15"/>
  <c r="AF834" i="15"/>
  <c r="AN834" i="15"/>
  <c r="M834" i="15"/>
  <c r="U834" i="15"/>
  <c r="AC834" i="15"/>
  <c r="AK834" i="15"/>
  <c r="H829" i="15"/>
  <c r="L442" i="15"/>
  <c r="H511" i="15"/>
  <c r="AI442" i="15"/>
  <c r="AH442" i="15"/>
  <c r="N442" i="15"/>
  <c r="AL442" i="15"/>
  <c r="AD442" i="15"/>
  <c r="U442" i="15"/>
  <c r="M442" i="15"/>
  <c r="AK442" i="15"/>
  <c r="H442" i="15"/>
  <c r="AJ442" i="15"/>
  <c r="S442" i="15"/>
  <c r="K442" i="15"/>
  <c r="R442" i="15"/>
  <c r="J442" i="15"/>
  <c r="Q442" i="15"/>
  <c r="I442" i="15"/>
  <c r="AO442" i="15"/>
  <c r="AG442" i="15"/>
  <c r="P442" i="15"/>
  <c r="AN442" i="15"/>
  <c r="O442" i="15"/>
  <c r="AM442" i="15"/>
  <c r="AE442" i="15"/>
  <c r="H373" i="15"/>
  <c r="H380" i="15" s="1"/>
  <c r="Z337" i="15"/>
  <c r="J516" i="15"/>
  <c r="S516" i="15"/>
  <c r="AA516" i="15"/>
  <c r="AI516" i="15"/>
  <c r="K516" i="15"/>
  <c r="T558" i="15"/>
  <c r="AB558" i="15"/>
  <c r="AJ558" i="15"/>
  <c r="J337" i="15"/>
  <c r="J341" i="15" s="1"/>
  <c r="I337" i="15"/>
  <c r="I341" i="15" s="1"/>
  <c r="AG337" i="15"/>
  <c r="Y337" i="15"/>
  <c r="Q337" i="15"/>
  <c r="AN337" i="15"/>
  <c r="AF337" i="15"/>
  <c r="X337" i="15"/>
  <c r="P337" i="15"/>
  <c r="P341" i="15" s="1"/>
  <c r="P396" i="15" s="1"/>
  <c r="AM337" i="15"/>
  <c r="AE337" i="15"/>
  <c r="W337" i="15"/>
  <c r="O337" i="15"/>
  <c r="O341" i="15" s="1"/>
  <c r="O396" i="15" s="1"/>
  <c r="AL337" i="15"/>
  <c r="AD337" i="15"/>
  <c r="V337" i="15"/>
  <c r="N337" i="15"/>
  <c r="N341" i="15" s="1"/>
  <c r="N396" i="15" s="1"/>
  <c r="R337" i="15"/>
  <c r="AK337" i="15"/>
  <c r="AC337" i="15"/>
  <c r="U337" i="15"/>
  <c r="M337" i="15"/>
  <c r="M341" i="15" s="1"/>
  <c r="M396" i="15" s="1"/>
  <c r="AH337" i="15"/>
  <c r="AJ337" i="15"/>
  <c r="AB337" i="15"/>
  <c r="T337" i="15"/>
  <c r="L337" i="15"/>
  <c r="L341" i="15" s="1"/>
  <c r="L396" i="15" s="1"/>
  <c r="AI337" i="15"/>
  <c r="AA337" i="15"/>
  <c r="S337" i="15"/>
  <c r="L558" i="15"/>
  <c r="U558" i="15"/>
  <c r="AC558" i="15"/>
  <c r="AK558" i="15"/>
  <c r="AB516" i="15"/>
  <c r="M558" i="15"/>
  <c r="V558" i="15"/>
  <c r="AD558" i="15"/>
  <c r="AL558" i="15"/>
  <c r="AJ516" i="15"/>
  <c r="N558" i="15"/>
  <c r="AE558" i="15"/>
  <c r="AM558" i="15"/>
  <c r="AF516" i="15"/>
  <c r="H558" i="15"/>
  <c r="P516" i="15"/>
  <c r="Y516" i="15"/>
  <c r="AG516" i="15"/>
  <c r="AO516" i="15"/>
  <c r="W558" i="15"/>
  <c r="O558" i="15"/>
  <c r="X516" i="15"/>
  <c r="AN516" i="15"/>
  <c r="I516" i="15"/>
  <c r="R516" i="15"/>
  <c r="Z516" i="15"/>
  <c r="AH516" i="15"/>
  <c r="L516" i="15"/>
  <c r="T516" i="15"/>
  <c r="M516" i="15"/>
  <c r="U516" i="15"/>
  <c r="AC516" i="15"/>
  <c r="AK516" i="15"/>
  <c r="P558" i="15"/>
  <c r="X558" i="15"/>
  <c r="AF558" i="15"/>
  <c r="AN558" i="15"/>
  <c r="N516" i="15"/>
  <c r="V516" i="15"/>
  <c r="AD516" i="15"/>
  <c r="AL516" i="15"/>
  <c r="I558" i="15"/>
  <c r="Y558" i="15"/>
  <c r="AG558" i="15"/>
  <c r="AO558" i="15"/>
  <c r="O516" i="15"/>
  <c r="W516" i="15"/>
  <c r="AE516" i="15"/>
  <c r="AM516" i="15"/>
  <c r="J558" i="15"/>
  <c r="R558" i="15"/>
  <c r="Z558" i="15"/>
  <c r="AH558" i="15"/>
  <c r="K558" i="15"/>
  <c r="S558" i="15"/>
  <c r="AA558" i="15"/>
  <c r="AI558" i="15"/>
  <c r="M574" i="16" l="1"/>
  <c r="M577" i="16" s="1"/>
  <c r="M691" i="15"/>
  <c r="M698" i="15" s="1"/>
  <c r="J578" i="16"/>
  <c r="H578" i="16"/>
  <c r="K578" i="16"/>
  <c r="I578" i="16"/>
  <c r="L578" i="16"/>
  <c r="X442" i="15"/>
  <c r="H312" i="16"/>
  <c r="Z442" i="15"/>
  <c r="W442" i="15"/>
  <c r="W691" i="15"/>
  <c r="W698" i="15" s="1"/>
  <c r="W760" i="15"/>
  <c r="H699" i="15"/>
  <c r="H381" i="15"/>
  <c r="AG328" i="14"/>
  <c r="AG330" i="14" s="1"/>
  <c r="AE328" i="14"/>
  <c r="AE330" i="14" s="1"/>
  <c r="AD328" i="14"/>
  <c r="AD330" i="14" s="1"/>
  <c r="AF328" i="14"/>
  <c r="AF330" i="14" s="1"/>
  <c r="AL328" i="14"/>
  <c r="AL330" i="14" s="1"/>
  <c r="AM328" i="14"/>
  <c r="AM330" i="14" s="1"/>
  <c r="AI328" i="14"/>
  <c r="AI330" i="14" s="1"/>
  <c r="R17" i="14"/>
  <c r="AB142" i="24"/>
  <c r="Y141" i="24"/>
  <c r="U142" i="24"/>
  <c r="I325" i="16"/>
  <c r="I370" i="16"/>
  <c r="I636" i="16"/>
  <c r="M636" i="16"/>
  <c r="M591" i="16"/>
  <c r="J636" i="16"/>
  <c r="J591" i="16"/>
  <c r="K636" i="16"/>
  <c r="K591" i="16"/>
  <c r="L636" i="16"/>
  <c r="L591" i="16"/>
  <c r="I591" i="16"/>
  <c r="M400" i="15"/>
  <c r="O400" i="15"/>
  <c r="P400" i="15"/>
  <c r="I400" i="15"/>
  <c r="I447" i="15"/>
  <c r="K400" i="15"/>
  <c r="L400" i="15"/>
  <c r="J400" i="15"/>
  <c r="N400" i="15"/>
  <c r="M578" i="16" l="1"/>
  <c r="N578" i="16"/>
  <c r="O578" i="16"/>
  <c r="S17" i="14"/>
  <c r="I644" i="16"/>
  <c r="I652" i="16" s="1"/>
  <c r="I638" i="16"/>
  <c r="I646" i="16" s="1"/>
  <c r="I642" i="16"/>
  <c r="I650" i="16" s="1"/>
  <c r="I641" i="16"/>
  <c r="I649" i="16" s="1"/>
  <c r="I643" i="16"/>
  <c r="I651" i="16" s="1"/>
  <c r="I640" i="16"/>
  <c r="I648" i="16" s="1"/>
  <c r="K638" i="16"/>
  <c r="K646" i="16" s="1"/>
  <c r="K642" i="16"/>
  <c r="K650" i="16" s="1"/>
  <c r="K640" i="16"/>
  <c r="K648" i="16" s="1"/>
  <c r="K644" i="16"/>
  <c r="K652" i="16" s="1"/>
  <c r="K641" i="16"/>
  <c r="K649" i="16" s="1"/>
  <c r="K643" i="16"/>
  <c r="K651" i="16" s="1"/>
  <c r="M638" i="16"/>
  <c r="M646" i="16" s="1"/>
  <c r="M642" i="16"/>
  <c r="M650" i="16" s="1"/>
  <c r="M640" i="16"/>
  <c r="M648" i="16" s="1"/>
  <c r="M644" i="16"/>
  <c r="M652" i="16" s="1"/>
  <c r="M641" i="16"/>
  <c r="M649" i="16" s="1"/>
  <c r="M643" i="16"/>
  <c r="M651" i="16" s="1"/>
  <c r="J638" i="16"/>
  <c r="J646" i="16" s="1"/>
  <c r="J640" i="16"/>
  <c r="J648" i="16" s="1"/>
  <c r="J641" i="16"/>
  <c r="J649" i="16" s="1"/>
  <c r="J642" i="16"/>
  <c r="J650" i="16" s="1"/>
  <c r="J643" i="16"/>
  <c r="J651" i="16" s="1"/>
  <c r="J644" i="16"/>
  <c r="J652" i="16" s="1"/>
  <c r="I378" i="16"/>
  <c r="I386" i="16" s="1"/>
  <c r="I372" i="16"/>
  <c r="I380" i="16" s="1"/>
  <c r="L638" i="16"/>
  <c r="L646" i="16" s="1"/>
  <c r="L640" i="16"/>
  <c r="L648" i="16" s="1"/>
  <c r="L641" i="16"/>
  <c r="L649" i="16" s="1"/>
  <c r="L642" i="16"/>
  <c r="L650" i="16" s="1"/>
  <c r="L643" i="16"/>
  <c r="L651" i="16" s="1"/>
  <c r="L644" i="16"/>
  <c r="L652" i="16" s="1"/>
  <c r="I377" i="16"/>
  <c r="I385" i="16" s="1"/>
  <c r="I376" i="16"/>
  <c r="I384" i="16" s="1"/>
  <c r="I375" i="16"/>
  <c r="I383" i="16" s="1"/>
  <c r="I374" i="16"/>
  <c r="I382" i="16" s="1"/>
  <c r="T17" i="14" l="1"/>
  <c r="AM12" i="15"/>
  <c r="AN12" i="15"/>
  <c r="AM16" i="15"/>
  <c r="AM95" i="15" s="1"/>
  <c r="AN16" i="15"/>
  <c r="AM35" i="15"/>
  <c r="AN35" i="15"/>
  <c r="AM36" i="15"/>
  <c r="AN36" i="15"/>
  <c r="AM37" i="15"/>
  <c r="AN37" i="15"/>
  <c r="AM40" i="15"/>
  <c r="AN40" i="15"/>
  <c r="AM41" i="15"/>
  <c r="AN41" i="15"/>
  <c r="AM42" i="15"/>
  <c r="AN42" i="15"/>
  <c r="AM47" i="15"/>
  <c r="AN47" i="15"/>
  <c r="AM48" i="15"/>
  <c r="AN48" i="15"/>
  <c r="D146" i="24"/>
  <c r="D143" i="24"/>
  <c r="D142" i="24"/>
  <c r="AC370" i="14"/>
  <c r="AD370" i="14"/>
  <c r="AE370" i="14"/>
  <c r="AF370" i="14"/>
  <c r="AH370" i="14"/>
  <c r="AK370" i="14"/>
  <c r="AL370" i="14"/>
  <c r="AM370" i="14"/>
  <c r="AN370" i="14"/>
  <c r="F386" i="14"/>
  <c r="F385" i="14"/>
  <c r="F384" i="14"/>
  <c r="F383" i="14"/>
  <c r="F382" i="14"/>
  <c r="F380" i="14"/>
  <c r="F366" i="14"/>
  <c r="F221" i="14"/>
  <c r="F79" i="14"/>
  <c r="AC83" i="14"/>
  <c r="AD83" i="14"/>
  <c r="AE83" i="14"/>
  <c r="AF83" i="14"/>
  <c r="AG83" i="14"/>
  <c r="AH83" i="14"/>
  <c r="AI83" i="14"/>
  <c r="AJ83" i="14"/>
  <c r="AK83" i="14"/>
  <c r="AL83" i="14"/>
  <c r="AM83" i="14"/>
  <c r="AN83" i="14"/>
  <c r="AO83" i="14"/>
  <c r="AK225" i="14"/>
  <c r="AO225" i="14"/>
  <c r="F241" i="14"/>
  <c r="F240" i="14"/>
  <c r="F239" i="14"/>
  <c r="F238" i="14"/>
  <c r="F237" i="14"/>
  <c r="F235" i="14"/>
  <c r="F210" i="9"/>
  <c r="F213" i="9"/>
  <c r="F212" i="9"/>
  <c r="F211" i="9"/>
  <c r="F204" i="9"/>
  <c r="F203" i="9"/>
  <c r="F202" i="9"/>
  <c r="F195" i="9"/>
  <c r="F194" i="9"/>
  <c r="F193" i="9"/>
  <c r="AC189" i="9"/>
  <c r="AD189" i="9"/>
  <c r="AD199" i="9" s="1"/>
  <c r="AD221" i="9" s="1"/>
  <c r="AE189" i="9"/>
  <c r="AE199" i="9" s="1"/>
  <c r="AE221" i="9" s="1"/>
  <c r="AF189" i="9"/>
  <c r="AG189" i="9"/>
  <c r="AG199" i="9" s="1"/>
  <c r="AG221" i="9" s="1"/>
  <c r="AH189" i="9"/>
  <c r="AI189" i="9"/>
  <c r="AJ189" i="9"/>
  <c r="AK189" i="9"/>
  <c r="AL189" i="9"/>
  <c r="AM189" i="9"/>
  <c r="AN189" i="9"/>
  <c r="AO189" i="9"/>
  <c r="AO199" i="9" s="1"/>
  <c r="F249" i="9"/>
  <c r="F248" i="9"/>
  <c r="F247" i="9"/>
  <c r="F246" i="9"/>
  <c r="F245" i="9"/>
  <c r="F243" i="9"/>
  <c r="F229" i="9"/>
  <c r="F141" i="9"/>
  <c r="F53" i="9"/>
  <c r="G165" i="8"/>
  <c r="G249" i="7"/>
  <c r="G162" i="7"/>
  <c r="AC13" i="9"/>
  <c r="AC57" i="9" s="1"/>
  <c r="AD13" i="9"/>
  <c r="AD57" i="9" s="1"/>
  <c r="AE13" i="9"/>
  <c r="AE57" i="9" s="1"/>
  <c r="AF13" i="9"/>
  <c r="AF57" i="9" s="1"/>
  <c r="AG13" i="9"/>
  <c r="AG57" i="9" s="1"/>
  <c r="AH13" i="9"/>
  <c r="AH57" i="9" s="1"/>
  <c r="AI13" i="9"/>
  <c r="AI57" i="9" s="1"/>
  <c r="AJ13" i="9"/>
  <c r="AJ57" i="9" s="1"/>
  <c r="AK13" i="9"/>
  <c r="AK57" i="9" s="1"/>
  <c r="AL13" i="9"/>
  <c r="AL57" i="9" s="1"/>
  <c r="AM13" i="9"/>
  <c r="AM57" i="9" s="1"/>
  <c r="AN13" i="9"/>
  <c r="AN57" i="9" s="1"/>
  <c r="AO13" i="9"/>
  <c r="AC101" i="9"/>
  <c r="AD101" i="9"/>
  <c r="AE101" i="9"/>
  <c r="AF101" i="9"/>
  <c r="AG101" i="9"/>
  <c r="AH101" i="9"/>
  <c r="AI101" i="9"/>
  <c r="AJ101" i="9"/>
  <c r="AK101" i="9"/>
  <c r="AL101" i="9"/>
  <c r="AM101" i="9"/>
  <c r="AN101" i="9"/>
  <c r="AO101" i="9"/>
  <c r="AO111" i="9" s="1"/>
  <c r="AO162" i="9"/>
  <c r="F161" i="9"/>
  <c r="F160" i="9"/>
  <c r="F159" i="9"/>
  <c r="F158" i="9"/>
  <c r="F157" i="9"/>
  <c r="F155" i="9"/>
  <c r="AO221" i="9" l="1"/>
  <c r="AO222" i="9" s="1"/>
  <c r="AO133" i="9"/>
  <c r="AO134" i="9" s="1"/>
  <c r="U17" i="14"/>
  <c r="AK145" i="9"/>
  <c r="AK111" i="9"/>
  <c r="AK133" i="9" s="1"/>
  <c r="AC145" i="9"/>
  <c r="AC111" i="9"/>
  <c r="AC133" i="9" s="1"/>
  <c r="AJ233" i="9"/>
  <c r="AJ199" i="9"/>
  <c r="AJ221" i="9" s="1"/>
  <c r="AK233" i="9"/>
  <c r="AK199" i="9"/>
  <c r="AK221" i="9" s="1"/>
  <c r="AJ145" i="9"/>
  <c r="AJ111" i="9"/>
  <c r="AJ133" i="9" s="1"/>
  <c r="AI233" i="9"/>
  <c r="AI199" i="9"/>
  <c r="AI221" i="9" s="1"/>
  <c r="AI145" i="9"/>
  <c r="AI111" i="9"/>
  <c r="AI133" i="9" s="1"/>
  <c r="AH233" i="9"/>
  <c r="AH199" i="9"/>
  <c r="AH221" i="9" s="1"/>
  <c r="AH145" i="9"/>
  <c r="AH111" i="9"/>
  <c r="AH133" i="9" s="1"/>
  <c r="AG145" i="9"/>
  <c r="AG111" i="9"/>
  <c r="AG133" i="9" s="1"/>
  <c r="AN233" i="9"/>
  <c r="AN199" i="9"/>
  <c r="AF233" i="9"/>
  <c r="AF199" i="9"/>
  <c r="AF221" i="9" s="1"/>
  <c r="AL145" i="9"/>
  <c r="AL111" i="9"/>
  <c r="AL133" i="9" s="1"/>
  <c r="AC233" i="9"/>
  <c r="AC199" i="9"/>
  <c r="AC221" i="9" s="1"/>
  <c r="AN145" i="9"/>
  <c r="AN111" i="9"/>
  <c r="AF145" i="9"/>
  <c r="AF111" i="9"/>
  <c r="AF133" i="9" s="1"/>
  <c r="AM233" i="9"/>
  <c r="AM199" i="9"/>
  <c r="AM221" i="9" s="1"/>
  <c r="AD145" i="9"/>
  <c r="AD111" i="9"/>
  <c r="AD133" i="9" s="1"/>
  <c r="AM145" i="9"/>
  <c r="AM111" i="9"/>
  <c r="AM133" i="9" s="1"/>
  <c r="AE145" i="9"/>
  <c r="AE111" i="9"/>
  <c r="AE133" i="9" s="1"/>
  <c r="AL233" i="9"/>
  <c r="AL199" i="9"/>
  <c r="AL221" i="9" s="1"/>
  <c r="AG225" i="14"/>
  <c r="AM149" i="15"/>
  <c r="AM121" i="15"/>
  <c r="AI225" i="14"/>
  <c r="AC225" i="14"/>
  <c r="AE233" i="9"/>
  <c r="AD233" i="9"/>
  <c r="AH225" i="14"/>
  <c r="AD225" i="14"/>
  <c r="AN121" i="15"/>
  <c r="AN50" i="15"/>
  <c r="AN57" i="15" s="1"/>
  <c r="AM50" i="15"/>
  <c r="AM57" i="15" s="1"/>
  <c r="AE225" i="14"/>
  <c r="AL225" i="14"/>
  <c r="AJ370" i="14"/>
  <c r="AG233" i="9"/>
  <c r="AI370" i="14"/>
  <c r="AM225" i="14"/>
  <c r="AJ225" i="14"/>
  <c r="AO370" i="14"/>
  <c r="AG370" i="14"/>
  <c r="AN225" i="14"/>
  <c r="AF225" i="14"/>
  <c r="AN149" i="15"/>
  <c r="AN95" i="15"/>
  <c r="AN221" i="9" l="1"/>
  <c r="AN222" i="9" s="1"/>
  <c r="AN133" i="9"/>
  <c r="AN134" i="9" s="1"/>
  <c r="V17" i="14"/>
  <c r="F221" i="8"/>
  <c r="F224" i="8"/>
  <c r="F223" i="8"/>
  <c r="F222" i="8"/>
  <c r="F215" i="8"/>
  <c r="F214" i="8"/>
  <c r="F213" i="8"/>
  <c r="F206" i="8"/>
  <c r="H206" i="8" s="1"/>
  <c r="F205" i="8"/>
  <c r="H205" i="8" s="1"/>
  <c r="F204" i="8"/>
  <c r="H204" i="8" s="1"/>
  <c r="AC200" i="8"/>
  <c r="AC218" i="8" s="1"/>
  <c r="AD200" i="8"/>
  <c r="AD218" i="8" s="1"/>
  <c r="AE200" i="8"/>
  <c r="AE218" i="8" s="1"/>
  <c r="AF200" i="8"/>
  <c r="AF218" i="8" s="1"/>
  <c r="AG200" i="8"/>
  <c r="AG246" i="8" s="1"/>
  <c r="AH200" i="8"/>
  <c r="AH218" i="8" s="1"/>
  <c r="AI200" i="8"/>
  <c r="AI246" i="8" s="1"/>
  <c r="AJ200" i="8"/>
  <c r="AJ246" i="8" s="1"/>
  <c r="AK200" i="8"/>
  <c r="AK218" i="8" s="1"/>
  <c r="AL200" i="8"/>
  <c r="AL218" i="8" s="1"/>
  <c r="AM200" i="8"/>
  <c r="AM218" i="8" s="1"/>
  <c r="AN200" i="8"/>
  <c r="AN218" i="8" s="1"/>
  <c r="AO200" i="8"/>
  <c r="AO246" i="8" s="1"/>
  <c r="F262" i="8"/>
  <c r="F261" i="8"/>
  <c r="F260" i="8"/>
  <c r="F259" i="8"/>
  <c r="F258" i="8"/>
  <c r="F256" i="8"/>
  <c r="F242" i="8"/>
  <c r="G243" i="8" s="1"/>
  <c r="F166" i="8"/>
  <c r="F163" i="7"/>
  <c r="F131" i="8"/>
  <c r="F134" i="8"/>
  <c r="F133" i="8"/>
  <c r="F132" i="8"/>
  <c r="F125" i="8"/>
  <c r="F124" i="8"/>
  <c r="F123" i="8"/>
  <c r="F116" i="8"/>
  <c r="F115" i="8"/>
  <c r="F114" i="8"/>
  <c r="W17" i="14" l="1"/>
  <c r="AH246" i="8"/>
  <c r="AE246" i="8"/>
  <c r="AM246" i="8"/>
  <c r="AD246" i="8"/>
  <c r="AF246" i="8"/>
  <c r="AN246" i="8"/>
  <c r="AJ218" i="8"/>
  <c r="AL246" i="8"/>
  <c r="AC246" i="8"/>
  <c r="AI218" i="8"/>
  <c r="AO218" i="8"/>
  <c r="AG218" i="8"/>
  <c r="AK246" i="8"/>
  <c r="H209" i="8"/>
  <c r="X17" i="14" l="1"/>
  <c r="F166" i="16"/>
  <c r="A46" i="11"/>
  <c r="A27" i="11"/>
  <c r="A9" i="11"/>
  <c r="F199" i="7"/>
  <c r="F198" i="7"/>
  <c r="F197" i="7"/>
  <c r="F208" i="7"/>
  <c r="F207" i="7"/>
  <c r="F206" i="7"/>
  <c r="F214" i="7"/>
  <c r="F215" i="7"/>
  <c r="F216" i="7"/>
  <c r="F217" i="7"/>
  <c r="F127" i="7"/>
  <c r="A47" i="11"/>
  <c r="A28" i="11"/>
  <c r="A10" i="11"/>
  <c r="F111" i="7"/>
  <c r="F112" i="7"/>
  <c r="F110" i="7"/>
  <c r="F250" i="7"/>
  <c r="AC211" i="7"/>
  <c r="AD211" i="7"/>
  <c r="AE211" i="7"/>
  <c r="AF211" i="7"/>
  <c r="AG211" i="7"/>
  <c r="AH211" i="7"/>
  <c r="AI211" i="7"/>
  <c r="AJ211" i="7"/>
  <c r="AK211" i="7"/>
  <c r="AL211" i="7"/>
  <c r="AM211" i="7"/>
  <c r="AN211" i="7"/>
  <c r="AO211" i="7"/>
  <c r="F256" i="7"/>
  <c r="F255" i="7"/>
  <c r="F254" i="7"/>
  <c r="F253" i="7"/>
  <c r="F252" i="7"/>
  <c r="F236" i="7"/>
  <c r="F129" i="7"/>
  <c r="F130" i="7"/>
  <c r="F128" i="7"/>
  <c r="F119" i="7"/>
  <c r="F120" i="7"/>
  <c r="F121" i="7"/>
  <c r="F169" i="7"/>
  <c r="F168" i="7"/>
  <c r="F167" i="7"/>
  <c r="F166" i="7"/>
  <c r="F165" i="7"/>
  <c r="F149" i="7"/>
  <c r="AC110" i="8"/>
  <c r="AD110" i="8"/>
  <c r="AE110" i="8"/>
  <c r="AF110" i="8"/>
  <c r="AG110" i="8"/>
  <c r="AH110" i="8"/>
  <c r="AI110" i="8"/>
  <c r="AJ110" i="8"/>
  <c r="AK110" i="8"/>
  <c r="AL110" i="8"/>
  <c r="AM110" i="8"/>
  <c r="AN110" i="8"/>
  <c r="AO110" i="8"/>
  <c r="AO19" i="8"/>
  <c r="AO65" i="8" s="1"/>
  <c r="AC19" i="8"/>
  <c r="AC65" i="8" s="1"/>
  <c r="AD19" i="8"/>
  <c r="AE19" i="8"/>
  <c r="AE65" i="8" s="1"/>
  <c r="AF19" i="8"/>
  <c r="AF65" i="8" s="1"/>
  <c r="AG19" i="8"/>
  <c r="AG65" i="8" s="1"/>
  <c r="AH19" i="8"/>
  <c r="AH65" i="8" s="1"/>
  <c r="AI19" i="8"/>
  <c r="AI65" i="8" s="1"/>
  <c r="AJ19" i="8"/>
  <c r="AJ65" i="8" s="1"/>
  <c r="AK19" i="8"/>
  <c r="AK65" i="8" s="1"/>
  <c r="AL19" i="8"/>
  <c r="AM19" i="8"/>
  <c r="AM65" i="8" s="1"/>
  <c r="AN19" i="8"/>
  <c r="AN65" i="8" s="1"/>
  <c r="F172" i="8"/>
  <c r="F171" i="8"/>
  <c r="F170" i="8"/>
  <c r="F169" i="8"/>
  <c r="F168" i="8"/>
  <c r="F152" i="8"/>
  <c r="H116" i="8"/>
  <c r="H115" i="8"/>
  <c r="H114" i="8"/>
  <c r="H141" i="24"/>
  <c r="X141" i="24" s="1"/>
  <c r="D148" i="24"/>
  <c r="D147" i="24"/>
  <c r="D145" i="24"/>
  <c r="D144" i="24"/>
  <c r="D141" i="24"/>
  <c r="E147" i="24"/>
  <c r="E144" i="24"/>
  <c r="F37" i="7"/>
  <c r="F237" i="15"/>
  <c r="F119" i="15"/>
  <c r="F236" i="15"/>
  <c r="AL9" i="5"/>
  <c r="AM225" i="15" s="1"/>
  <c r="J86" i="15"/>
  <c r="K86" i="15"/>
  <c r="L86" i="15"/>
  <c r="M86" i="15"/>
  <c r="N86" i="15"/>
  <c r="O86" i="15"/>
  <c r="P86" i="15"/>
  <c r="Q86" i="15"/>
  <c r="R86" i="15"/>
  <c r="S86" i="15"/>
  <c r="T86" i="15"/>
  <c r="U86" i="15"/>
  <c r="V86" i="15"/>
  <c r="W86" i="15"/>
  <c r="X86" i="15"/>
  <c r="Y86" i="15"/>
  <c r="Z86" i="15"/>
  <c r="AA86" i="15"/>
  <c r="AB86" i="15"/>
  <c r="AC86" i="15"/>
  <c r="AD86" i="15"/>
  <c r="E345" i="5"/>
  <c r="I183" i="15"/>
  <c r="J183" i="15"/>
  <c r="K183" i="15"/>
  <c r="L183" i="15"/>
  <c r="M183" i="15"/>
  <c r="N183" i="15"/>
  <c r="O183" i="15"/>
  <c r="P183" i="15"/>
  <c r="R183" i="15"/>
  <c r="S183" i="15"/>
  <c r="T183" i="15"/>
  <c r="U183" i="15"/>
  <c r="V183" i="15"/>
  <c r="W183" i="15"/>
  <c r="X183" i="15"/>
  <c r="Y183" i="15"/>
  <c r="Z183" i="15"/>
  <c r="AA183" i="15"/>
  <c r="AB183" i="15"/>
  <c r="AC183" i="15"/>
  <c r="AD183" i="15"/>
  <c r="AE183" i="15"/>
  <c r="AF183" i="15"/>
  <c r="AG183" i="15"/>
  <c r="AH183" i="15"/>
  <c r="AI183" i="15"/>
  <c r="AJ183" i="15"/>
  <c r="AK183" i="15"/>
  <c r="AL183" i="15"/>
  <c r="AM183" i="15"/>
  <c r="AN183" i="15"/>
  <c r="AO183" i="15"/>
  <c r="I184" i="15"/>
  <c r="J184" i="15"/>
  <c r="K184" i="15"/>
  <c r="L184" i="15"/>
  <c r="M184" i="15"/>
  <c r="N184" i="15"/>
  <c r="O184" i="15"/>
  <c r="P184" i="15"/>
  <c r="R184" i="15"/>
  <c r="S184" i="15"/>
  <c r="T184" i="15"/>
  <c r="U184" i="15"/>
  <c r="V184" i="15"/>
  <c r="W184" i="15"/>
  <c r="X184" i="15"/>
  <c r="Y184" i="15"/>
  <c r="Z184" i="15"/>
  <c r="AA184" i="15"/>
  <c r="AB184" i="15"/>
  <c r="AC184" i="15"/>
  <c r="AD184" i="15"/>
  <c r="AE184" i="15"/>
  <c r="AF184" i="15"/>
  <c r="AG184" i="15"/>
  <c r="AH184" i="15"/>
  <c r="AI184" i="15"/>
  <c r="AJ184" i="15"/>
  <c r="AK184" i="15"/>
  <c r="AL184" i="15"/>
  <c r="AM184" i="15"/>
  <c r="AN184" i="15"/>
  <c r="AO184" i="15"/>
  <c r="I185" i="15"/>
  <c r="J185" i="15"/>
  <c r="K185" i="15"/>
  <c r="L185" i="15"/>
  <c r="M185" i="15"/>
  <c r="N185" i="15"/>
  <c r="O185" i="15"/>
  <c r="P185" i="15"/>
  <c r="R185" i="15"/>
  <c r="S185" i="15"/>
  <c r="T185" i="15"/>
  <c r="U185" i="15"/>
  <c r="V185" i="15"/>
  <c r="W185" i="15"/>
  <c r="X185" i="15"/>
  <c r="Y185" i="15"/>
  <c r="Z185" i="15"/>
  <c r="AA185" i="15"/>
  <c r="AB185" i="15"/>
  <c r="AC185" i="15"/>
  <c r="AD185" i="15"/>
  <c r="AE185" i="15"/>
  <c r="AF185" i="15"/>
  <c r="AG185" i="15"/>
  <c r="AH185" i="15"/>
  <c r="AI185" i="15"/>
  <c r="AJ185" i="15"/>
  <c r="AK185" i="15"/>
  <c r="AL185" i="15"/>
  <c r="AM185" i="15"/>
  <c r="AN185" i="15"/>
  <c r="AO185" i="15"/>
  <c r="H185" i="15"/>
  <c r="H184" i="15"/>
  <c r="H183" i="15"/>
  <c r="U40" i="15"/>
  <c r="AO271" i="15"/>
  <c r="F185" i="15"/>
  <c r="F184" i="15"/>
  <c r="F183" i="15"/>
  <c r="I40" i="15"/>
  <c r="J40" i="15"/>
  <c r="K40" i="15"/>
  <c r="L40" i="15"/>
  <c r="M40" i="15"/>
  <c r="N40" i="15"/>
  <c r="O40" i="15"/>
  <c r="P40" i="15"/>
  <c r="Q40" i="15"/>
  <c r="R40" i="15"/>
  <c r="S40" i="15"/>
  <c r="T40" i="15"/>
  <c r="X40" i="15"/>
  <c r="Z40" i="15"/>
  <c r="AD40" i="15"/>
  <c r="AE40" i="15"/>
  <c r="AF40" i="15"/>
  <c r="AG40" i="15"/>
  <c r="AH40" i="15"/>
  <c r="AI40" i="15"/>
  <c r="AJ40" i="15"/>
  <c r="AL40" i="15"/>
  <c r="AO40" i="15"/>
  <c r="I41" i="15"/>
  <c r="J41" i="15"/>
  <c r="K41" i="15"/>
  <c r="L41" i="15"/>
  <c r="M41" i="15"/>
  <c r="N41" i="15"/>
  <c r="O41" i="15"/>
  <c r="P41" i="15"/>
  <c r="Q41" i="15"/>
  <c r="R41" i="15"/>
  <c r="S41" i="15"/>
  <c r="T41" i="15"/>
  <c r="U41" i="15"/>
  <c r="X41" i="15"/>
  <c r="Z41" i="15"/>
  <c r="AD41" i="15"/>
  <c r="AE41" i="15"/>
  <c r="AF41" i="15"/>
  <c r="AG41" i="15"/>
  <c r="AH41" i="15"/>
  <c r="AI41" i="15"/>
  <c r="AJ41" i="15"/>
  <c r="AL41" i="15"/>
  <c r="AO41" i="15"/>
  <c r="I42" i="15"/>
  <c r="J42" i="15"/>
  <c r="K42" i="15"/>
  <c r="L42" i="15"/>
  <c r="M42" i="15"/>
  <c r="N42" i="15"/>
  <c r="O42" i="15"/>
  <c r="P42" i="15"/>
  <c r="Q42" i="15"/>
  <c r="R42" i="15"/>
  <c r="S42" i="15"/>
  <c r="T42" i="15"/>
  <c r="U42" i="15"/>
  <c r="X42" i="15"/>
  <c r="Z42" i="15"/>
  <c r="AD42" i="15"/>
  <c r="AE42" i="15"/>
  <c r="AF42" i="15"/>
  <c r="AG42" i="15"/>
  <c r="AH42" i="15"/>
  <c r="AI42" i="15"/>
  <c r="AJ42" i="15"/>
  <c r="AL42" i="15"/>
  <c r="AO42" i="15"/>
  <c r="H42" i="15"/>
  <c r="H41" i="15"/>
  <c r="F42" i="15"/>
  <c r="V42" i="15" s="1"/>
  <c r="F41" i="15"/>
  <c r="Y41" i="15" s="1"/>
  <c r="F40" i="15"/>
  <c r="Y40" i="15" s="1"/>
  <c r="M166" i="16" l="1" a="1"/>
  <c r="M166" i="16" s="1"/>
  <c r="S166" i="16" a="1"/>
  <c r="S166" i="16" s="1"/>
  <c r="AF166" i="16" a="1"/>
  <c r="AF166" i="16" s="1"/>
  <c r="AL166" i="16" a="1"/>
  <c r="AL166" i="16" s="1"/>
  <c r="AJ166" i="16" a="1"/>
  <c r="AJ166" i="16" s="1"/>
  <c r="T166" i="16" a="1"/>
  <c r="T166" i="16" s="1"/>
  <c r="Z166" i="16" a="1"/>
  <c r="Z166" i="16" s="1"/>
  <c r="AG166" i="16" a="1"/>
  <c r="AG166" i="16" s="1"/>
  <c r="AM166" i="16" a="1"/>
  <c r="AM166" i="16" s="1"/>
  <c r="I166" i="16" a="1"/>
  <c r="I166" i="16" s="1"/>
  <c r="N166" i="16" a="1"/>
  <c r="N166" i="16" s="1"/>
  <c r="U166" i="16" a="1"/>
  <c r="U166" i="16" s="1"/>
  <c r="AA166" i="16" a="1"/>
  <c r="AA166" i="16" s="1"/>
  <c r="AN166" i="16" a="1"/>
  <c r="AN166" i="16" s="1"/>
  <c r="J166" i="16" a="1"/>
  <c r="J166" i="16" s="1"/>
  <c r="O166" i="16" a="1"/>
  <c r="O166" i="16" s="1"/>
  <c r="AB166" i="16" a="1"/>
  <c r="AB166" i="16" s="1"/>
  <c r="AH166" i="16" a="1"/>
  <c r="AH166" i="16" s="1"/>
  <c r="AO166" i="16" a="1"/>
  <c r="AO166" i="16" s="1"/>
  <c r="Q166" i="16" a="1"/>
  <c r="Q166" i="16" s="1"/>
  <c r="P166" i="16" a="1"/>
  <c r="P166" i="16" s="1"/>
  <c r="V166" i="16" a="1"/>
  <c r="V166" i="16" s="1"/>
  <c r="AC166" i="16" a="1"/>
  <c r="AC166" i="16" s="1"/>
  <c r="AI166" i="16" a="1"/>
  <c r="AI166" i="16" s="1"/>
  <c r="W166" i="16" a="1"/>
  <c r="W166" i="16" s="1"/>
  <c r="K166" i="16" a="1"/>
  <c r="K166" i="16" s="1"/>
  <c r="X166" i="16" a="1"/>
  <c r="X166" i="16" s="1"/>
  <c r="AD166" i="16" a="1"/>
  <c r="AD166" i="16" s="1"/>
  <c r="AK166" i="16" a="1"/>
  <c r="AK166" i="16" s="1"/>
  <c r="L166" i="16" a="1"/>
  <c r="L166" i="16" s="1"/>
  <c r="R166" i="16" a="1"/>
  <c r="R166" i="16" s="1"/>
  <c r="Y166" i="16" a="1"/>
  <c r="Y166" i="16" s="1"/>
  <c r="AE166" i="16" a="1"/>
  <c r="AE166" i="16" s="1"/>
  <c r="M102" i="24"/>
  <c r="E143" i="24"/>
  <c r="AB42" i="15"/>
  <c r="AB41" i="15"/>
  <c r="W40" i="15"/>
  <c r="W41" i="15"/>
  <c r="W42" i="15"/>
  <c r="D386" i="15"/>
  <c r="D63" i="15"/>
  <c r="D704" i="15"/>
  <c r="H19" i="14"/>
  <c r="I19" i="14" s="1"/>
  <c r="H160" i="14"/>
  <c r="I160" i="14" s="1"/>
  <c r="J160" i="14" s="1"/>
  <c r="K160" i="14" s="1"/>
  <c r="L160" i="14" s="1"/>
  <c r="M160" i="14" s="1"/>
  <c r="N160" i="14" s="1"/>
  <c r="O160" i="14" s="1"/>
  <c r="P160" i="14" s="1"/>
  <c r="Q160" i="14" s="1"/>
  <c r="R160" i="14" s="1"/>
  <c r="S160" i="14" s="1"/>
  <c r="T160" i="14" s="1"/>
  <c r="U160" i="14" s="1"/>
  <c r="V160" i="14" s="1"/>
  <c r="W160" i="14" s="1"/>
  <c r="X160" i="14" s="1"/>
  <c r="Y160" i="14" s="1"/>
  <c r="Z160" i="14" s="1"/>
  <c r="AA160" i="14" s="1"/>
  <c r="AB160" i="14" s="1"/>
  <c r="AC160" i="14" s="1"/>
  <c r="H303" i="14"/>
  <c r="I303" i="14" s="1"/>
  <c r="J303" i="14" s="1"/>
  <c r="K303" i="14" s="1"/>
  <c r="L303" i="14" s="1"/>
  <c r="M303" i="14" s="1"/>
  <c r="N303" i="14" s="1"/>
  <c r="O303" i="14" s="1"/>
  <c r="P303" i="14" s="1"/>
  <c r="Q303" i="14" s="1"/>
  <c r="H18" i="14"/>
  <c r="I18" i="14" s="1"/>
  <c r="H159" i="14"/>
  <c r="I159" i="14" s="1"/>
  <c r="J159" i="14" s="1"/>
  <c r="K159" i="14" s="1"/>
  <c r="L159" i="14" s="1"/>
  <c r="M159" i="14" s="1"/>
  <c r="N159" i="14" s="1"/>
  <c r="O159" i="14" s="1"/>
  <c r="P159" i="14" s="1"/>
  <c r="Q159" i="14" s="1"/>
  <c r="H302" i="14"/>
  <c r="I302" i="14" s="1"/>
  <c r="J302" i="14" s="1"/>
  <c r="K302" i="14" s="1"/>
  <c r="L302" i="14" s="1"/>
  <c r="M302" i="14" s="1"/>
  <c r="N302" i="14" s="1"/>
  <c r="O302" i="14" s="1"/>
  <c r="P302" i="14" s="1"/>
  <c r="Q302" i="14" s="1"/>
  <c r="Y17" i="14"/>
  <c r="M149" i="24"/>
  <c r="M143" i="24"/>
  <c r="M146" i="24"/>
  <c r="U144" i="24"/>
  <c r="U147" i="24"/>
  <c r="E149" i="24"/>
  <c r="E146" i="24"/>
  <c r="AA41" i="15"/>
  <c r="AA42" i="15"/>
  <c r="H351" i="15"/>
  <c r="I351" i="15" s="1"/>
  <c r="J351" i="15" s="1"/>
  <c r="K351" i="15" s="1"/>
  <c r="L351" i="15" s="1"/>
  <c r="M351" i="15" s="1"/>
  <c r="N351" i="15" s="1"/>
  <c r="O351" i="15" s="1"/>
  <c r="P351" i="15" s="1"/>
  <c r="Q351" i="15" s="1"/>
  <c r="R351" i="15" s="1"/>
  <c r="S351" i="15" s="1"/>
  <c r="T351" i="15" s="1"/>
  <c r="U351" i="15" s="1"/>
  <c r="V351" i="15" s="1"/>
  <c r="W351" i="15" s="1"/>
  <c r="X351" i="15" s="1"/>
  <c r="Y351" i="15" s="1"/>
  <c r="H669" i="15"/>
  <c r="I669" i="15" s="1"/>
  <c r="J669" i="15" s="1"/>
  <c r="K669" i="15" s="1"/>
  <c r="L669" i="15" s="1"/>
  <c r="M669" i="15" s="1"/>
  <c r="N669" i="15" s="1"/>
  <c r="O669" i="15" s="1"/>
  <c r="P669" i="15" s="1"/>
  <c r="Q669" i="15" s="1"/>
  <c r="H28" i="15"/>
  <c r="I28" i="15" s="1"/>
  <c r="H350" i="15"/>
  <c r="I350" i="15" s="1"/>
  <c r="J350" i="15" s="1"/>
  <c r="K350" i="15" s="1"/>
  <c r="L350" i="15" s="1"/>
  <c r="M350" i="15" s="1"/>
  <c r="N350" i="15" s="1"/>
  <c r="O350" i="15" s="1"/>
  <c r="P350" i="15" s="1"/>
  <c r="Q350" i="15" s="1"/>
  <c r="R350" i="15" s="1"/>
  <c r="S350" i="15" s="1"/>
  <c r="T350" i="15" s="1"/>
  <c r="U350" i="15" s="1"/>
  <c r="V350" i="15" s="1"/>
  <c r="W350" i="15" s="1"/>
  <c r="X350" i="15" s="1"/>
  <c r="Y350" i="15" s="1"/>
  <c r="H668" i="15"/>
  <c r="I668" i="15" s="1"/>
  <c r="J668" i="15" s="1"/>
  <c r="K668" i="15" s="1"/>
  <c r="L668" i="15" s="1"/>
  <c r="M668" i="15" s="1"/>
  <c r="N668" i="15" s="1"/>
  <c r="O668" i="15" s="1"/>
  <c r="P668" i="15" s="1"/>
  <c r="Q668" i="15" s="1"/>
  <c r="H27" i="15"/>
  <c r="I27" i="15" s="1"/>
  <c r="AM745" i="16"/>
  <c r="AM479" i="16"/>
  <c r="H349" i="15"/>
  <c r="I349" i="15" s="1"/>
  <c r="J349" i="15" s="1"/>
  <c r="K349" i="15" s="1"/>
  <c r="L349" i="15" s="1"/>
  <c r="M349" i="15" s="1"/>
  <c r="N349" i="15" s="1"/>
  <c r="O349" i="15" s="1"/>
  <c r="P349" i="15" s="1"/>
  <c r="Q349" i="15" s="1"/>
  <c r="R349" i="15" s="1"/>
  <c r="S349" i="15" s="1"/>
  <c r="T349" i="15" s="1"/>
  <c r="U349" i="15" s="1"/>
  <c r="V349" i="15" s="1"/>
  <c r="W349" i="15" s="1"/>
  <c r="X349" i="15" s="1"/>
  <c r="Y349" i="15" s="1"/>
  <c r="Z349" i="15" s="1"/>
  <c r="AA349" i="15" s="1"/>
  <c r="H667" i="15"/>
  <c r="I667" i="15" s="1"/>
  <c r="J667" i="15" s="1"/>
  <c r="K667" i="15" s="1"/>
  <c r="L667" i="15" s="1"/>
  <c r="M667" i="15" s="1"/>
  <c r="N667" i="15" s="1"/>
  <c r="O667" i="15" s="1"/>
  <c r="P667" i="15" s="1"/>
  <c r="Q667" i="15" s="1"/>
  <c r="H26" i="15"/>
  <c r="I26" i="15" s="1"/>
  <c r="V40" i="15"/>
  <c r="AM134" i="9"/>
  <c r="AM222" i="9"/>
  <c r="AK40" i="15"/>
  <c r="AK41" i="15"/>
  <c r="AL37" i="8"/>
  <c r="AL65" i="8"/>
  <c r="AD37" i="8"/>
  <c r="AD65" i="8"/>
  <c r="AO164" i="9"/>
  <c r="AH156" i="8"/>
  <c r="AI156" i="8"/>
  <c r="AO156" i="8"/>
  <c r="AG156" i="8"/>
  <c r="AF156" i="8"/>
  <c r="AM156" i="8"/>
  <c r="AE156" i="8"/>
  <c r="AN156" i="8"/>
  <c r="AL156" i="8"/>
  <c r="AD156" i="8"/>
  <c r="AJ156" i="8"/>
  <c r="AK156" i="8"/>
  <c r="AC156" i="8"/>
  <c r="AI37" i="8"/>
  <c r="AO128" i="8"/>
  <c r="AG128" i="8"/>
  <c r="AH37" i="8"/>
  <c r="AN128" i="8"/>
  <c r="AF128" i="8"/>
  <c r="AG37" i="8"/>
  <c r="AM128" i="8"/>
  <c r="AE128" i="8"/>
  <c r="AN37" i="8"/>
  <c r="AF37" i="8"/>
  <c r="AL128" i="8"/>
  <c r="AD128" i="8"/>
  <c r="AM37" i="8"/>
  <c r="AE37" i="8"/>
  <c r="AK128" i="8"/>
  <c r="AC128" i="8"/>
  <c r="AM51" i="7"/>
  <c r="AJ128" i="8"/>
  <c r="AK37" i="8"/>
  <c r="AC37" i="8"/>
  <c r="AI128" i="8"/>
  <c r="AJ37" i="8"/>
  <c r="AO37" i="8"/>
  <c r="AH128" i="8"/>
  <c r="AM141" i="7"/>
  <c r="H119" i="8"/>
  <c r="H144" i="8" s="1"/>
  <c r="AH121" i="15"/>
  <c r="M239" i="15"/>
  <c r="T239" i="15"/>
  <c r="L121" i="15"/>
  <c r="AL239" i="15"/>
  <c r="H121" i="15"/>
  <c r="AO121" i="15"/>
  <c r="AG121" i="15"/>
  <c r="N121" i="15"/>
  <c r="O121" i="15"/>
  <c r="AD239" i="15"/>
  <c r="V239" i="15"/>
  <c r="AJ239" i="15"/>
  <c r="AB239" i="15"/>
  <c r="K239" i="15"/>
  <c r="AK239" i="15"/>
  <c r="H239" i="15"/>
  <c r="AC239" i="15"/>
  <c r="L239" i="15"/>
  <c r="AI239" i="15"/>
  <c r="AA239" i="15"/>
  <c r="S239" i="15"/>
  <c r="J239" i="15"/>
  <c r="U239" i="15"/>
  <c r="R121" i="15"/>
  <c r="J121" i="15"/>
  <c r="AI121" i="15"/>
  <c r="Z121" i="15"/>
  <c r="P121" i="15"/>
  <c r="AH239" i="15"/>
  <c r="Z239" i="15"/>
  <c r="R239" i="15"/>
  <c r="I239" i="15"/>
  <c r="AO239" i="15"/>
  <c r="AG239" i="15"/>
  <c r="Y239" i="15"/>
  <c r="P239" i="15"/>
  <c r="AN239" i="15"/>
  <c r="AF239" i="15"/>
  <c r="X239" i="15"/>
  <c r="O239" i="15"/>
  <c r="AE239" i="15"/>
  <c r="N239" i="15"/>
  <c r="AM239" i="15"/>
  <c r="W239" i="15"/>
  <c r="X121" i="15"/>
  <c r="AE121" i="15"/>
  <c r="M121" i="15"/>
  <c r="AL121" i="15"/>
  <c r="AD121" i="15"/>
  <c r="S121" i="15"/>
  <c r="K121" i="15"/>
  <c r="U121" i="15"/>
  <c r="AJ121" i="15"/>
  <c r="Q121" i="15"/>
  <c r="I121" i="15"/>
  <c r="AH195" i="15"/>
  <c r="Z195" i="15"/>
  <c r="J195" i="15"/>
  <c r="R195" i="15"/>
  <c r="P195" i="15"/>
  <c r="X195" i="15"/>
  <c r="AN195" i="15"/>
  <c r="AF195" i="15"/>
  <c r="AO195" i="15"/>
  <c r="AG195" i="15"/>
  <c r="Y195" i="15"/>
  <c r="I195" i="15"/>
  <c r="AM195" i="15"/>
  <c r="AL195" i="15"/>
  <c r="AD195" i="15"/>
  <c r="V195" i="15"/>
  <c r="N195" i="15"/>
  <c r="W195" i="15"/>
  <c r="AK195" i="15"/>
  <c r="AC195" i="15"/>
  <c r="U195" i="15"/>
  <c r="M195" i="15"/>
  <c r="O195" i="15"/>
  <c r="AJ195" i="15"/>
  <c r="AB195" i="15"/>
  <c r="T195" i="15"/>
  <c r="L195" i="15"/>
  <c r="AE195" i="15"/>
  <c r="AI195" i="15"/>
  <c r="AA195" i="15"/>
  <c r="S195" i="15"/>
  <c r="K195" i="15"/>
  <c r="AB349" i="15" l="1"/>
  <c r="AC349" i="15" s="1"/>
  <c r="AD349" i="15" s="1"/>
  <c r="AE349" i="15" s="1"/>
  <c r="AF349" i="15" s="1"/>
  <c r="AG349" i="15" s="1"/>
  <c r="AH349" i="15" s="1"/>
  <c r="AI349" i="15" s="1"/>
  <c r="AJ349" i="15" s="1"/>
  <c r="AK349" i="15" s="1"/>
  <c r="AL349" i="15" s="1"/>
  <c r="AM349" i="15" s="1"/>
  <c r="AN349" i="15" s="1"/>
  <c r="AO349" i="15" s="1"/>
  <c r="AA363" i="15"/>
  <c r="AB363" i="15"/>
  <c r="Z350" i="15"/>
  <c r="AA350" i="15" s="1"/>
  <c r="AB350" i="15" s="1"/>
  <c r="AC350" i="15" s="1"/>
  <c r="AD350" i="15" s="1"/>
  <c r="AE350" i="15" s="1"/>
  <c r="AF350" i="15" s="1"/>
  <c r="AG350" i="15" s="1"/>
  <c r="AH350" i="15" s="1"/>
  <c r="AI350" i="15" s="1"/>
  <c r="AJ350" i="15" s="1"/>
  <c r="AK350" i="15" s="1"/>
  <c r="AL350" i="15" s="1"/>
  <c r="AM350" i="15" s="1"/>
  <c r="AN350" i="15" s="1"/>
  <c r="AO350" i="15" s="1"/>
  <c r="Y364" i="15"/>
  <c r="R303" i="14"/>
  <c r="S303" i="14" s="1"/>
  <c r="T303" i="14" s="1"/>
  <c r="U303" i="14" s="1"/>
  <c r="V303" i="14" s="1"/>
  <c r="W303" i="14" s="1"/>
  <c r="X303" i="14" s="1"/>
  <c r="Y303" i="14" s="1"/>
  <c r="Z303" i="14" s="1"/>
  <c r="AA303" i="14" s="1"/>
  <c r="AB303" i="14" s="1"/>
  <c r="AC303" i="14" s="1"/>
  <c r="Q315" i="14"/>
  <c r="W121" i="15"/>
  <c r="Q170" i="14"/>
  <c r="R159" i="14"/>
  <c r="S159" i="14" s="1"/>
  <c r="T159" i="14" s="1"/>
  <c r="U159" i="14" s="1"/>
  <c r="V159" i="14" s="1"/>
  <c r="W159" i="14" s="1"/>
  <c r="X159" i="14" s="1"/>
  <c r="Y159" i="14" s="1"/>
  <c r="Z159" i="14" s="1"/>
  <c r="AA159" i="14" s="1"/>
  <c r="AB159" i="14" s="1"/>
  <c r="AC159" i="14" s="1"/>
  <c r="R302" i="14"/>
  <c r="S302" i="14" s="1"/>
  <c r="T302" i="14" s="1"/>
  <c r="U302" i="14" s="1"/>
  <c r="V302" i="14" s="1"/>
  <c r="W302" i="14" s="1"/>
  <c r="X302" i="14" s="1"/>
  <c r="Y302" i="14" s="1"/>
  <c r="Z302" i="14" s="1"/>
  <c r="AA302" i="14" s="1"/>
  <c r="AB302" i="14" s="1"/>
  <c r="AC302" i="14" s="1"/>
  <c r="Q314" i="14"/>
  <c r="Z17" i="14"/>
  <c r="J18" i="14"/>
  <c r="J19" i="14"/>
  <c r="Z351" i="15"/>
  <c r="AA351" i="15" s="1"/>
  <c r="AB351" i="15" s="1"/>
  <c r="AC351" i="15" s="1"/>
  <c r="AD351" i="15" s="1"/>
  <c r="AE351" i="15" s="1"/>
  <c r="AF351" i="15" s="1"/>
  <c r="AG351" i="15" s="1"/>
  <c r="AH351" i="15" s="1"/>
  <c r="AI351" i="15" s="1"/>
  <c r="AJ351" i="15" s="1"/>
  <c r="AK351" i="15" s="1"/>
  <c r="AL351" i="15" s="1"/>
  <c r="AM351" i="15" s="1"/>
  <c r="AN351" i="15" s="1"/>
  <c r="AO351" i="15" s="1"/>
  <c r="Y365" i="15"/>
  <c r="U146" i="24"/>
  <c r="U143" i="24"/>
  <c r="U149" i="24"/>
  <c r="R667" i="15"/>
  <c r="S667" i="15" s="1"/>
  <c r="T667" i="15" s="1"/>
  <c r="U667" i="15" s="1"/>
  <c r="V667" i="15" s="1"/>
  <c r="W667" i="15" s="1"/>
  <c r="X667" i="15" s="1"/>
  <c r="Y667" i="15" s="1"/>
  <c r="Z667" i="15" s="1"/>
  <c r="AA667" i="15" s="1"/>
  <c r="Q822" i="15"/>
  <c r="AC363" i="15"/>
  <c r="AC364" i="15"/>
  <c r="R668" i="15"/>
  <c r="S668" i="15" s="1"/>
  <c r="T668" i="15" s="1"/>
  <c r="U668" i="15" s="1"/>
  <c r="V668" i="15" s="1"/>
  <c r="W668" i="15" s="1"/>
  <c r="X668" i="15" s="1"/>
  <c r="Y668" i="15" s="1"/>
  <c r="Z668" i="15" s="1"/>
  <c r="AA668" i="15" s="1"/>
  <c r="AB668" i="15" s="1"/>
  <c r="AC668" i="15" s="1"/>
  <c r="Q823" i="15"/>
  <c r="R669" i="15"/>
  <c r="S669" i="15" s="1"/>
  <c r="T669" i="15" s="1"/>
  <c r="U669" i="15" s="1"/>
  <c r="V669" i="15" s="1"/>
  <c r="W669" i="15" s="1"/>
  <c r="X669" i="15" s="1"/>
  <c r="Y669" i="15" s="1"/>
  <c r="Q824" i="15"/>
  <c r="J26" i="15"/>
  <c r="J28" i="15"/>
  <c r="J27" i="15"/>
  <c r="AK42" i="15"/>
  <c r="AB667" i="15" l="1"/>
  <c r="AA681" i="15"/>
  <c r="AA691" i="15" s="1"/>
  <c r="AA698" i="15" s="1"/>
  <c r="AC667" i="15"/>
  <c r="AD667" i="15" s="1"/>
  <c r="AE667" i="15" s="1"/>
  <c r="AF667" i="15" s="1"/>
  <c r="AG667" i="15" s="1"/>
  <c r="AH667" i="15" s="1"/>
  <c r="AI667" i="15" s="1"/>
  <c r="AJ667" i="15" s="1"/>
  <c r="AK667" i="15" s="1"/>
  <c r="AL667" i="15" s="1"/>
  <c r="AM667" i="15" s="1"/>
  <c r="AN667" i="15" s="1"/>
  <c r="AO667" i="15" s="1"/>
  <c r="AB681" i="15"/>
  <c r="E328" i="14"/>
  <c r="D328" i="14"/>
  <c r="D183" i="14"/>
  <c r="E183" i="14"/>
  <c r="K19" i="14"/>
  <c r="K18" i="14"/>
  <c r="AA17" i="14"/>
  <c r="AC365" i="15"/>
  <c r="Z669" i="15"/>
  <c r="AA669" i="15" s="1"/>
  <c r="AB669" i="15" s="1"/>
  <c r="AC669" i="15" s="1"/>
  <c r="AC683" i="15" s="1"/>
  <c r="Y683" i="15"/>
  <c r="Y691" i="15" s="1"/>
  <c r="Q834" i="15"/>
  <c r="Q837" i="15" s="1"/>
  <c r="AC681" i="15"/>
  <c r="AD668" i="15"/>
  <c r="AE668" i="15" s="1"/>
  <c r="AF668" i="15" s="1"/>
  <c r="AG668" i="15" s="1"/>
  <c r="AH668" i="15" s="1"/>
  <c r="AI668" i="15" s="1"/>
  <c r="AJ668" i="15" s="1"/>
  <c r="AK668" i="15" s="1"/>
  <c r="AL668" i="15" s="1"/>
  <c r="AM668" i="15" s="1"/>
  <c r="AN668" i="15" s="1"/>
  <c r="AO668" i="15" s="1"/>
  <c r="AC682" i="15"/>
  <c r="K28" i="15"/>
  <c r="K26" i="15"/>
  <c r="K27" i="15"/>
  <c r="AB691" i="15" l="1"/>
  <c r="AB698" i="15" s="1"/>
  <c r="AC691" i="15"/>
  <c r="AC698" i="15" s="1"/>
  <c r="Y698" i="15"/>
  <c r="AB17" i="14"/>
  <c r="L18" i="14"/>
  <c r="L19" i="14"/>
  <c r="AD669" i="15"/>
  <c r="AE669" i="15" s="1"/>
  <c r="AF669" i="15" s="1"/>
  <c r="AG669" i="15" s="1"/>
  <c r="AH669" i="15" s="1"/>
  <c r="AI669" i="15" s="1"/>
  <c r="AJ669" i="15" s="1"/>
  <c r="AK669" i="15" s="1"/>
  <c r="AL669" i="15" s="1"/>
  <c r="AM669" i="15" s="1"/>
  <c r="AN669" i="15" s="1"/>
  <c r="AO669" i="15" s="1"/>
  <c r="L27" i="15"/>
  <c r="L26" i="15"/>
  <c r="L28" i="15"/>
  <c r="S120" i="24"/>
  <c r="R120" i="24"/>
  <c r="Q120" i="24"/>
  <c r="P120" i="24"/>
  <c r="O120" i="24"/>
  <c r="N120" i="24"/>
  <c r="M120" i="24"/>
  <c r="S115" i="24"/>
  <c r="R115" i="24"/>
  <c r="Q115" i="24"/>
  <c r="P115" i="24"/>
  <c r="O115" i="24"/>
  <c r="N115" i="24"/>
  <c r="M115" i="24"/>
  <c r="S99" i="24"/>
  <c r="S102" i="24" s="1"/>
  <c r="R99" i="24"/>
  <c r="R102" i="24" s="1"/>
  <c r="Q99" i="24"/>
  <c r="Q102" i="24" s="1"/>
  <c r="P99" i="24"/>
  <c r="P102" i="24" s="1"/>
  <c r="O99" i="24"/>
  <c r="O102" i="24" s="1"/>
  <c r="N99" i="24"/>
  <c r="S94" i="24"/>
  <c r="R94" i="24"/>
  <c r="Q94" i="24"/>
  <c r="P94" i="24"/>
  <c r="O94" i="24"/>
  <c r="N94" i="24"/>
  <c r="M94" i="24"/>
  <c r="T120" i="24"/>
  <c r="N84" i="24"/>
  <c r="O84" i="24"/>
  <c r="P84" i="24"/>
  <c r="Q84" i="24"/>
  <c r="R84" i="24"/>
  <c r="S84" i="24"/>
  <c r="T84" i="24"/>
  <c r="M84" i="24"/>
  <c r="N102" i="24" l="1"/>
  <c r="M19" i="14"/>
  <c r="M18" i="14"/>
  <c r="AC17" i="14"/>
  <c r="O146" i="24"/>
  <c r="O149" i="24"/>
  <c r="O143" i="24"/>
  <c r="P146" i="24"/>
  <c r="P143" i="24"/>
  <c r="P149" i="24"/>
  <c r="R143" i="24"/>
  <c r="R149" i="24"/>
  <c r="R146" i="24"/>
  <c r="S143" i="24"/>
  <c r="S149" i="24"/>
  <c r="S146" i="24"/>
  <c r="Q146" i="24"/>
  <c r="Q143" i="24"/>
  <c r="Q149" i="24"/>
  <c r="T143" i="24"/>
  <c r="T146" i="24"/>
  <c r="T149" i="24"/>
  <c r="N149" i="24"/>
  <c r="N143" i="24"/>
  <c r="N146" i="24"/>
  <c r="K143" i="24"/>
  <c r="K149" i="24"/>
  <c r="K146" i="24"/>
  <c r="F143" i="24"/>
  <c r="F146" i="24"/>
  <c r="F149" i="24"/>
  <c r="G143" i="24"/>
  <c r="G146" i="24"/>
  <c r="G149" i="24"/>
  <c r="H143" i="24"/>
  <c r="H146" i="24"/>
  <c r="H149" i="24"/>
  <c r="J143" i="24"/>
  <c r="J149" i="24"/>
  <c r="J146" i="24"/>
  <c r="L143" i="24"/>
  <c r="L149" i="24"/>
  <c r="L146" i="24"/>
  <c r="I143" i="24"/>
  <c r="I149" i="24"/>
  <c r="I146" i="24"/>
  <c r="M26" i="15"/>
  <c r="M28" i="15"/>
  <c r="M27" i="15"/>
  <c r="L148" i="24"/>
  <c r="L145" i="24"/>
  <c r="AB145" i="24" s="1"/>
  <c r="I147" i="24"/>
  <c r="Y147" i="24" s="1"/>
  <c r="I144" i="24"/>
  <c r="Y144" i="24" s="1"/>
  <c r="E145" i="24"/>
  <c r="E148" i="24"/>
  <c r="H147" i="24"/>
  <c r="X147" i="24" s="1"/>
  <c r="H144" i="24"/>
  <c r="X144" i="24" s="1"/>
  <c r="F142" i="24"/>
  <c r="V142" i="24" s="1"/>
  <c r="F145" i="24"/>
  <c r="V145" i="24" s="1"/>
  <c r="F148" i="24"/>
  <c r="V148" i="24" s="1"/>
  <c r="L147" i="24"/>
  <c r="AB147" i="24" s="1"/>
  <c r="L141" i="24"/>
  <c r="AB141" i="24" s="1"/>
  <c r="L144" i="24"/>
  <c r="AB144" i="24" s="1"/>
  <c r="G147" i="24"/>
  <c r="W147" i="24" s="1"/>
  <c r="G144" i="24"/>
  <c r="W144" i="24" s="1"/>
  <c r="G142" i="24"/>
  <c r="W142" i="24" s="1"/>
  <c r="G145" i="24"/>
  <c r="W145" i="24" s="1"/>
  <c r="G148" i="24"/>
  <c r="W148" i="24" s="1"/>
  <c r="F144" i="24"/>
  <c r="V144" i="24" s="1"/>
  <c r="F147" i="24"/>
  <c r="V147" i="24" s="1"/>
  <c r="H142" i="24"/>
  <c r="X142" i="24" s="1"/>
  <c r="H148" i="24"/>
  <c r="X148" i="24" s="1"/>
  <c r="H145" i="24"/>
  <c r="X145" i="24" s="1"/>
  <c r="I142" i="24"/>
  <c r="Y142" i="24" s="1"/>
  <c r="I148" i="24"/>
  <c r="Y148" i="24" s="1"/>
  <c r="I145" i="24"/>
  <c r="Y145" i="24" s="1"/>
  <c r="K144" i="24"/>
  <c r="AA144" i="24" s="1"/>
  <c r="K147" i="24"/>
  <c r="AA147" i="24" s="1"/>
  <c r="J147" i="24"/>
  <c r="Z147" i="24" s="1"/>
  <c r="J144" i="24"/>
  <c r="Z144" i="24" s="1"/>
  <c r="J142" i="24"/>
  <c r="Z142" i="24" s="1"/>
  <c r="J148" i="24"/>
  <c r="Z148" i="24" s="1"/>
  <c r="J145" i="24"/>
  <c r="Z145" i="24" s="1"/>
  <c r="K142" i="24"/>
  <c r="AA142" i="24" s="1"/>
  <c r="K148" i="24"/>
  <c r="AA148" i="24" s="1"/>
  <c r="K145" i="24"/>
  <c r="AA145" i="24" s="1"/>
  <c r="G141" i="24"/>
  <c r="W141" i="24" s="1"/>
  <c r="F141" i="24"/>
  <c r="V141" i="24" s="1"/>
  <c r="K141" i="24"/>
  <c r="AA141" i="24" s="1"/>
  <c r="J141" i="24"/>
  <c r="Z141" i="24" s="1"/>
  <c r="AO149" i="15"/>
  <c r="K35" i="15"/>
  <c r="L35" i="15"/>
  <c r="O35" i="15"/>
  <c r="Q35" i="15"/>
  <c r="U35" i="15"/>
  <c r="V35" i="15"/>
  <c r="X35" i="15"/>
  <c r="Y35" i="15"/>
  <c r="Z35" i="15"/>
  <c r="AA35" i="15"/>
  <c r="AC35" i="15"/>
  <c r="AD35" i="15"/>
  <c r="AE35" i="15"/>
  <c r="AF35" i="15"/>
  <c r="AG35" i="15"/>
  <c r="AH35" i="15"/>
  <c r="AI35" i="15"/>
  <c r="AJ35" i="15"/>
  <c r="AK35" i="15"/>
  <c r="AL35" i="15"/>
  <c r="AO35" i="15"/>
  <c r="I48" i="15"/>
  <c r="K48" i="15"/>
  <c r="L48" i="15"/>
  <c r="O48" i="15"/>
  <c r="U48" i="15"/>
  <c r="V48" i="15"/>
  <c r="W48" i="15"/>
  <c r="X48" i="15"/>
  <c r="Y48" i="15"/>
  <c r="Z48" i="15"/>
  <c r="AA48" i="15"/>
  <c r="AC48" i="15"/>
  <c r="AD48" i="15"/>
  <c r="AE48" i="15"/>
  <c r="AF48" i="15"/>
  <c r="AG48" i="15"/>
  <c r="AH48" i="15"/>
  <c r="AI48" i="15"/>
  <c r="AJ48" i="15"/>
  <c r="AK48" i="15"/>
  <c r="AL48" i="15"/>
  <c r="AO48" i="15"/>
  <c r="H48" i="15"/>
  <c r="I47" i="15"/>
  <c r="J47" i="15"/>
  <c r="K47" i="15"/>
  <c r="L47" i="15"/>
  <c r="O47" i="15"/>
  <c r="U47" i="15"/>
  <c r="V47" i="15"/>
  <c r="W47" i="15"/>
  <c r="X47" i="15"/>
  <c r="Y47" i="15"/>
  <c r="Z47" i="15"/>
  <c r="AA47" i="15"/>
  <c r="AB47" i="15"/>
  <c r="AC47" i="15"/>
  <c r="AD47" i="15"/>
  <c r="AE47" i="15"/>
  <c r="AF47" i="15"/>
  <c r="AG47" i="15"/>
  <c r="AH47" i="15"/>
  <c r="AI47" i="15"/>
  <c r="AJ47" i="15"/>
  <c r="AK47" i="15"/>
  <c r="AL47" i="15"/>
  <c r="AO47" i="15"/>
  <c r="H47" i="15"/>
  <c r="I36" i="15"/>
  <c r="J36" i="15"/>
  <c r="K36" i="15"/>
  <c r="L36" i="15"/>
  <c r="O36" i="15"/>
  <c r="U36" i="15"/>
  <c r="V36" i="15"/>
  <c r="X36" i="15"/>
  <c r="Y36" i="15"/>
  <c r="Z36" i="15"/>
  <c r="AA36" i="15"/>
  <c r="AC36" i="15"/>
  <c r="AD36" i="15"/>
  <c r="AE36" i="15"/>
  <c r="AF36" i="15"/>
  <c r="AG36" i="15"/>
  <c r="AH36" i="15"/>
  <c r="AI36" i="15"/>
  <c r="AJ36" i="15"/>
  <c r="AK36" i="15"/>
  <c r="AL36" i="15"/>
  <c r="AO36" i="15"/>
  <c r="I37" i="15"/>
  <c r="K37" i="15"/>
  <c r="L37" i="15"/>
  <c r="O37" i="15"/>
  <c r="U37" i="15"/>
  <c r="V37" i="15"/>
  <c r="X37" i="15"/>
  <c r="Y37" i="15"/>
  <c r="Z37" i="15"/>
  <c r="AA37" i="15"/>
  <c r="AC37" i="15"/>
  <c r="AD37" i="15"/>
  <c r="AE37" i="15"/>
  <c r="AF37" i="15"/>
  <c r="AG37" i="15"/>
  <c r="AH37" i="15"/>
  <c r="AI37" i="15"/>
  <c r="AJ37" i="15"/>
  <c r="AK37" i="15"/>
  <c r="AL37" i="15"/>
  <c r="AO37" i="15"/>
  <c r="J17" i="15"/>
  <c r="I17" i="15"/>
  <c r="AC16" i="15"/>
  <c r="AC271" i="15" s="1"/>
  <c r="AD16" i="15"/>
  <c r="AD271" i="15" s="1"/>
  <c r="AE16" i="15"/>
  <c r="AE271" i="15" s="1"/>
  <c r="AF16" i="15"/>
  <c r="AF271" i="15" s="1"/>
  <c r="AG16" i="15"/>
  <c r="AG271" i="15" s="1"/>
  <c r="AH16" i="15"/>
  <c r="AH271" i="15" s="1"/>
  <c r="AI16" i="15"/>
  <c r="AI271" i="15" s="1"/>
  <c r="AJ16" i="15"/>
  <c r="AJ271" i="15" s="1"/>
  <c r="AK16" i="15"/>
  <c r="AK271" i="15" s="1"/>
  <c r="AL16" i="15"/>
  <c r="AL271" i="15" s="1"/>
  <c r="AM271" i="15"/>
  <c r="AN271" i="15"/>
  <c r="E619" i="5"/>
  <c r="AB143" i="24" l="1"/>
  <c r="N18" i="14"/>
  <c r="N19" i="14"/>
  <c r="Y146" i="24"/>
  <c r="Z149" i="24"/>
  <c r="Y149" i="24"/>
  <c r="Z143" i="24"/>
  <c r="Y143" i="24"/>
  <c r="Y150" i="24" s="1"/>
  <c r="X149" i="24"/>
  <c r="V146" i="24"/>
  <c r="X143" i="24"/>
  <c r="V143" i="24"/>
  <c r="AA146" i="24"/>
  <c r="X146" i="24"/>
  <c r="V149" i="24"/>
  <c r="AA149" i="24"/>
  <c r="W143" i="24"/>
  <c r="U148" i="24"/>
  <c r="AB149" i="24"/>
  <c r="AA143" i="24"/>
  <c r="W149" i="24"/>
  <c r="U145" i="24"/>
  <c r="AB146" i="24"/>
  <c r="Z146" i="24"/>
  <c r="W146" i="24"/>
  <c r="N27" i="15"/>
  <c r="N28" i="15"/>
  <c r="N26" i="15"/>
  <c r="H50" i="15"/>
  <c r="U150" i="24" l="1"/>
  <c r="W150" i="24"/>
  <c r="X150" i="24"/>
  <c r="O19" i="14"/>
  <c r="O18" i="14"/>
  <c r="AB150" i="24"/>
  <c r="Z150" i="24"/>
  <c r="AA150" i="24"/>
  <c r="V150" i="24"/>
  <c r="H57" i="15"/>
  <c r="H58" i="15" s="1"/>
  <c r="O28" i="15"/>
  <c r="O26" i="15"/>
  <c r="O27" i="15"/>
  <c r="P18" i="14" l="1"/>
  <c r="P19" i="14"/>
  <c r="P27" i="15"/>
  <c r="P26" i="15"/>
  <c r="P28" i="15"/>
  <c r="I17" i="17"/>
  <c r="I18" i="17" s="1"/>
  <c r="I153" i="14" s="1"/>
  <c r="I154" i="14" s="1"/>
  <c r="J17" i="17"/>
  <c r="J18" i="17" s="1"/>
  <c r="J153" i="14" s="1"/>
  <c r="J154" i="14" s="1"/>
  <c r="K17" i="17"/>
  <c r="K18" i="17" s="1"/>
  <c r="K153" i="14" s="1"/>
  <c r="K154" i="14" s="1"/>
  <c r="L17" i="17"/>
  <c r="L18" i="17" s="1"/>
  <c r="L153" i="14" s="1"/>
  <c r="L154" i="14" s="1"/>
  <c r="M17" i="17"/>
  <c r="M18" i="17" s="1"/>
  <c r="M153" i="14" s="1"/>
  <c r="M154" i="14" s="1"/>
  <c r="N17" i="17"/>
  <c r="N18" i="17" s="1"/>
  <c r="N153" i="14" s="1"/>
  <c r="N154" i="14" s="1"/>
  <c r="O17" i="17"/>
  <c r="O18" i="17" s="1"/>
  <c r="O153" i="14" s="1"/>
  <c r="O154" i="14" s="1"/>
  <c r="P17" i="17"/>
  <c r="P18" i="17" s="1"/>
  <c r="P153" i="14" s="1"/>
  <c r="P154" i="14" s="1"/>
  <c r="Q17" i="17"/>
  <c r="Q18" i="17" s="1"/>
  <c r="Q153" i="14" s="1"/>
  <c r="Q154" i="14" s="1"/>
  <c r="R17" i="17"/>
  <c r="R18" i="17" s="1"/>
  <c r="R153" i="14" s="1"/>
  <c r="R154" i="14" s="1"/>
  <c r="S17" i="17"/>
  <c r="S18" i="17" s="1"/>
  <c r="S153" i="14" s="1"/>
  <c r="S154" i="14" s="1"/>
  <c r="T17" i="17"/>
  <c r="T18" i="17" s="1"/>
  <c r="T153" i="14" s="1"/>
  <c r="T154" i="14" s="1"/>
  <c r="U17" i="17"/>
  <c r="U18" i="17" s="1"/>
  <c r="U153" i="14" s="1"/>
  <c r="U154" i="14" s="1"/>
  <c r="V17" i="17"/>
  <c r="V18" i="17" s="1"/>
  <c r="V153" i="14" s="1"/>
  <c r="V154" i="14" s="1"/>
  <c r="W17" i="17"/>
  <c r="W18" i="17" s="1"/>
  <c r="W153" i="14" s="1"/>
  <c r="W154" i="14" s="1"/>
  <c r="X17" i="17"/>
  <c r="X18" i="17" s="1"/>
  <c r="X153" i="14" s="1"/>
  <c r="X154" i="14" s="1"/>
  <c r="Y17" i="17"/>
  <c r="Y18" i="17" s="1"/>
  <c r="Y153" i="14" s="1"/>
  <c r="Y154" i="14" s="1"/>
  <c r="Z17" i="17"/>
  <c r="Z18" i="17" s="1"/>
  <c r="Z153" i="14" s="1"/>
  <c r="Z154" i="14" s="1"/>
  <c r="AA17" i="17"/>
  <c r="AA18" i="17" s="1"/>
  <c r="AA153" i="14" s="1"/>
  <c r="AA154" i="14" s="1"/>
  <c r="AB17" i="17"/>
  <c r="AB18" i="17" s="1"/>
  <c r="AB153" i="14" s="1"/>
  <c r="AB154" i="14" s="1"/>
  <c r="AC17" i="17"/>
  <c r="AC18" i="17" s="1"/>
  <c r="AC153" i="14" s="1"/>
  <c r="AD17" i="17"/>
  <c r="AD18" i="17" s="1"/>
  <c r="AD153" i="14" s="1"/>
  <c r="AE17" i="17"/>
  <c r="AE18" i="17" s="1"/>
  <c r="AE153" i="14" s="1"/>
  <c r="AF17" i="17"/>
  <c r="AF18" i="17" s="1"/>
  <c r="AF153" i="14" s="1"/>
  <c r="AG17" i="17"/>
  <c r="AG18" i="17" s="1"/>
  <c r="AG153" i="14" s="1"/>
  <c r="AH17" i="17"/>
  <c r="AH18" i="17" s="1"/>
  <c r="AH153" i="14" s="1"/>
  <c r="AI17" i="17"/>
  <c r="AI18" i="17" s="1"/>
  <c r="AI153" i="14" s="1"/>
  <c r="AJ17" i="17"/>
  <c r="AJ18" i="17" s="1"/>
  <c r="AJ153" i="14" s="1"/>
  <c r="AK17" i="17"/>
  <c r="AK18" i="17" s="1"/>
  <c r="AK153" i="14" s="1"/>
  <c r="AL17" i="17"/>
  <c r="AL18" i="17" s="1"/>
  <c r="AL153" i="14" s="1"/>
  <c r="AM17" i="17"/>
  <c r="AM18" i="17" s="1"/>
  <c r="AM153" i="14" s="1"/>
  <c r="AN17" i="17"/>
  <c r="AN18" i="17" s="1"/>
  <c r="AN153" i="14" s="1"/>
  <c r="AO17" i="17"/>
  <c r="AO18" i="17" s="1"/>
  <c r="AO153" i="14" s="1"/>
  <c r="I24" i="17"/>
  <c r="I25" i="17" s="1"/>
  <c r="I188" i="9" s="1"/>
  <c r="J24" i="17"/>
  <c r="J25" i="17" s="1"/>
  <c r="J188" i="9" s="1"/>
  <c r="K24" i="17"/>
  <c r="K25" i="17" s="1"/>
  <c r="K188" i="9" s="1"/>
  <c r="L24" i="17"/>
  <c r="L25" i="17" s="1"/>
  <c r="L188" i="9" s="1"/>
  <c r="M24" i="17"/>
  <c r="M25" i="17" s="1"/>
  <c r="M188" i="9" s="1"/>
  <c r="N24" i="17"/>
  <c r="N25" i="17" s="1"/>
  <c r="N188" i="9" s="1"/>
  <c r="O24" i="17"/>
  <c r="O25" i="17" s="1"/>
  <c r="O188" i="9" s="1"/>
  <c r="P24" i="17"/>
  <c r="P25" i="17" s="1"/>
  <c r="P188" i="9" s="1"/>
  <c r="Q24" i="17"/>
  <c r="Q25" i="17" s="1"/>
  <c r="Q188" i="9" s="1"/>
  <c r="R24" i="17"/>
  <c r="R25" i="17" s="1"/>
  <c r="R188" i="9" s="1"/>
  <c r="S24" i="17"/>
  <c r="S25" i="17" s="1"/>
  <c r="S188" i="9" s="1"/>
  <c r="T24" i="17"/>
  <c r="T25" i="17" s="1"/>
  <c r="T188" i="9" s="1"/>
  <c r="U24" i="17"/>
  <c r="U25" i="17" s="1"/>
  <c r="V24" i="17"/>
  <c r="V25" i="17" s="1"/>
  <c r="W24" i="17"/>
  <c r="W25" i="17" s="1"/>
  <c r="X24" i="17"/>
  <c r="X25" i="17" s="1"/>
  <c r="Y24" i="17"/>
  <c r="Y25" i="17" s="1"/>
  <c r="Z24" i="17"/>
  <c r="Z25" i="17" s="1"/>
  <c r="AA24" i="17"/>
  <c r="AA25" i="17" s="1"/>
  <c r="AB24" i="17"/>
  <c r="AB25" i="17" s="1"/>
  <c r="AC24" i="17"/>
  <c r="AC25" i="17" s="1"/>
  <c r="AD24" i="17"/>
  <c r="AD25" i="17" s="1"/>
  <c r="AE24" i="17"/>
  <c r="AE25" i="17" s="1"/>
  <c r="AF24" i="17"/>
  <c r="AF25" i="17" s="1"/>
  <c r="AG24" i="17"/>
  <c r="AG25" i="17" s="1"/>
  <c r="AH24" i="17"/>
  <c r="AH25" i="17" s="1"/>
  <c r="AI24" i="17"/>
  <c r="AI25" i="17" s="1"/>
  <c r="AJ24" i="17"/>
  <c r="AJ25" i="17" s="1"/>
  <c r="AK24" i="17"/>
  <c r="AK25" i="17" s="1"/>
  <c r="AL24" i="17"/>
  <c r="AL25" i="17" s="1"/>
  <c r="AM24" i="17"/>
  <c r="AM25" i="17" s="1"/>
  <c r="AN24" i="17"/>
  <c r="AN25" i="17" s="1"/>
  <c r="AO24" i="17"/>
  <c r="AO25" i="17" s="1"/>
  <c r="Q19" i="14" l="1"/>
  <c r="Q31" i="14" s="1"/>
  <c r="Q18" i="14"/>
  <c r="Q30" i="14" s="1"/>
  <c r="AA194" i="14"/>
  <c r="AA197" i="14"/>
  <c r="AA251" i="14"/>
  <c r="Z194" i="14"/>
  <c r="Z197" i="14"/>
  <c r="Z251" i="14"/>
  <c r="Y251" i="14"/>
  <c r="Y194" i="14"/>
  <c r="Y197" i="14"/>
  <c r="X194" i="14"/>
  <c r="X197" i="14"/>
  <c r="X251" i="14"/>
  <c r="AB251" i="14"/>
  <c r="AB197" i="14"/>
  <c r="AB194" i="14"/>
  <c r="W197" i="14"/>
  <c r="W251" i="14"/>
  <c r="W194" i="14"/>
  <c r="V194" i="14"/>
  <c r="V197" i="14"/>
  <c r="V251" i="14"/>
  <c r="U194" i="14"/>
  <c r="U251" i="14"/>
  <c r="U197" i="14"/>
  <c r="AM296" i="14"/>
  <c r="AM188" i="9"/>
  <c r="AE296" i="14"/>
  <c r="AE188" i="9"/>
  <c r="W296" i="14"/>
  <c r="W297" i="14" s="1"/>
  <c r="W188" i="9"/>
  <c r="AL296" i="14"/>
  <c r="AL188" i="9"/>
  <c r="AD296" i="14"/>
  <c r="AD188" i="9"/>
  <c r="V296" i="14"/>
  <c r="V297" i="14" s="1"/>
  <c r="V188" i="9"/>
  <c r="AK296" i="14"/>
  <c r="AK188" i="9"/>
  <c r="AC296" i="14"/>
  <c r="AC188" i="9"/>
  <c r="U296" i="14"/>
  <c r="U297" i="14" s="1"/>
  <c r="U188" i="9"/>
  <c r="AJ296" i="14"/>
  <c r="AJ188" i="9"/>
  <c r="AB296" i="14"/>
  <c r="AB297" i="14" s="1"/>
  <c r="AB188" i="9"/>
  <c r="AI296" i="14"/>
  <c r="AI188" i="9"/>
  <c r="AA296" i="14"/>
  <c r="AA297" i="14" s="1"/>
  <c r="AA188" i="9"/>
  <c r="AH296" i="14"/>
  <c r="AH188" i="9"/>
  <c r="Z296" i="14"/>
  <c r="Z297" i="14" s="1"/>
  <c r="Z188" i="9"/>
  <c r="AO296" i="14"/>
  <c r="AO188" i="9"/>
  <c r="AG296" i="14"/>
  <c r="AG188" i="9"/>
  <c r="Y296" i="14"/>
  <c r="Y297" i="14" s="1"/>
  <c r="Y188" i="9"/>
  <c r="AN296" i="14"/>
  <c r="AN188" i="9"/>
  <c r="AF296" i="14"/>
  <c r="AF188" i="9"/>
  <c r="X296" i="14"/>
  <c r="X297" i="14" s="1"/>
  <c r="X188" i="9"/>
  <c r="M296" i="14"/>
  <c r="M297" i="14" s="1"/>
  <c r="M26" i="17"/>
  <c r="T296" i="14"/>
  <c r="T297" i="14" s="1"/>
  <c r="T26" i="17"/>
  <c r="L296" i="14"/>
  <c r="L297" i="14" s="1"/>
  <c r="L26" i="17"/>
  <c r="Q296" i="14"/>
  <c r="Q297" i="14" s="1"/>
  <c r="Q26" i="17"/>
  <c r="I296" i="14"/>
  <c r="I297" i="14" s="1"/>
  <c r="I26" i="17"/>
  <c r="R296" i="14"/>
  <c r="R297" i="14" s="1"/>
  <c r="R26" i="17"/>
  <c r="P296" i="14"/>
  <c r="P297" i="14" s="1"/>
  <c r="P26" i="17"/>
  <c r="K296" i="14"/>
  <c r="K297" i="14" s="1"/>
  <c r="K26" i="17"/>
  <c r="O296" i="14"/>
  <c r="O297" i="14" s="1"/>
  <c r="O26" i="17"/>
  <c r="S296" i="14"/>
  <c r="S297" i="14" s="1"/>
  <c r="S26" i="17"/>
  <c r="J296" i="14"/>
  <c r="J297" i="14" s="1"/>
  <c r="J26" i="17"/>
  <c r="N296" i="14"/>
  <c r="N297" i="14" s="1"/>
  <c r="N26" i="17"/>
  <c r="I189" i="9"/>
  <c r="AJ286" i="16"/>
  <c r="AJ292" i="16" s="1"/>
  <c r="AG286" i="16"/>
  <c r="AG292" i="16" s="1"/>
  <c r="AI286" i="16"/>
  <c r="AI292" i="16" s="1"/>
  <c r="AN286" i="16"/>
  <c r="AN292" i="16" s="1"/>
  <c r="AF286" i="16"/>
  <c r="AF292" i="16" s="1"/>
  <c r="AH286" i="16"/>
  <c r="AH292" i="16" s="1"/>
  <c r="AM286" i="16"/>
  <c r="AM292" i="16" s="1"/>
  <c r="AE286" i="16"/>
  <c r="AE292" i="16" s="1"/>
  <c r="AL286" i="16"/>
  <c r="AL292" i="16" s="1"/>
  <c r="AD286" i="16"/>
  <c r="AD292" i="16" s="1"/>
  <c r="AK286" i="16"/>
  <c r="AK292" i="16" s="1"/>
  <c r="AC286" i="16"/>
  <c r="AC292" i="16" s="1"/>
  <c r="AL652" i="15"/>
  <c r="AL658" i="15" s="1"/>
  <c r="AL551" i="16"/>
  <c r="AL557" i="16" s="1"/>
  <c r="AL558" i="16" s="1"/>
  <c r="AD652" i="15"/>
  <c r="AD658" i="15" s="1"/>
  <c r="AD551" i="16"/>
  <c r="AD557" i="16" s="1"/>
  <c r="AD558" i="16" s="1"/>
  <c r="V652" i="15"/>
  <c r="V658" i="15" s="1"/>
  <c r="V551" i="16"/>
  <c r="N652" i="15"/>
  <c r="N657" i="15" s="1"/>
  <c r="N551" i="16"/>
  <c r="N557" i="16" s="1"/>
  <c r="N558" i="16" s="1"/>
  <c r="X334" i="15"/>
  <c r="X340" i="15" s="1"/>
  <c r="X341" i="15" s="1"/>
  <c r="X396" i="15" s="1"/>
  <c r="X286" i="16"/>
  <c r="P334" i="15"/>
  <c r="P339" i="15" s="1"/>
  <c r="P286" i="16"/>
  <c r="P292" i="16" s="1"/>
  <c r="AM652" i="15"/>
  <c r="AM658" i="15" s="1"/>
  <c r="AM551" i="16"/>
  <c r="AM557" i="16" s="1"/>
  <c r="AM558" i="16" s="1"/>
  <c r="U652" i="15"/>
  <c r="U662" i="15" s="1"/>
  <c r="U847" i="15" s="1"/>
  <c r="U551" i="16"/>
  <c r="M652" i="15"/>
  <c r="M657" i="15" s="1"/>
  <c r="M551" i="16"/>
  <c r="W334" i="15"/>
  <c r="W340" i="15" s="1"/>
  <c r="W341" i="15" s="1"/>
  <c r="W396" i="15" s="1"/>
  <c r="W286" i="16"/>
  <c r="O334" i="15"/>
  <c r="O339" i="15" s="1"/>
  <c r="O286" i="16"/>
  <c r="O292" i="16" s="1"/>
  <c r="AC652" i="15"/>
  <c r="AC658" i="15" s="1"/>
  <c r="AC551" i="16"/>
  <c r="AC557" i="16" s="1"/>
  <c r="AC558" i="16" s="1"/>
  <c r="T652" i="15"/>
  <c r="T658" i="15" s="1"/>
  <c r="T551" i="16"/>
  <c r="T557" i="16" s="1"/>
  <c r="T558" i="16" s="1"/>
  <c r="L652" i="15"/>
  <c r="L657" i="15" s="1"/>
  <c r="L551" i="16"/>
  <c r="V334" i="15"/>
  <c r="V340" i="15" s="1"/>
  <c r="V341" i="15" s="1"/>
  <c r="V396" i="15" s="1"/>
  <c r="V286" i="16"/>
  <c r="N334" i="15"/>
  <c r="N339" i="15" s="1"/>
  <c r="N286" i="16"/>
  <c r="N292" i="16" s="1"/>
  <c r="AA334" i="15"/>
  <c r="AA340" i="15" s="1"/>
  <c r="AA341" i="15" s="1"/>
  <c r="AA396" i="15" s="1"/>
  <c r="AA286" i="16"/>
  <c r="AI652" i="15"/>
  <c r="AI658" i="15" s="1"/>
  <c r="AI551" i="16"/>
  <c r="AI557" i="16" s="1"/>
  <c r="AI558" i="16" s="1"/>
  <c r="K652" i="15"/>
  <c r="K657" i="15" s="1"/>
  <c r="K551" i="16"/>
  <c r="U334" i="15"/>
  <c r="U344" i="15" s="1"/>
  <c r="U529" i="15" s="1"/>
  <c r="U286" i="16"/>
  <c r="M334" i="15"/>
  <c r="M339" i="15" s="1"/>
  <c r="M286" i="16"/>
  <c r="AE652" i="15"/>
  <c r="AE658" i="15" s="1"/>
  <c r="AE551" i="16"/>
  <c r="AE557" i="16" s="1"/>
  <c r="AE558" i="16" s="1"/>
  <c r="I334" i="15"/>
  <c r="I344" i="15" s="1"/>
  <c r="I286" i="16"/>
  <c r="AB652" i="15"/>
  <c r="AB658" i="15" s="1"/>
  <c r="AB551" i="16"/>
  <c r="AB334" i="15"/>
  <c r="AB340" i="15" s="1"/>
  <c r="AB341" i="15" s="1"/>
  <c r="AB396" i="15" s="1"/>
  <c r="AB286" i="16"/>
  <c r="T334" i="15"/>
  <c r="T340" i="15" s="1"/>
  <c r="T341" i="15" s="1"/>
  <c r="T396" i="15" s="1"/>
  <c r="T286" i="16"/>
  <c r="T292" i="16" s="1"/>
  <c r="L334" i="15"/>
  <c r="L344" i="15" s="1"/>
  <c r="L529" i="15" s="1"/>
  <c r="L286" i="16"/>
  <c r="Z652" i="15"/>
  <c r="Z662" i="15" s="1"/>
  <c r="Z847" i="15" s="1"/>
  <c r="Z551" i="16"/>
  <c r="R652" i="15"/>
  <c r="R551" i="16"/>
  <c r="R557" i="16" s="1"/>
  <c r="R558" i="16" s="1"/>
  <c r="AG652" i="15"/>
  <c r="AG658" i="15" s="1"/>
  <c r="AG551" i="16"/>
  <c r="AG557" i="16" s="1"/>
  <c r="AG558" i="16" s="1"/>
  <c r="Y652" i="15"/>
  <c r="Y658" i="15" s="1"/>
  <c r="Y551" i="16"/>
  <c r="Q652" i="15"/>
  <c r="Q551" i="16"/>
  <c r="Q557" i="16" s="1"/>
  <c r="Q558" i="16" s="1"/>
  <c r="I652" i="15"/>
  <c r="I662" i="15" s="1"/>
  <c r="I551" i="16"/>
  <c r="S334" i="15"/>
  <c r="S340" i="15" s="1"/>
  <c r="S341" i="15" s="1"/>
  <c r="S396" i="15" s="1"/>
  <c r="S286" i="16"/>
  <c r="S292" i="16" s="1"/>
  <c r="K334" i="15"/>
  <c r="K344" i="15" s="1"/>
  <c r="K529" i="15" s="1"/>
  <c r="K286" i="16"/>
  <c r="S652" i="15"/>
  <c r="S658" i="15" s="1"/>
  <c r="S551" i="16"/>
  <c r="S557" i="16" s="1"/>
  <c r="S558" i="16" s="1"/>
  <c r="Q334" i="15"/>
  <c r="Q286" i="16"/>
  <c r="Q292" i="16" s="1"/>
  <c r="AH652" i="15"/>
  <c r="AH658" i="15" s="1"/>
  <c r="AH551" i="16"/>
  <c r="AH557" i="16" s="1"/>
  <c r="AH558" i="16" s="1"/>
  <c r="J652" i="15"/>
  <c r="J657" i="15" s="1"/>
  <c r="J551" i="16"/>
  <c r="R334" i="15"/>
  <c r="R286" i="16"/>
  <c r="R292" i="16" s="1"/>
  <c r="Y334" i="15"/>
  <c r="Y340" i="15" s="1"/>
  <c r="Y341" i="15" s="1"/>
  <c r="Y396" i="15" s="1"/>
  <c r="Y286" i="16"/>
  <c r="AN652" i="15"/>
  <c r="AN658" i="15" s="1"/>
  <c r="AN551" i="16"/>
  <c r="AN557" i="16" s="1"/>
  <c r="AN558" i="16" s="1"/>
  <c r="X652" i="15"/>
  <c r="X662" i="15" s="1"/>
  <c r="X847" i="15" s="1"/>
  <c r="X551" i="16"/>
  <c r="P652" i="15"/>
  <c r="P657" i="15" s="1"/>
  <c r="P551" i="16"/>
  <c r="P557" i="16" s="1"/>
  <c r="P558" i="16" s="1"/>
  <c r="AK652" i="15"/>
  <c r="AK658" i="15" s="1"/>
  <c r="AK551" i="16"/>
  <c r="AK557" i="16" s="1"/>
  <c r="AK558" i="16" s="1"/>
  <c r="AJ652" i="15"/>
  <c r="AJ658" i="15" s="1"/>
  <c r="AJ551" i="16"/>
  <c r="AJ557" i="16" s="1"/>
  <c r="AJ558" i="16" s="1"/>
  <c r="J334" i="15"/>
  <c r="J339" i="15" s="1"/>
  <c r="J286" i="16"/>
  <c r="AA652" i="15"/>
  <c r="AA658" i="15" s="1"/>
  <c r="AA551" i="16"/>
  <c r="O652" i="15"/>
  <c r="O662" i="15" s="1"/>
  <c r="O551" i="16"/>
  <c r="O557" i="16" s="1"/>
  <c r="O558" i="16" s="1"/>
  <c r="AF652" i="15"/>
  <c r="AF658" i="15" s="1"/>
  <c r="AF551" i="16"/>
  <c r="AF557" i="16" s="1"/>
  <c r="AF558" i="16" s="1"/>
  <c r="Z334" i="15"/>
  <c r="Z340" i="15" s="1"/>
  <c r="Z341" i="15" s="1"/>
  <c r="Z396" i="15" s="1"/>
  <c r="Z286" i="16"/>
  <c r="W652" i="15"/>
  <c r="W662" i="15" s="1"/>
  <c r="W847" i="15" s="1"/>
  <c r="W551" i="16"/>
  <c r="AL334" i="15"/>
  <c r="AL340" i="15" s="1"/>
  <c r="AL341" i="15" s="1"/>
  <c r="AL396" i="15" s="1"/>
  <c r="AD334" i="15"/>
  <c r="AD340" i="15" s="1"/>
  <c r="AD341" i="15" s="1"/>
  <c r="AD396" i="15" s="1"/>
  <c r="V339" i="15"/>
  <c r="AH334" i="15"/>
  <c r="AH340" i="15" s="1"/>
  <c r="AH341" i="15" s="1"/>
  <c r="AH396" i="15" s="1"/>
  <c r="AK334" i="15"/>
  <c r="AK340" i="15" s="1"/>
  <c r="AK341" i="15" s="1"/>
  <c r="AK396" i="15" s="1"/>
  <c r="U339" i="15"/>
  <c r="AJ334" i="15"/>
  <c r="AJ340" i="15" s="1"/>
  <c r="AJ341" i="15" s="1"/>
  <c r="AJ396" i="15" s="1"/>
  <c r="AC334" i="15"/>
  <c r="AC340" i="15" s="1"/>
  <c r="AC341" i="15" s="1"/>
  <c r="AC396" i="15" s="1"/>
  <c r="AI334" i="15"/>
  <c r="AI340" i="15" s="1"/>
  <c r="AI341" i="15" s="1"/>
  <c r="AI396" i="15" s="1"/>
  <c r="W657" i="15"/>
  <c r="AG334" i="15"/>
  <c r="AG340" i="15" s="1"/>
  <c r="AG341" i="15" s="1"/>
  <c r="AG396" i="15" s="1"/>
  <c r="V657" i="15"/>
  <c r="AN334" i="15"/>
  <c r="AN340" i="15" s="1"/>
  <c r="AN341" i="15" s="1"/>
  <c r="AN396" i="15" s="1"/>
  <c r="AF334" i="15"/>
  <c r="AF340" i="15" s="1"/>
  <c r="AF341" i="15" s="1"/>
  <c r="AF396" i="15" s="1"/>
  <c r="U657" i="15"/>
  <c r="AM334" i="15"/>
  <c r="AM340" i="15" s="1"/>
  <c r="AM341" i="15" s="1"/>
  <c r="AM396" i="15" s="1"/>
  <c r="AE334" i="15"/>
  <c r="AE340" i="15" s="1"/>
  <c r="AE341" i="15" s="1"/>
  <c r="AE396" i="15" s="1"/>
  <c r="W339" i="15"/>
  <c r="Q28" i="15"/>
  <c r="Q506" i="15" s="1"/>
  <c r="Q26" i="15"/>
  <c r="Q27" i="15"/>
  <c r="AB189" i="9"/>
  <c r="AB199" i="9" s="1"/>
  <c r="U100" i="9"/>
  <c r="J189" i="9"/>
  <c r="AN199" i="8"/>
  <c r="V100" i="9"/>
  <c r="L189" i="9"/>
  <c r="M100" i="9"/>
  <c r="M101" i="9" s="1"/>
  <c r="L100" i="9"/>
  <c r="L101" i="9" s="1"/>
  <c r="S100" i="9"/>
  <c r="S101" i="9" s="1"/>
  <c r="AA189" i="9"/>
  <c r="AA199" i="9" s="1"/>
  <c r="K100" i="9"/>
  <c r="K101" i="9" s="1"/>
  <c r="N100" i="9"/>
  <c r="N101" i="9" s="1"/>
  <c r="Y189" i="9"/>
  <c r="Y199" i="9" s="1"/>
  <c r="T189" i="9"/>
  <c r="I100" i="9"/>
  <c r="I101" i="9" s="1"/>
  <c r="S189" i="9"/>
  <c r="J100" i="9"/>
  <c r="J101" i="9" s="1"/>
  <c r="AG199" i="8"/>
  <c r="AE199" i="8"/>
  <c r="AF199" i="8"/>
  <c r="Q189" i="9"/>
  <c r="AA100" i="9"/>
  <c r="T100" i="9"/>
  <c r="T101" i="9" s="1"/>
  <c r="AO199" i="8"/>
  <c r="AJ199" i="8"/>
  <c r="M189" i="9"/>
  <c r="K189" i="9"/>
  <c r="R189" i="9"/>
  <c r="Q100" i="9"/>
  <c r="Q101" i="9" s="1"/>
  <c r="R100" i="9"/>
  <c r="R101" i="9" s="1"/>
  <c r="Y100" i="9"/>
  <c r="AL199" i="8"/>
  <c r="AD199" i="8"/>
  <c r="W189" i="9"/>
  <c r="W199" i="9" s="1"/>
  <c r="O189" i="9"/>
  <c r="X100" i="9"/>
  <c r="P100" i="9"/>
  <c r="P101" i="9" s="1"/>
  <c r="X189" i="9"/>
  <c r="X199" i="9" s="1"/>
  <c r="U189" i="9"/>
  <c r="U199" i="9" s="1"/>
  <c r="AI199" i="8"/>
  <c r="AH199" i="8"/>
  <c r="AB100" i="9"/>
  <c r="Z189" i="9"/>
  <c r="Z199" i="9" s="1"/>
  <c r="AM199" i="8"/>
  <c r="Z100" i="9"/>
  <c r="P189" i="9"/>
  <c r="AK199" i="8"/>
  <c r="AC199" i="8"/>
  <c r="V189" i="9"/>
  <c r="V199" i="9" s="1"/>
  <c r="N189" i="9"/>
  <c r="W100" i="9"/>
  <c r="O100" i="9"/>
  <c r="O101" i="9" s="1"/>
  <c r="AH109" i="8"/>
  <c r="AH100" i="9"/>
  <c r="AN109" i="8"/>
  <c r="AN100" i="9"/>
  <c r="AF109" i="8"/>
  <c r="AF100" i="9"/>
  <c r="AM109" i="8"/>
  <c r="AM100" i="9"/>
  <c r="AE109" i="8"/>
  <c r="AE100" i="9"/>
  <c r="AL109" i="8"/>
  <c r="AL100" i="9"/>
  <c r="AD109" i="8"/>
  <c r="AD100" i="9"/>
  <c r="AO109" i="8"/>
  <c r="AO100" i="9"/>
  <c r="AJ109" i="8"/>
  <c r="AJ100" i="9"/>
  <c r="AK109" i="8"/>
  <c r="AK100" i="9"/>
  <c r="AI109" i="8"/>
  <c r="AI100" i="9"/>
  <c r="AC109" i="8"/>
  <c r="AC100" i="9"/>
  <c r="AG109" i="8"/>
  <c r="AG100" i="9"/>
  <c r="V190" i="7"/>
  <c r="V199" i="8"/>
  <c r="V200" i="8" s="1"/>
  <c r="N190" i="7"/>
  <c r="N199" i="8"/>
  <c r="N200" i="8" s="1"/>
  <c r="X103" i="7"/>
  <c r="X109" i="8"/>
  <c r="X110" i="8" s="1"/>
  <c r="P103" i="7"/>
  <c r="P109" i="8"/>
  <c r="P110" i="8" s="1"/>
  <c r="O190" i="7"/>
  <c r="O199" i="8"/>
  <c r="O200" i="8" s="1"/>
  <c r="V103" i="7"/>
  <c r="V109" i="8"/>
  <c r="V110" i="8" s="1"/>
  <c r="U199" i="8"/>
  <c r="U200" i="8" s="1"/>
  <c r="U190" i="7"/>
  <c r="M199" i="8"/>
  <c r="M200" i="8" s="1"/>
  <c r="M190" i="7"/>
  <c r="W103" i="7"/>
  <c r="W109" i="8"/>
  <c r="W110" i="8" s="1"/>
  <c r="O103" i="7"/>
  <c r="O109" i="8"/>
  <c r="O110" i="8" s="1"/>
  <c r="K103" i="7"/>
  <c r="K109" i="8"/>
  <c r="K110" i="8" s="1"/>
  <c r="N103" i="7"/>
  <c r="N109" i="8"/>
  <c r="N110" i="8" s="1"/>
  <c r="AB199" i="8"/>
  <c r="AB200" i="8" s="1"/>
  <c r="AB190" i="7"/>
  <c r="T190" i="7"/>
  <c r="T199" i="8"/>
  <c r="T200" i="8" s="1"/>
  <c r="L199" i="8"/>
  <c r="L200" i="8" s="1"/>
  <c r="L190" i="7"/>
  <c r="I109" i="8"/>
  <c r="I110" i="8" s="1"/>
  <c r="I103" i="7"/>
  <c r="W190" i="7"/>
  <c r="W240" i="7" s="1"/>
  <c r="W199" i="8"/>
  <c r="W200" i="8" s="1"/>
  <c r="Q103" i="7"/>
  <c r="Q109" i="8"/>
  <c r="Q110" i="8" s="1"/>
  <c r="L103" i="7"/>
  <c r="L109" i="8"/>
  <c r="L110" i="8" s="1"/>
  <c r="X190" i="7"/>
  <c r="X199" i="8"/>
  <c r="X200" i="8" s="1"/>
  <c r="S190" i="7"/>
  <c r="S199" i="8"/>
  <c r="S200" i="8" s="1"/>
  <c r="R103" i="7"/>
  <c r="R109" i="8"/>
  <c r="R110" i="8" s="1"/>
  <c r="M103" i="7"/>
  <c r="M109" i="8"/>
  <c r="M110" i="8" s="1"/>
  <c r="Z199" i="8"/>
  <c r="Z200" i="8" s="1"/>
  <c r="Z190" i="7"/>
  <c r="R199" i="8"/>
  <c r="R200" i="8" s="1"/>
  <c r="R190" i="7"/>
  <c r="AB103" i="7"/>
  <c r="AB109" i="8"/>
  <c r="AB110" i="8" s="1"/>
  <c r="T103" i="7"/>
  <c r="T109" i="8"/>
  <c r="T110" i="8" s="1"/>
  <c r="AA199" i="8"/>
  <c r="AA200" i="8" s="1"/>
  <c r="AA190" i="7"/>
  <c r="Y199" i="8"/>
  <c r="Y200" i="8" s="1"/>
  <c r="Y190" i="7"/>
  <c r="Q199" i="8"/>
  <c r="Q200" i="8" s="1"/>
  <c r="Q190" i="7"/>
  <c r="K199" i="8"/>
  <c r="K200" i="8" s="1"/>
  <c r="K190" i="7"/>
  <c r="J103" i="7"/>
  <c r="J109" i="8"/>
  <c r="J110" i="8" s="1"/>
  <c r="S103" i="7"/>
  <c r="S109" i="8"/>
  <c r="S110" i="8" s="1"/>
  <c r="Z103" i="7"/>
  <c r="Z109" i="8"/>
  <c r="Z110" i="8" s="1"/>
  <c r="U103" i="7"/>
  <c r="U109" i="8"/>
  <c r="U110" i="8" s="1"/>
  <c r="I199" i="8"/>
  <c r="I200" i="8" s="1"/>
  <c r="I190" i="7"/>
  <c r="P190" i="7"/>
  <c r="P199" i="8"/>
  <c r="P200" i="8" s="1"/>
  <c r="Y103" i="7"/>
  <c r="Y109" i="8"/>
  <c r="Y110" i="8" s="1"/>
  <c r="AA103" i="7"/>
  <c r="AA109" i="8"/>
  <c r="AA110" i="8" s="1"/>
  <c r="J199" i="8"/>
  <c r="J200" i="8" s="1"/>
  <c r="J190" i="7"/>
  <c r="F34" i="17"/>
  <c r="F95" i="17" s="1"/>
  <c r="C294" i="15"/>
  <c r="C172" i="15"/>
  <c r="C144" i="16"/>
  <c r="C245" i="16"/>
  <c r="F203" i="16"/>
  <c r="F202" i="16"/>
  <c r="F201" i="16"/>
  <c r="F200" i="16"/>
  <c r="F199" i="16"/>
  <c r="F106" i="16"/>
  <c r="F105" i="16"/>
  <c r="F104" i="16"/>
  <c r="F103" i="16"/>
  <c r="F102" i="16"/>
  <c r="F100" i="16"/>
  <c r="AO50" i="16"/>
  <c r="F238" i="16"/>
  <c r="F237" i="16"/>
  <c r="F236" i="16"/>
  <c r="F235" i="16"/>
  <c r="F234" i="16"/>
  <c r="F232" i="16"/>
  <c r="AO212" i="16"/>
  <c r="AO214" i="16" s="1"/>
  <c r="AN212" i="16"/>
  <c r="AN214" i="16" s="1"/>
  <c r="AM212" i="16"/>
  <c r="AM214" i="16" s="1"/>
  <c r="AL212" i="16"/>
  <c r="AK212" i="16"/>
  <c r="AJ212" i="16"/>
  <c r="AI212" i="16"/>
  <c r="AH212" i="16"/>
  <c r="AG212" i="16"/>
  <c r="AF212" i="16"/>
  <c r="AE212" i="16"/>
  <c r="AD212" i="16"/>
  <c r="F211" i="16"/>
  <c r="F210" i="16"/>
  <c r="F209" i="16"/>
  <c r="F208" i="16"/>
  <c r="F207" i="16"/>
  <c r="F205" i="16"/>
  <c r="AN195" i="16"/>
  <c r="AM195" i="16"/>
  <c r="AL195" i="16"/>
  <c r="AK195" i="16"/>
  <c r="AJ195" i="16"/>
  <c r="AI195" i="16"/>
  <c r="AH195" i="16"/>
  <c r="AG195" i="16"/>
  <c r="AF195" i="16"/>
  <c r="AE195" i="16"/>
  <c r="AD195" i="16"/>
  <c r="AC195" i="16"/>
  <c r="F169" i="16"/>
  <c r="F168" i="16"/>
  <c r="F167" i="16"/>
  <c r="F163" i="16"/>
  <c r="F162" i="16"/>
  <c r="F161" i="16"/>
  <c r="F152" i="16"/>
  <c r="F151" i="16"/>
  <c r="F150" i="16"/>
  <c r="F137" i="16"/>
  <c r="F136" i="16"/>
  <c r="F135" i="16"/>
  <c r="F134" i="16"/>
  <c r="F133" i="16"/>
  <c r="F131" i="16"/>
  <c r="F114" i="16"/>
  <c r="F113" i="16"/>
  <c r="F112" i="16"/>
  <c r="F111" i="16"/>
  <c r="F110" i="16"/>
  <c r="F108" i="16"/>
  <c r="AO98" i="16"/>
  <c r="F75" i="16"/>
  <c r="F74" i="16"/>
  <c r="F73" i="16"/>
  <c r="F72" i="16"/>
  <c r="AO69" i="16"/>
  <c r="F66" i="16"/>
  <c r="F65" i="16"/>
  <c r="F64" i="16"/>
  <c r="F55" i="16"/>
  <c r="F54" i="16"/>
  <c r="F53" i="16"/>
  <c r="F52" i="16"/>
  <c r="F48" i="16"/>
  <c r="F47" i="16"/>
  <c r="F46" i="16"/>
  <c r="F32" i="16"/>
  <c r="F31" i="16"/>
  <c r="R31" i="16" s="1"/>
  <c r="F30" i="16"/>
  <c r="C20" i="16"/>
  <c r="C19" i="11" s="1"/>
  <c r="AM121" i="16"/>
  <c r="AL121" i="16"/>
  <c r="AK121" i="16"/>
  <c r="AJ121" i="16"/>
  <c r="AI121" i="16"/>
  <c r="AH121" i="16"/>
  <c r="AE121" i="16"/>
  <c r="AD121" i="16"/>
  <c r="AC121" i="16"/>
  <c r="C15" i="16"/>
  <c r="C18" i="11" s="1"/>
  <c r="E11" i="16"/>
  <c r="H2" i="16"/>
  <c r="I2" i="16" s="1"/>
  <c r="J2" i="16" s="1"/>
  <c r="K2" i="16" s="1"/>
  <c r="L2" i="16" s="1"/>
  <c r="M2" i="16" s="1"/>
  <c r="N2" i="16" s="1"/>
  <c r="O2" i="16" s="1"/>
  <c r="P2" i="16" s="1"/>
  <c r="Q2" i="16" s="1"/>
  <c r="R2" i="16" s="1"/>
  <c r="S2" i="16" s="1"/>
  <c r="T2" i="16" s="1"/>
  <c r="U2" i="16" s="1"/>
  <c r="V2" i="16" s="1"/>
  <c r="W2" i="16" s="1"/>
  <c r="X2" i="16" s="1"/>
  <c r="Y2" i="16" s="1"/>
  <c r="Z2" i="16" s="1"/>
  <c r="AA2" i="16" s="1"/>
  <c r="AB2" i="16" s="1"/>
  <c r="AC2" i="16" s="1"/>
  <c r="AD2" i="16" s="1"/>
  <c r="AE2" i="16" s="1"/>
  <c r="AF2" i="16" s="1"/>
  <c r="AG2" i="16" s="1"/>
  <c r="AH2" i="16" s="1"/>
  <c r="AI2" i="16" s="1"/>
  <c r="AJ2" i="16" s="1"/>
  <c r="AK2" i="16" s="1"/>
  <c r="AL2" i="16" s="1"/>
  <c r="AM2" i="16" s="1"/>
  <c r="AN2" i="16" s="1"/>
  <c r="AO2" i="16" s="1"/>
  <c r="F142" i="15"/>
  <c r="F141" i="15"/>
  <c r="F140" i="15"/>
  <c r="F139" i="15"/>
  <c r="F138" i="15"/>
  <c r="F136" i="15"/>
  <c r="F118" i="15"/>
  <c r="AG9" i="5"/>
  <c r="AH225" i="15" s="1"/>
  <c r="AH9" i="5"/>
  <c r="AI225" i="15" s="1"/>
  <c r="AI9" i="5"/>
  <c r="AJ225" i="15" s="1"/>
  <c r="AJ9" i="5"/>
  <c r="AK225" i="15" s="1"/>
  <c r="AK9" i="5"/>
  <c r="AL225" i="15" s="1"/>
  <c r="E276" i="5"/>
  <c r="AO95" i="15"/>
  <c r="F101" i="15"/>
  <c r="F100" i="15"/>
  <c r="F99" i="15"/>
  <c r="F98" i="15"/>
  <c r="F92" i="15"/>
  <c r="F91" i="15"/>
  <c r="F90" i="15"/>
  <c r="AC244" i="15"/>
  <c r="AD244" i="15"/>
  <c r="AO261" i="15"/>
  <c r="AO263" i="15" s="1"/>
  <c r="AN261" i="15"/>
  <c r="AN263" i="15" s="1"/>
  <c r="AM261" i="15"/>
  <c r="AM263" i="15" s="1"/>
  <c r="AL261" i="15"/>
  <c r="AK261" i="15"/>
  <c r="AJ261" i="15"/>
  <c r="AI261" i="15"/>
  <c r="AH261" i="15"/>
  <c r="AG261" i="15"/>
  <c r="AF261" i="15"/>
  <c r="AE261" i="15"/>
  <c r="AD261" i="15"/>
  <c r="F260" i="15"/>
  <c r="F259" i="15"/>
  <c r="F258" i="15"/>
  <c r="F257" i="15"/>
  <c r="F256" i="15"/>
  <c r="F254" i="15"/>
  <c r="AN244" i="15"/>
  <c r="AM244" i="15"/>
  <c r="AL244" i="15"/>
  <c r="AK244" i="15"/>
  <c r="AJ244" i="15"/>
  <c r="AI244" i="15"/>
  <c r="AH244" i="15"/>
  <c r="AG244" i="15"/>
  <c r="AF244" i="15"/>
  <c r="AE244" i="15"/>
  <c r="M32" i="16" l="1"/>
  <c r="R32" i="16"/>
  <c r="K52" i="16" a="1"/>
  <c r="K52" i="16" s="1"/>
  <c r="AA52" i="16" a="1"/>
  <c r="AA52" i="16" s="1"/>
  <c r="AJ52" i="16" a="1"/>
  <c r="AJ52" i="16" s="1"/>
  <c r="L52" i="16" a="1"/>
  <c r="L52" i="16" s="1"/>
  <c r="Q52" i="16" a="1"/>
  <c r="Q52" i="16" s="1"/>
  <c r="V52" i="16" a="1"/>
  <c r="V52" i="16" s="1"/>
  <c r="AB52" i="16" a="1"/>
  <c r="AB52" i="16" s="1"/>
  <c r="AG52" i="16" a="1"/>
  <c r="AG52" i="16" s="1"/>
  <c r="AL52" i="16" a="1"/>
  <c r="AL52" i="16" s="1"/>
  <c r="Y52" i="16" a="1"/>
  <c r="Y52" i="16" s="1"/>
  <c r="W52" i="16" a="1"/>
  <c r="W52" i="16" s="1"/>
  <c r="AM52" i="16" a="1"/>
  <c r="AM52" i="16" s="1"/>
  <c r="AD52" i="16" a="1"/>
  <c r="AD52" i="16" s="1"/>
  <c r="M52" i="16" a="1"/>
  <c r="M52" i="16" s="1"/>
  <c r="R52" i="16" a="1"/>
  <c r="R52" i="16" s="1"/>
  <c r="X52" i="16" a="1"/>
  <c r="X52" i="16" s="1"/>
  <c r="AC52" i="16" a="1"/>
  <c r="AC52" i="16" s="1"/>
  <c r="AH52" i="16" a="1"/>
  <c r="AH52" i="16" s="1"/>
  <c r="AN52" i="16" a="1"/>
  <c r="AN52" i="16" s="1"/>
  <c r="N52" i="16" a="1"/>
  <c r="N52" i="16" s="1"/>
  <c r="S52" i="16" a="1"/>
  <c r="S52" i="16" s="1"/>
  <c r="AI52" i="16" a="1"/>
  <c r="AI52" i="16" s="1"/>
  <c r="T52" i="16" a="1"/>
  <c r="T52" i="16" s="1"/>
  <c r="AO52" i="16" a="1"/>
  <c r="AO52" i="16" s="1"/>
  <c r="O52" i="16" a="1"/>
  <c r="O52" i="16" s="1"/>
  <c r="AE52" i="16" a="1"/>
  <c r="AE52" i="16" s="1"/>
  <c r="J52" i="16" a="1"/>
  <c r="J52" i="16" s="1"/>
  <c r="P52" i="16" a="1"/>
  <c r="P52" i="16" s="1"/>
  <c r="U52" i="16" a="1"/>
  <c r="U52" i="16" s="1"/>
  <c r="Z52" i="16" a="1"/>
  <c r="Z52" i="16" s="1"/>
  <c r="AF52" i="16" a="1"/>
  <c r="AF52" i="16" s="1"/>
  <c r="AK52" i="16" a="1"/>
  <c r="AK52" i="16" s="1"/>
  <c r="I52" i="16" a="1"/>
  <c r="I52" i="16" s="1"/>
  <c r="S31" i="16"/>
  <c r="M31" i="16"/>
  <c r="O591" i="16"/>
  <c r="O636" i="16"/>
  <c r="M30" i="16"/>
  <c r="P591" i="16"/>
  <c r="P636" i="16"/>
  <c r="N636" i="16"/>
  <c r="N591" i="16"/>
  <c r="N32" i="16"/>
  <c r="S32" i="16"/>
  <c r="N31" i="16"/>
  <c r="P31" i="16"/>
  <c r="N30" i="16"/>
  <c r="P30" i="16"/>
  <c r="E41" i="14"/>
  <c r="D41" i="14"/>
  <c r="R18" i="14"/>
  <c r="R19" i="14"/>
  <c r="Y342" i="14"/>
  <c r="Y396" i="14"/>
  <c r="Y339" i="14"/>
  <c r="X342" i="14"/>
  <c r="X396" i="14"/>
  <c r="X339" i="14"/>
  <c r="AA339" i="14"/>
  <c r="AA342" i="14"/>
  <c r="AA396" i="14"/>
  <c r="Z342" i="14"/>
  <c r="Z396" i="14"/>
  <c r="Z339" i="14"/>
  <c r="AB342" i="14"/>
  <c r="AB396" i="14"/>
  <c r="AB339" i="14"/>
  <c r="U396" i="14"/>
  <c r="U342" i="14"/>
  <c r="U339" i="14"/>
  <c r="V339" i="14"/>
  <c r="V396" i="14"/>
  <c r="V342" i="14"/>
  <c r="W339" i="14"/>
  <c r="W396" i="14"/>
  <c r="W342" i="14"/>
  <c r="O847" i="15"/>
  <c r="W839" i="15"/>
  <c r="Z839" i="15"/>
  <c r="U839" i="15"/>
  <c r="X839" i="15"/>
  <c r="I233" i="9"/>
  <c r="O339" i="14"/>
  <c r="I339" i="14"/>
  <c r="M339" i="14"/>
  <c r="P197" i="14"/>
  <c r="N339" i="14"/>
  <c r="K339" i="14"/>
  <c r="Q339" i="14"/>
  <c r="J339" i="14"/>
  <c r="P339" i="14"/>
  <c r="L339" i="14"/>
  <c r="O194" i="14"/>
  <c r="S339" i="14"/>
  <c r="R339" i="14"/>
  <c r="T339" i="14"/>
  <c r="I194" i="14"/>
  <c r="I225" i="14"/>
  <c r="R197" i="14"/>
  <c r="R194" i="14"/>
  <c r="K194" i="14"/>
  <c r="K197" i="14"/>
  <c r="K251" i="14"/>
  <c r="S194" i="14"/>
  <c r="S197" i="14"/>
  <c r="S251" i="14"/>
  <c r="J194" i="14"/>
  <c r="J251" i="14"/>
  <c r="T197" i="14"/>
  <c r="T251" i="14"/>
  <c r="M194" i="14"/>
  <c r="M251" i="14"/>
  <c r="M197" i="14"/>
  <c r="L194" i="14"/>
  <c r="L197" i="14"/>
  <c r="L251" i="14"/>
  <c r="Q194" i="14"/>
  <c r="Q197" i="14"/>
  <c r="Q251" i="14"/>
  <c r="N251" i="14"/>
  <c r="N194" i="14"/>
  <c r="N197" i="14"/>
  <c r="O251" i="14"/>
  <c r="T194" i="14"/>
  <c r="P251" i="14"/>
  <c r="O197" i="14"/>
  <c r="P194" i="14"/>
  <c r="R251" i="14"/>
  <c r="P342" i="14"/>
  <c r="L342" i="14"/>
  <c r="S342" i="14"/>
  <c r="R342" i="14"/>
  <c r="T342" i="14"/>
  <c r="O342" i="14"/>
  <c r="M342" i="14"/>
  <c r="N342" i="14"/>
  <c r="K342" i="14"/>
  <c r="Q342" i="14"/>
  <c r="N396" i="14"/>
  <c r="K396" i="14"/>
  <c r="Q396" i="14"/>
  <c r="I370" i="14"/>
  <c r="J396" i="14"/>
  <c r="P396" i="14"/>
  <c r="L396" i="14"/>
  <c r="O396" i="14"/>
  <c r="S396" i="14"/>
  <c r="R396" i="14"/>
  <c r="T396" i="14"/>
  <c r="M396" i="14"/>
  <c r="I251" i="14"/>
  <c r="R591" i="16"/>
  <c r="R636" i="16"/>
  <c r="Q339" i="15"/>
  <c r="Q340" i="15"/>
  <c r="Q341" i="15" s="1"/>
  <c r="Q396" i="15" s="1"/>
  <c r="R657" i="15"/>
  <c r="R658" i="15"/>
  <c r="Q591" i="16"/>
  <c r="Q636" i="16"/>
  <c r="R344" i="15"/>
  <c r="R529" i="15" s="1"/>
  <c r="R340" i="15"/>
  <c r="R341" i="15" s="1"/>
  <c r="R396" i="15" s="1"/>
  <c r="Q662" i="15"/>
  <c r="Q658" i="15"/>
  <c r="I396" i="14"/>
  <c r="M662" i="15"/>
  <c r="J662" i="15"/>
  <c r="S587" i="16"/>
  <c r="AC587" i="16"/>
  <c r="AM587" i="16"/>
  <c r="AC696" i="16"/>
  <c r="AL431" i="16"/>
  <c r="AF431" i="16"/>
  <c r="AM696" i="16"/>
  <c r="AM431" i="16"/>
  <c r="AD431" i="16"/>
  <c r="AJ431" i="16"/>
  <c r="AO321" i="16"/>
  <c r="AE431" i="16"/>
  <c r="AH696" i="16"/>
  <c r="AO587" i="16"/>
  <c r="AI431" i="16"/>
  <c r="AI696" i="16"/>
  <c r="AD696" i="16"/>
  <c r="AN696" i="16"/>
  <c r="AE696" i="16"/>
  <c r="AL696" i="16"/>
  <c r="AJ696" i="16"/>
  <c r="AF696" i="16"/>
  <c r="AH431" i="16"/>
  <c r="AG431" i="16"/>
  <c r="AK431" i="16"/>
  <c r="AO431" i="16"/>
  <c r="AK696" i="16"/>
  <c r="AC431" i="16"/>
  <c r="AO696" i="16"/>
  <c r="AN431" i="16"/>
  <c r="AG696" i="16"/>
  <c r="M587" i="16"/>
  <c r="P587" i="16"/>
  <c r="R587" i="16"/>
  <c r="Q587" i="16"/>
  <c r="I321" i="16"/>
  <c r="I587" i="16"/>
  <c r="J587" i="16"/>
  <c r="N587" i="16"/>
  <c r="O587" i="16"/>
  <c r="L587" i="16"/>
  <c r="K587" i="16"/>
  <c r="AF587" i="16"/>
  <c r="AJ587" i="16"/>
  <c r="AN587" i="16"/>
  <c r="AH587" i="16"/>
  <c r="AG587" i="16"/>
  <c r="AE587" i="16"/>
  <c r="AI587" i="16"/>
  <c r="AD587" i="16"/>
  <c r="AK587" i="16"/>
  <c r="T587" i="16"/>
  <c r="AL587" i="16"/>
  <c r="W344" i="15"/>
  <c r="W529" i="15" s="1"/>
  <c r="P344" i="15"/>
  <c r="P529" i="15" s="1"/>
  <c r="O657" i="15"/>
  <c r="K240" i="7"/>
  <c r="U211" i="7"/>
  <c r="S240" i="7"/>
  <c r="W211" i="7"/>
  <c r="T211" i="7"/>
  <c r="N240" i="7"/>
  <c r="R662" i="15"/>
  <c r="R847" i="15" s="1"/>
  <c r="N211" i="7"/>
  <c r="AB240" i="7"/>
  <c r="I128" i="8"/>
  <c r="L339" i="15"/>
  <c r="T344" i="15"/>
  <c r="T529" i="15" s="1"/>
  <c r="T339" i="15"/>
  <c r="J124" i="7"/>
  <c r="Q344" i="15"/>
  <c r="Q529" i="15" s="1"/>
  <c r="I124" i="7"/>
  <c r="AA344" i="15"/>
  <c r="AA529" i="15" s="1"/>
  <c r="X344" i="15"/>
  <c r="X529" i="15" s="1"/>
  <c r="M344" i="15"/>
  <c r="M529" i="15" s="1"/>
  <c r="Q504" i="15"/>
  <c r="Q183" i="15"/>
  <c r="S339" i="15"/>
  <c r="AB344" i="15"/>
  <c r="AB529" i="15" s="1"/>
  <c r="Y344" i="15"/>
  <c r="Y529" i="15" s="1"/>
  <c r="T662" i="15"/>
  <c r="T847" i="15" s="1"/>
  <c r="Q184" i="15"/>
  <c r="Q505" i="15"/>
  <c r="U240" i="7"/>
  <c r="X658" i="15"/>
  <c r="I657" i="15"/>
  <c r="T657" i="15"/>
  <c r="U340" i="15"/>
  <c r="U341" i="15" s="1"/>
  <c r="U396" i="15" s="1"/>
  <c r="W658" i="15"/>
  <c r="U658" i="15"/>
  <c r="N662" i="15"/>
  <c r="S344" i="15"/>
  <c r="S529" i="15" s="1"/>
  <c r="R339" i="15"/>
  <c r="Z658" i="15"/>
  <c r="AB662" i="15"/>
  <c r="AB847" i="15" s="1"/>
  <c r="S662" i="15"/>
  <c r="S847" i="15" s="1"/>
  <c r="S657" i="15"/>
  <c r="N344" i="15"/>
  <c r="N529" i="15" s="1"/>
  <c r="T240" i="7"/>
  <c r="P662" i="15"/>
  <c r="AA662" i="15"/>
  <c r="AA847" i="15" s="1"/>
  <c r="L662" i="15"/>
  <c r="Q657" i="15"/>
  <c r="K211" i="7"/>
  <c r="K339" i="15"/>
  <c r="Y662" i="15"/>
  <c r="Y847" i="15" s="1"/>
  <c r="J344" i="15"/>
  <c r="T636" i="16"/>
  <c r="T591" i="16"/>
  <c r="K662" i="15"/>
  <c r="V344" i="15"/>
  <c r="V529" i="15" s="1"/>
  <c r="O344" i="15"/>
  <c r="O529" i="15" s="1"/>
  <c r="V662" i="15"/>
  <c r="V847" i="15" s="1"/>
  <c r="Z344" i="15"/>
  <c r="Z529" i="15" s="1"/>
  <c r="I339" i="15"/>
  <c r="S636" i="16"/>
  <c r="S591" i="16"/>
  <c r="W557" i="16"/>
  <c r="W558" i="16" s="1"/>
  <c r="W587" i="16" s="1"/>
  <c r="W561" i="16"/>
  <c r="AA561" i="16"/>
  <c r="AA557" i="16"/>
  <c r="AA558" i="16" s="1"/>
  <c r="AA587" i="16" s="1"/>
  <c r="P556" i="16"/>
  <c r="P561" i="16"/>
  <c r="R291" i="16"/>
  <c r="R296" i="16"/>
  <c r="S561" i="16"/>
  <c r="S556" i="16"/>
  <c r="Q561" i="16"/>
  <c r="Q556" i="16"/>
  <c r="Z561" i="16"/>
  <c r="Z557" i="16"/>
  <c r="Z558" i="16" s="1"/>
  <c r="Z587" i="16" s="1"/>
  <c r="AB557" i="16"/>
  <c r="AB558" i="16" s="1"/>
  <c r="AB587" i="16" s="1"/>
  <c r="AB561" i="16"/>
  <c r="U296" i="16"/>
  <c r="U292" i="16"/>
  <c r="N291" i="16"/>
  <c r="N296" i="16"/>
  <c r="AC591" i="16"/>
  <c r="AC636" i="16"/>
  <c r="U561" i="16"/>
  <c r="U557" i="16"/>
  <c r="U558" i="16" s="1"/>
  <c r="U587" i="16" s="1"/>
  <c r="N556" i="16"/>
  <c r="N561" i="16"/>
  <c r="AL479" i="16"/>
  <c r="AL745" i="16"/>
  <c r="AK479" i="16"/>
  <c r="AK745" i="16"/>
  <c r="Z292" i="16"/>
  <c r="Z296" i="16"/>
  <c r="J291" i="16"/>
  <c r="J296" i="16"/>
  <c r="X557" i="16"/>
  <c r="X558" i="16" s="1"/>
  <c r="X587" i="16" s="1"/>
  <c r="X561" i="16"/>
  <c r="J561" i="16"/>
  <c r="J556" i="16"/>
  <c r="K296" i="16"/>
  <c r="K291" i="16"/>
  <c r="Y561" i="16"/>
  <c r="Y557" i="16"/>
  <c r="Y558" i="16" s="1"/>
  <c r="Y587" i="16" s="1"/>
  <c r="L291" i="16"/>
  <c r="L296" i="16"/>
  <c r="I291" i="16"/>
  <c r="I296" i="16"/>
  <c r="K561" i="16"/>
  <c r="K556" i="16"/>
  <c r="V292" i="16"/>
  <c r="V296" i="16"/>
  <c r="O291" i="16"/>
  <c r="O296" i="16"/>
  <c r="AM636" i="16"/>
  <c r="AM591" i="16"/>
  <c r="V561" i="16"/>
  <c r="V557" i="16"/>
  <c r="V558" i="16" s="1"/>
  <c r="V587" i="16" s="1"/>
  <c r="AJ745" i="16"/>
  <c r="AJ479" i="16"/>
  <c r="AI745" i="16"/>
  <c r="AI479" i="16"/>
  <c r="AF591" i="16"/>
  <c r="AF636" i="16"/>
  <c r="AJ636" i="16"/>
  <c r="AJ591" i="16"/>
  <c r="AN636" i="16"/>
  <c r="AN591" i="16"/>
  <c r="AH636" i="16"/>
  <c r="AH591" i="16"/>
  <c r="S296" i="16"/>
  <c r="S291" i="16"/>
  <c r="AG636" i="16"/>
  <c r="AG591" i="16"/>
  <c r="T291" i="16"/>
  <c r="T296" i="16"/>
  <c r="AE636" i="16"/>
  <c r="AE591" i="16"/>
  <c r="AI636" i="16"/>
  <c r="AI591" i="16"/>
  <c r="L561" i="16"/>
  <c r="L556" i="16"/>
  <c r="W292" i="16"/>
  <c r="W296" i="16"/>
  <c r="P291" i="16"/>
  <c r="P296" i="16"/>
  <c r="AD591" i="16"/>
  <c r="AD636" i="16"/>
  <c r="AH479" i="16"/>
  <c r="AH745" i="16"/>
  <c r="O556" i="16"/>
  <c r="O561" i="16"/>
  <c r="AK636" i="16"/>
  <c r="AK591" i="16"/>
  <c r="Y292" i="16"/>
  <c r="Y296" i="16"/>
  <c r="Q291" i="16"/>
  <c r="Q296" i="16"/>
  <c r="I561" i="16"/>
  <c r="I556" i="16"/>
  <c r="R561" i="16"/>
  <c r="R556" i="16"/>
  <c r="AB296" i="16"/>
  <c r="AB292" i="16"/>
  <c r="M291" i="16"/>
  <c r="M296" i="16"/>
  <c r="AA296" i="16"/>
  <c r="AA292" i="16"/>
  <c r="T561" i="16"/>
  <c r="T556" i="16"/>
  <c r="M561" i="16"/>
  <c r="M556" i="16"/>
  <c r="X296" i="16"/>
  <c r="X292" i="16"/>
  <c r="AL591" i="16"/>
  <c r="AL636" i="16"/>
  <c r="AO136" i="16"/>
  <c r="AO137" i="16"/>
  <c r="AO131" i="16"/>
  <c r="AO133" i="16"/>
  <c r="AO134" i="16"/>
  <c r="AO46" i="16"/>
  <c r="Q211" i="7"/>
  <c r="L211" i="7"/>
  <c r="Z880" i="15"/>
  <c r="Q240" i="7"/>
  <c r="I880" i="15"/>
  <c r="I562" i="15"/>
  <c r="Y240" i="7"/>
  <c r="R240" i="7"/>
  <c r="AB211" i="7"/>
  <c r="X880" i="15"/>
  <c r="L562" i="15"/>
  <c r="P240" i="7"/>
  <c r="S211" i="7"/>
  <c r="O240" i="7"/>
  <c r="V211" i="7"/>
  <c r="U562" i="15"/>
  <c r="J240" i="7"/>
  <c r="I240" i="7"/>
  <c r="AA211" i="7"/>
  <c r="Z240" i="7"/>
  <c r="M240" i="7"/>
  <c r="U880" i="15"/>
  <c r="O880" i="15"/>
  <c r="K562" i="15"/>
  <c r="X240" i="7"/>
  <c r="W880" i="15"/>
  <c r="R27" i="15"/>
  <c r="R26" i="15"/>
  <c r="R28" i="15"/>
  <c r="Q185" i="15"/>
  <c r="AI134" i="9"/>
  <c r="AI222" i="9"/>
  <c r="AH134" i="9"/>
  <c r="AH222" i="9"/>
  <c r="V240" i="7"/>
  <c r="AK134" i="9"/>
  <c r="AK222" i="9"/>
  <c r="R211" i="7"/>
  <c r="Y211" i="7"/>
  <c r="P211" i="7"/>
  <c r="O211" i="7"/>
  <c r="AJ134" i="9"/>
  <c r="AJ222" i="9"/>
  <c r="AL134" i="9"/>
  <c r="AL222" i="9"/>
  <c r="X101" i="9"/>
  <c r="X111" i="9" s="1"/>
  <c r="AB225" i="14"/>
  <c r="V233" i="9"/>
  <c r="R233" i="9"/>
  <c r="AA101" i="9"/>
  <c r="AA111" i="9" s="1"/>
  <c r="AA128" i="8"/>
  <c r="AA156" i="8"/>
  <c r="T370" i="14"/>
  <c r="U218" i="8"/>
  <c r="U246" i="8"/>
  <c r="Z101" i="9"/>
  <c r="Z111" i="9" s="1"/>
  <c r="X233" i="9"/>
  <c r="W233" i="9"/>
  <c r="K233" i="9"/>
  <c r="P370" i="14"/>
  <c r="S370" i="14"/>
  <c r="AA233" i="9"/>
  <c r="K370" i="14"/>
  <c r="AA225" i="14"/>
  <c r="AA240" i="7"/>
  <c r="X211" i="7"/>
  <c r="Y156" i="8"/>
  <c r="Y128" i="8"/>
  <c r="Z156" i="8"/>
  <c r="Z128" i="8"/>
  <c r="AB156" i="8"/>
  <c r="AB128" i="8"/>
  <c r="V156" i="8"/>
  <c r="V128" i="8"/>
  <c r="X225" i="14"/>
  <c r="W370" i="14"/>
  <c r="V370" i="14"/>
  <c r="Y101" i="9"/>
  <c r="Y111" i="9" s="1"/>
  <c r="J370" i="14"/>
  <c r="U225" i="14"/>
  <c r="T233" i="9"/>
  <c r="Z370" i="14"/>
  <c r="L233" i="9"/>
  <c r="V225" i="14"/>
  <c r="X218" i="8"/>
  <c r="X246" i="8"/>
  <c r="Y370" i="14"/>
  <c r="U233" i="9"/>
  <c r="J225" i="14"/>
  <c r="AB101" i="9"/>
  <c r="AB111" i="9" s="1"/>
  <c r="J233" i="9"/>
  <c r="L240" i="7"/>
  <c r="W101" i="9"/>
  <c r="W111" i="9" s="1"/>
  <c r="Q225" i="14"/>
  <c r="S225" i="14"/>
  <c r="L370" i="14"/>
  <c r="K225" i="14"/>
  <c r="Y233" i="9"/>
  <c r="T225" i="14"/>
  <c r="W225" i="14"/>
  <c r="U101" i="9"/>
  <c r="U111" i="9" s="1"/>
  <c r="P233" i="9"/>
  <c r="R370" i="14"/>
  <c r="Z218" i="8"/>
  <c r="Z246" i="8"/>
  <c r="O233" i="9"/>
  <c r="L225" i="14"/>
  <c r="P225" i="14"/>
  <c r="Q370" i="14"/>
  <c r="Z211" i="7"/>
  <c r="W218" i="8"/>
  <c r="W246" i="8"/>
  <c r="W156" i="8"/>
  <c r="W128" i="8"/>
  <c r="V218" i="8"/>
  <c r="V246" i="8"/>
  <c r="N233" i="9"/>
  <c r="M233" i="9"/>
  <c r="AB370" i="14"/>
  <c r="X370" i="14"/>
  <c r="V101" i="9"/>
  <c r="V111" i="9" s="1"/>
  <c r="AA370" i="14"/>
  <c r="U370" i="14"/>
  <c r="AA246" i="8"/>
  <c r="AA218" i="8"/>
  <c r="O370" i="14"/>
  <c r="N225" i="14"/>
  <c r="U156" i="8"/>
  <c r="U128" i="8"/>
  <c r="X128" i="8"/>
  <c r="X156" i="8"/>
  <c r="N370" i="14"/>
  <c r="Q233" i="9"/>
  <c r="Y246" i="8"/>
  <c r="Y218" i="8"/>
  <c r="AB246" i="8"/>
  <c r="AB218" i="8"/>
  <c r="M370" i="14"/>
  <c r="Z233" i="9"/>
  <c r="Y225" i="14"/>
  <c r="R225" i="14"/>
  <c r="S233" i="9"/>
  <c r="O225" i="14"/>
  <c r="M225" i="14"/>
  <c r="AB233" i="9"/>
  <c r="M145" i="9"/>
  <c r="S145" i="9"/>
  <c r="L145" i="9"/>
  <c r="K145" i="9"/>
  <c r="P145" i="9"/>
  <c r="O145" i="9"/>
  <c r="R145" i="9"/>
  <c r="T145" i="9"/>
  <c r="Q145" i="9"/>
  <c r="J211" i="7"/>
  <c r="J145" i="9"/>
  <c r="N145" i="9"/>
  <c r="I211" i="7"/>
  <c r="M218" i="8"/>
  <c r="M246" i="8"/>
  <c r="K246" i="8"/>
  <c r="K218" i="8"/>
  <c r="L246" i="8"/>
  <c r="L218" i="8"/>
  <c r="M211" i="7"/>
  <c r="P218" i="8"/>
  <c r="P246" i="8"/>
  <c r="Q246" i="8"/>
  <c r="Q218" i="8"/>
  <c r="T246" i="8"/>
  <c r="T218" i="8"/>
  <c r="N218" i="8"/>
  <c r="N246" i="8"/>
  <c r="S246" i="8"/>
  <c r="S218" i="8"/>
  <c r="O218" i="8"/>
  <c r="O246" i="8"/>
  <c r="J218" i="8"/>
  <c r="J246" i="8"/>
  <c r="I246" i="8"/>
  <c r="I218" i="8"/>
  <c r="G244" i="8"/>
  <c r="R218" i="8"/>
  <c r="R246" i="8"/>
  <c r="M156" i="8"/>
  <c r="K156" i="8"/>
  <c r="N156" i="8"/>
  <c r="T156" i="8"/>
  <c r="L156" i="8"/>
  <c r="Q156" i="8"/>
  <c r="O156" i="8"/>
  <c r="S156" i="8"/>
  <c r="R156" i="8"/>
  <c r="J156" i="8"/>
  <c r="I156" i="8"/>
  <c r="P156" i="8"/>
  <c r="M128" i="8"/>
  <c r="Q128" i="8"/>
  <c r="T128" i="8"/>
  <c r="L128" i="8"/>
  <c r="R128" i="8"/>
  <c r="O128" i="8"/>
  <c r="J128" i="8"/>
  <c r="K128" i="8"/>
  <c r="P128" i="8"/>
  <c r="S128" i="8"/>
  <c r="N128" i="8"/>
  <c r="AJ141" i="7"/>
  <c r="AJ51" i="7"/>
  <c r="AK141" i="7"/>
  <c r="AK51" i="7"/>
  <c r="AI141" i="7"/>
  <c r="AI51" i="7"/>
  <c r="AH141" i="7"/>
  <c r="AH51" i="7"/>
  <c r="AL51" i="7"/>
  <c r="AL141" i="7"/>
  <c r="AB124" i="7"/>
  <c r="AB153" i="7"/>
  <c r="V124" i="7"/>
  <c r="V153" i="7"/>
  <c r="K124" i="7"/>
  <c r="K153" i="7"/>
  <c r="I153" i="7"/>
  <c r="P124" i="7"/>
  <c r="P153" i="7"/>
  <c r="S153" i="7"/>
  <c r="S124" i="7"/>
  <c r="AA124" i="7"/>
  <c r="AA153" i="7"/>
  <c r="U124" i="7"/>
  <c r="U153" i="7"/>
  <c r="N124" i="7"/>
  <c r="N153" i="7"/>
  <c r="X124" i="7"/>
  <c r="X153" i="7"/>
  <c r="T124" i="7"/>
  <c r="T153" i="7"/>
  <c r="L153" i="7"/>
  <c r="L124" i="7"/>
  <c r="M124" i="7"/>
  <c r="M153" i="7"/>
  <c r="Z124" i="7"/>
  <c r="Z153" i="7"/>
  <c r="Q124" i="7"/>
  <c r="Q153" i="7"/>
  <c r="J153" i="7"/>
  <c r="W153" i="7"/>
  <c r="W124" i="7"/>
  <c r="R124" i="7"/>
  <c r="R153" i="7"/>
  <c r="O153" i="7"/>
  <c r="O124" i="7"/>
  <c r="Y124" i="7"/>
  <c r="Y153" i="7"/>
  <c r="AM161" i="16"/>
  <c r="AF161" i="16"/>
  <c r="AN161" i="16"/>
  <c r="AG161" i="16"/>
  <c r="AO161" i="16"/>
  <c r="AH161" i="16"/>
  <c r="AI161" i="16"/>
  <c r="AC161" i="16"/>
  <c r="AJ161" i="16"/>
  <c r="AD161" i="16"/>
  <c r="AL161" i="16"/>
  <c r="AK161" i="16"/>
  <c r="AE161" i="16"/>
  <c r="J34" i="16"/>
  <c r="J37" i="16" s="1"/>
  <c r="AH263" i="15"/>
  <c r="AK263" i="15"/>
  <c r="AI263" i="15"/>
  <c r="AJ263" i="15"/>
  <c r="AK214" i="16"/>
  <c r="AC202" i="16"/>
  <c r="AC210" i="16" s="1"/>
  <c r="AK34" i="16"/>
  <c r="AK37" i="16" s="1"/>
  <c r="AC34" i="16"/>
  <c r="AC37" i="16" s="1"/>
  <c r="Z34" i="16"/>
  <c r="Z37" i="16" s="1"/>
  <c r="H34" i="16"/>
  <c r="H37" i="16" s="1"/>
  <c r="H38" i="16" s="1"/>
  <c r="AI214" i="16"/>
  <c r="AJ214" i="16"/>
  <c r="AL214" i="16"/>
  <c r="AH214" i="16"/>
  <c r="AO104" i="16"/>
  <c r="AO112" i="16" s="1"/>
  <c r="U34" i="16"/>
  <c r="U37" i="16" s="1"/>
  <c r="AO100" i="16"/>
  <c r="AO108" i="16" s="1"/>
  <c r="AH34" i="16"/>
  <c r="AH37" i="16" s="1"/>
  <c r="AN14" i="16"/>
  <c r="AD34" i="16"/>
  <c r="AD37" i="16" s="1"/>
  <c r="AL34" i="16"/>
  <c r="AL37" i="16" s="1"/>
  <c r="AO135" i="16"/>
  <c r="AM14" i="16"/>
  <c r="O34" i="16"/>
  <c r="O37" i="16" s="1"/>
  <c r="AE34" i="16"/>
  <c r="AE37" i="16" s="1"/>
  <c r="AM34" i="16"/>
  <c r="AM37" i="16" s="1"/>
  <c r="X34" i="16"/>
  <c r="X37" i="16" s="1"/>
  <c r="AF34" i="16"/>
  <c r="AF37" i="16" s="1"/>
  <c r="AN34" i="16"/>
  <c r="AN37" i="16" s="1"/>
  <c r="AO103" i="16"/>
  <c r="AO111" i="16" s="1"/>
  <c r="I34" i="16"/>
  <c r="I37" i="16" s="1"/>
  <c r="Y34" i="16"/>
  <c r="Y37" i="16" s="1"/>
  <c r="AG34" i="16"/>
  <c r="AG37" i="16" s="1"/>
  <c r="AO34" i="16"/>
  <c r="AO37" i="16" s="1"/>
  <c r="K34" i="16"/>
  <c r="K37" i="16" s="1"/>
  <c r="AA34" i="16"/>
  <c r="AA37" i="16" s="1"/>
  <c r="AI34" i="16"/>
  <c r="AI37" i="16" s="1"/>
  <c r="L34" i="16"/>
  <c r="L37" i="16" s="1"/>
  <c r="AJ34" i="16"/>
  <c r="AJ37" i="16" s="1"/>
  <c r="Q14" i="16"/>
  <c r="Y14" i="16"/>
  <c r="AG14" i="16"/>
  <c r="AC69" i="16"/>
  <c r="AM69" i="16"/>
  <c r="AD69" i="16"/>
  <c r="J14" i="16"/>
  <c r="AF121" i="16"/>
  <c r="AF69" i="16"/>
  <c r="K14" i="16"/>
  <c r="AI14" i="16"/>
  <c r="AE69" i="16"/>
  <c r="R14" i="16"/>
  <c r="AN121" i="16"/>
  <c r="AN69" i="16"/>
  <c r="AG69" i="16"/>
  <c r="AG121" i="16"/>
  <c r="L14" i="16"/>
  <c r="T14" i="16"/>
  <c r="AB14" i="16"/>
  <c r="AJ14" i="16"/>
  <c r="AH69" i="16"/>
  <c r="AH14" i="16"/>
  <c r="S14" i="16"/>
  <c r="M14" i="16"/>
  <c r="U14" i="16"/>
  <c r="AC14" i="16"/>
  <c r="AK14" i="16"/>
  <c r="AI69" i="16"/>
  <c r="AA14" i="16"/>
  <c r="N14" i="16"/>
  <c r="V14" i="16"/>
  <c r="AD14" i="16"/>
  <c r="AL14" i="16"/>
  <c r="AJ69" i="16"/>
  <c r="Z14" i="16"/>
  <c r="O14" i="16"/>
  <c r="W14" i="16"/>
  <c r="AE14" i="16"/>
  <c r="AK69" i="16"/>
  <c r="P14" i="16"/>
  <c r="X14" i="16"/>
  <c r="AF14" i="16"/>
  <c r="AL69" i="16"/>
  <c r="AO105" i="16"/>
  <c r="AO113" i="16" s="1"/>
  <c r="AO102" i="16"/>
  <c r="AO110" i="16" s="1"/>
  <c r="AO106" i="16"/>
  <c r="AO114" i="16" s="1"/>
  <c r="AC197" i="16"/>
  <c r="AC205" i="16" s="1"/>
  <c r="AC201" i="16"/>
  <c r="AC209" i="16" s="1"/>
  <c r="AC200" i="16"/>
  <c r="AC208" i="16" s="1"/>
  <c r="AC203" i="16"/>
  <c r="AC211" i="16" s="1"/>
  <c r="AC199" i="16"/>
  <c r="AC207" i="16" s="1"/>
  <c r="AL263" i="15"/>
  <c r="E16" i="5"/>
  <c r="E370" i="5"/>
  <c r="E372" i="5" s="1"/>
  <c r="P305" i="16" s="1"/>
  <c r="G85" i="2"/>
  <c r="I85" i="2" s="1"/>
  <c r="E303" i="5"/>
  <c r="P359" i="15" s="1"/>
  <c r="E238" i="5"/>
  <c r="E188" i="5"/>
  <c r="E191" i="5" s="1"/>
  <c r="G83" i="2"/>
  <c r="I83" i="2" s="1"/>
  <c r="E111" i="5"/>
  <c r="E113" i="5" s="1"/>
  <c r="G82" i="2"/>
  <c r="I82" i="2" s="1"/>
  <c r="G81" i="2"/>
  <c r="I81" i="2" s="1"/>
  <c r="E75" i="5"/>
  <c r="G76" i="5" s="1"/>
  <c r="E70" i="5"/>
  <c r="AN71" i="5" s="1"/>
  <c r="AN66" i="5"/>
  <c r="G79" i="2"/>
  <c r="I79" i="2" s="1"/>
  <c r="I78" i="2"/>
  <c r="E466" i="5"/>
  <c r="F61" i="8"/>
  <c r="E199" i="5"/>
  <c r="AA207" i="9" s="1"/>
  <c r="E203" i="5"/>
  <c r="AO74" i="9"/>
  <c r="AO76" i="9" s="1"/>
  <c r="F73" i="9"/>
  <c r="F72" i="9"/>
  <c r="F71" i="9"/>
  <c r="F70" i="9"/>
  <c r="F69" i="9"/>
  <c r="F67" i="9"/>
  <c r="F37" i="9"/>
  <c r="F36" i="9"/>
  <c r="F35" i="9"/>
  <c r="F34" i="9"/>
  <c r="F28" i="9"/>
  <c r="F27" i="9"/>
  <c r="F26" i="9"/>
  <c r="F19" i="9"/>
  <c r="F18" i="9"/>
  <c r="F17" i="9"/>
  <c r="H2" i="9"/>
  <c r="I2" i="9" s="1"/>
  <c r="J2" i="9" s="1"/>
  <c r="K2" i="9" s="1"/>
  <c r="L2" i="9" s="1"/>
  <c r="M2" i="9" s="1"/>
  <c r="N2" i="9" s="1"/>
  <c r="O2" i="9" s="1"/>
  <c r="P2" i="9" s="1"/>
  <c r="Q2" i="9" s="1"/>
  <c r="R2" i="9" s="1"/>
  <c r="S2" i="9" s="1"/>
  <c r="T2" i="9" s="1"/>
  <c r="U2" i="9" s="1"/>
  <c r="V2" i="9" s="1"/>
  <c r="W2" i="9" s="1"/>
  <c r="X2" i="9" s="1"/>
  <c r="Y2" i="9" s="1"/>
  <c r="Z2" i="9" s="1"/>
  <c r="AA2" i="9" s="1"/>
  <c r="AB2" i="9" s="1"/>
  <c r="AC2" i="9" s="1"/>
  <c r="AD2" i="9" s="1"/>
  <c r="AE2" i="9" s="1"/>
  <c r="AF2" i="9" s="1"/>
  <c r="AG2" i="9" s="1"/>
  <c r="AH2" i="9" s="1"/>
  <c r="AI2" i="9" s="1"/>
  <c r="AJ2" i="9" s="1"/>
  <c r="AK2" i="9" s="1"/>
  <c r="AL2" i="9" s="1"/>
  <c r="AM2" i="9" s="1"/>
  <c r="AN2" i="9" s="1"/>
  <c r="AO2" i="9" s="1"/>
  <c r="F93" i="14"/>
  <c r="F95" i="14"/>
  <c r="F96" i="14"/>
  <c r="F97" i="14"/>
  <c r="F98" i="14"/>
  <c r="F99" i="14"/>
  <c r="F61" i="14"/>
  <c r="F60" i="14"/>
  <c r="F59" i="14"/>
  <c r="F58" i="14"/>
  <c r="I58" i="14" s="1" a="1"/>
  <c r="I58" i="14" s="1"/>
  <c r="F49" i="14"/>
  <c r="F48" i="14"/>
  <c r="F47" i="14"/>
  <c r="F26" i="14"/>
  <c r="F25" i="14"/>
  <c r="F24" i="14"/>
  <c r="H2" i="14"/>
  <c r="I2" i="14" s="1"/>
  <c r="J2" i="14" s="1"/>
  <c r="K2" i="14" s="1"/>
  <c r="L2" i="14" s="1"/>
  <c r="M2" i="14" s="1"/>
  <c r="N2" i="14" s="1"/>
  <c r="O2" i="14" s="1"/>
  <c r="P2" i="14" s="1"/>
  <c r="Q2" i="14" s="1"/>
  <c r="R2" i="14" s="1"/>
  <c r="S2" i="14" s="1"/>
  <c r="T2" i="14" s="1"/>
  <c r="U2" i="14" s="1"/>
  <c r="V2" i="14" s="1"/>
  <c r="W2" i="14" s="1"/>
  <c r="X2" i="14" s="1"/>
  <c r="Y2" i="14" s="1"/>
  <c r="Z2" i="14" s="1"/>
  <c r="AA2" i="14" s="1"/>
  <c r="AB2" i="14" s="1"/>
  <c r="AC2" i="14" s="1"/>
  <c r="AD2" i="14" s="1"/>
  <c r="AE2" i="14" s="1"/>
  <c r="AF2" i="14" s="1"/>
  <c r="AG2" i="14" s="1"/>
  <c r="AH2" i="14" s="1"/>
  <c r="AI2" i="14" s="1"/>
  <c r="AJ2" i="14" s="1"/>
  <c r="AK2" i="14" s="1"/>
  <c r="AL2" i="14" s="1"/>
  <c r="AM2" i="14" s="1"/>
  <c r="AN2" i="14" s="1"/>
  <c r="AO2" i="14" s="1"/>
  <c r="E172" i="5"/>
  <c r="E159" i="5"/>
  <c r="E164" i="5"/>
  <c r="E163" i="5"/>
  <c r="E208" i="5" s="1"/>
  <c r="E162" i="5"/>
  <c r="E207" i="5" s="1"/>
  <c r="J58" i="14" l="1" a="1"/>
  <c r="J58" i="14" s="1"/>
  <c r="S58" i="14" a="1"/>
  <c r="S58" i="14" s="1"/>
  <c r="AB58" i="14" a="1"/>
  <c r="AB58" i="14" s="1"/>
  <c r="AG58" i="14" a="1"/>
  <c r="AG58" i="14" s="1"/>
  <c r="AK58" i="14" a="1"/>
  <c r="AK58" i="14" s="1"/>
  <c r="O58" i="14" a="1"/>
  <c r="O58" i="14" s="1"/>
  <c r="X58" i="14" a="1"/>
  <c r="X58" i="14" s="1"/>
  <c r="AC58" i="14" a="1"/>
  <c r="AC58" i="14" s="1"/>
  <c r="AL58" i="14" a="1"/>
  <c r="AL58" i="14" s="1"/>
  <c r="K58" i="14" a="1"/>
  <c r="K58" i="14" s="1"/>
  <c r="T58" i="14" a="1"/>
  <c r="T58" i="14" s="1"/>
  <c r="Y58" i="14" a="1"/>
  <c r="Y58" i="14" s="1"/>
  <c r="AH58" i="14" a="1"/>
  <c r="AH58" i="14" s="1"/>
  <c r="AF58" i="14" a="1"/>
  <c r="AF58" i="14" s="1"/>
  <c r="P58" i="14" a="1"/>
  <c r="P58" i="14" s="1"/>
  <c r="U58" i="14" a="1"/>
  <c r="U58" i="14" s="1"/>
  <c r="AD58" i="14" a="1"/>
  <c r="AD58" i="14" s="1"/>
  <c r="AM58" i="14" a="1"/>
  <c r="AM58" i="14" s="1"/>
  <c r="W58" i="14" a="1"/>
  <c r="W58" i="14" s="1"/>
  <c r="L58" i="14" a="1"/>
  <c r="L58" i="14" s="1"/>
  <c r="Q58" i="14" a="1"/>
  <c r="Q58" i="14" s="1"/>
  <c r="Z58" i="14" a="1"/>
  <c r="Z58" i="14" s="1"/>
  <c r="AI58" i="14" a="1"/>
  <c r="AI58" i="14" s="1"/>
  <c r="M58" i="14" a="1"/>
  <c r="M58" i="14" s="1"/>
  <c r="V58" i="14" a="1"/>
  <c r="V58" i="14" s="1"/>
  <c r="AE58" i="14" a="1"/>
  <c r="AE58" i="14" s="1"/>
  <c r="AN58" i="14" a="1"/>
  <c r="AN58" i="14" s="1"/>
  <c r="R58" i="14" a="1"/>
  <c r="R58" i="14" s="1"/>
  <c r="AA58" i="14" a="1"/>
  <c r="AA58" i="14" s="1"/>
  <c r="AJ58" i="14" a="1"/>
  <c r="AJ58" i="14" s="1"/>
  <c r="AO58" i="14" a="1"/>
  <c r="AO58" i="14" s="1"/>
  <c r="N58" i="14" a="1"/>
  <c r="N58" i="14" s="1"/>
  <c r="O640" i="16"/>
  <c r="O648" i="16" s="1"/>
  <c r="O641" i="16"/>
  <c r="O649" i="16" s="1"/>
  <c r="O642" i="16"/>
  <c r="O650" i="16" s="1"/>
  <c r="O643" i="16"/>
  <c r="O651" i="16" s="1"/>
  <c r="O644" i="16"/>
  <c r="O652" i="16" s="1"/>
  <c r="O638" i="16"/>
  <c r="O646" i="16" s="1"/>
  <c r="P644" i="16"/>
  <c r="P652" i="16" s="1"/>
  <c r="P641" i="16"/>
  <c r="P649" i="16" s="1"/>
  <c r="P638" i="16"/>
  <c r="P646" i="16" s="1"/>
  <c r="P643" i="16"/>
  <c r="P651" i="16" s="1"/>
  <c r="P640" i="16"/>
  <c r="P648" i="16" s="1"/>
  <c r="P642" i="16"/>
  <c r="P650" i="16" s="1"/>
  <c r="N640" i="16"/>
  <c r="N648" i="16" s="1"/>
  <c r="N642" i="16"/>
  <c r="N650" i="16" s="1"/>
  <c r="N644" i="16"/>
  <c r="N652" i="16" s="1"/>
  <c r="N641" i="16"/>
  <c r="N649" i="16" s="1"/>
  <c r="N643" i="16"/>
  <c r="N651" i="16" s="1"/>
  <c r="N638" i="16"/>
  <c r="N646" i="16" s="1"/>
  <c r="N34" i="16"/>
  <c r="N37" i="16" s="1"/>
  <c r="S19" i="14"/>
  <c r="S18" i="14"/>
  <c r="P847" i="15"/>
  <c r="Q847" i="15"/>
  <c r="N847" i="15"/>
  <c r="M847" i="15"/>
  <c r="K847" i="15"/>
  <c r="L847" i="15"/>
  <c r="L38" i="16"/>
  <c r="I38" i="16"/>
  <c r="AA839" i="15"/>
  <c r="Y839" i="15"/>
  <c r="V839" i="15"/>
  <c r="T839" i="15"/>
  <c r="S839" i="15"/>
  <c r="AB839" i="15"/>
  <c r="R839" i="15"/>
  <c r="T31" i="16"/>
  <c r="T571" i="16"/>
  <c r="H689" i="16"/>
  <c r="H423" i="16"/>
  <c r="T305" i="16"/>
  <c r="K38" i="16"/>
  <c r="J38" i="16"/>
  <c r="G529" i="16"/>
  <c r="G795" i="16"/>
  <c r="G949" i="15"/>
  <c r="G631" i="15"/>
  <c r="L696" i="16"/>
  <c r="V696" i="16"/>
  <c r="K696" i="16"/>
  <c r="U696" i="16"/>
  <c r="P696" i="16"/>
  <c r="M696" i="16"/>
  <c r="J696" i="16"/>
  <c r="Z696" i="16"/>
  <c r="X696" i="16"/>
  <c r="T696" i="16"/>
  <c r="R696" i="16"/>
  <c r="Q696" i="16"/>
  <c r="AA696" i="16"/>
  <c r="O696" i="16"/>
  <c r="N696" i="16"/>
  <c r="W696" i="16"/>
  <c r="AB696" i="16"/>
  <c r="I696" i="16"/>
  <c r="Y696" i="16"/>
  <c r="S696" i="16"/>
  <c r="Y431" i="16"/>
  <c r="I431" i="16"/>
  <c r="W431" i="16"/>
  <c r="V431" i="16"/>
  <c r="M431" i="16"/>
  <c r="Q431" i="16"/>
  <c r="Z431" i="16"/>
  <c r="R431" i="16"/>
  <c r="J431" i="16"/>
  <c r="X431" i="16"/>
  <c r="K431" i="16"/>
  <c r="AB431" i="16"/>
  <c r="S431" i="16"/>
  <c r="P431" i="16"/>
  <c r="O431" i="16"/>
  <c r="L431" i="16"/>
  <c r="N431" i="16"/>
  <c r="T431" i="16"/>
  <c r="AA431" i="16"/>
  <c r="U431" i="16"/>
  <c r="Q880" i="15"/>
  <c r="T880" i="15"/>
  <c r="M880" i="15"/>
  <c r="L880" i="15"/>
  <c r="Y562" i="15"/>
  <c r="P562" i="15"/>
  <c r="W562" i="15"/>
  <c r="N562" i="15"/>
  <c r="I418" i="15"/>
  <c r="H151" i="16"/>
  <c r="R562" i="15"/>
  <c r="Q642" i="16"/>
  <c r="Q650" i="16" s="1"/>
  <c r="Q640" i="16"/>
  <c r="Q648" i="16" s="1"/>
  <c r="Q643" i="16"/>
  <c r="Q651" i="16" s="1"/>
  <c r="Q644" i="16"/>
  <c r="Q652" i="16" s="1"/>
  <c r="Q638" i="16"/>
  <c r="Q646" i="16" s="1"/>
  <c r="Q641" i="16"/>
  <c r="Q649" i="16" s="1"/>
  <c r="R638" i="16"/>
  <c r="R646" i="16" s="1"/>
  <c r="R644" i="16"/>
  <c r="R652" i="16" s="1"/>
  <c r="R643" i="16"/>
  <c r="R651" i="16" s="1"/>
  <c r="R642" i="16"/>
  <c r="R650" i="16" s="1"/>
  <c r="R641" i="16"/>
  <c r="R649" i="16" s="1"/>
  <c r="R640" i="16"/>
  <c r="R648" i="16" s="1"/>
  <c r="AK109" i="17"/>
  <c r="AF109" i="17"/>
  <c r="AE109" i="17"/>
  <c r="AC109" i="17"/>
  <c r="AG109" i="17"/>
  <c r="AM109" i="17"/>
  <c r="W109" i="17"/>
  <c r="AI109" i="17"/>
  <c r="AN109" i="17"/>
  <c r="AL109" i="17"/>
  <c r="AD109" i="17"/>
  <c r="AH109" i="17"/>
  <c r="J880" i="15"/>
  <c r="S643" i="16"/>
  <c r="S651" i="16" s="1"/>
  <c r="S640" i="16"/>
  <c r="S648" i="16" s="1"/>
  <c r="S642" i="16"/>
  <c r="S650" i="16" s="1"/>
  <c r="S638" i="16"/>
  <c r="S646" i="16" s="1"/>
  <c r="S641" i="16"/>
  <c r="S649" i="16" s="1"/>
  <c r="S644" i="16"/>
  <c r="S652" i="16" s="1"/>
  <c r="T638" i="16"/>
  <c r="T646" i="16" s="1"/>
  <c r="T640" i="16"/>
  <c r="T648" i="16" s="1"/>
  <c r="T641" i="16"/>
  <c r="T649" i="16" s="1"/>
  <c r="T642" i="16"/>
  <c r="T650" i="16" s="1"/>
  <c r="T643" i="16"/>
  <c r="T651" i="16" s="1"/>
  <c r="T644" i="16"/>
  <c r="T652" i="16" s="1"/>
  <c r="AN638" i="16"/>
  <c r="AN646" i="16" s="1"/>
  <c r="AN640" i="16"/>
  <c r="AN648" i="16" s="1"/>
  <c r="AN641" i="16"/>
  <c r="AN649" i="16" s="1"/>
  <c r="AN642" i="16"/>
  <c r="AN650" i="16" s="1"/>
  <c r="AN643" i="16"/>
  <c r="AN651" i="16" s="1"/>
  <c r="AN644" i="16"/>
  <c r="AN652" i="16" s="1"/>
  <c r="AK638" i="16"/>
  <c r="AK646" i="16" s="1"/>
  <c r="AK643" i="16"/>
  <c r="AK651" i="16" s="1"/>
  <c r="AK640" i="16"/>
  <c r="AK648" i="16" s="1"/>
  <c r="AK641" i="16"/>
  <c r="AK649" i="16" s="1"/>
  <c r="AK642" i="16"/>
  <c r="AK650" i="16" s="1"/>
  <c r="AK644" i="16"/>
  <c r="AK652" i="16" s="1"/>
  <c r="AG638" i="16"/>
  <c r="AG646" i="16" s="1"/>
  <c r="AG640" i="16"/>
  <c r="AG648" i="16" s="1"/>
  <c r="AG641" i="16"/>
  <c r="AG649" i="16" s="1"/>
  <c r="AG642" i="16"/>
  <c r="AG650" i="16" s="1"/>
  <c r="AG643" i="16"/>
  <c r="AG651" i="16" s="1"/>
  <c r="AG644" i="16"/>
  <c r="AG652" i="16" s="1"/>
  <c r="AJ638" i="16"/>
  <c r="AJ646" i="16" s="1"/>
  <c r="AJ640" i="16"/>
  <c r="AJ648" i="16" s="1"/>
  <c r="AJ641" i="16"/>
  <c r="AJ649" i="16" s="1"/>
  <c r="AJ642" i="16"/>
  <c r="AJ650" i="16" s="1"/>
  <c r="AJ643" i="16"/>
  <c r="AJ651" i="16" s="1"/>
  <c r="AJ644" i="16"/>
  <c r="AJ652" i="16" s="1"/>
  <c r="AL638" i="16"/>
  <c r="AL646" i="16" s="1"/>
  <c r="AL640" i="16"/>
  <c r="AL648" i="16" s="1"/>
  <c r="AL641" i="16"/>
  <c r="AL649" i="16" s="1"/>
  <c r="AL642" i="16"/>
  <c r="AL650" i="16" s="1"/>
  <c r="AL643" i="16"/>
  <c r="AL651" i="16" s="1"/>
  <c r="AL644" i="16"/>
  <c r="AL652" i="16" s="1"/>
  <c r="AD638" i="16"/>
  <c r="AD646" i="16" s="1"/>
  <c r="AD640" i="16"/>
  <c r="AD648" i="16" s="1"/>
  <c r="AD641" i="16"/>
  <c r="AD649" i="16" s="1"/>
  <c r="AD642" i="16"/>
  <c r="AD650" i="16" s="1"/>
  <c r="AD643" i="16"/>
  <c r="AD651" i="16" s="1"/>
  <c r="AD644" i="16"/>
  <c r="AD652" i="16" s="1"/>
  <c r="AF638" i="16"/>
  <c r="AF646" i="16" s="1"/>
  <c r="AF640" i="16"/>
  <c r="AF648" i="16" s="1"/>
  <c r="AF641" i="16"/>
  <c r="AF649" i="16" s="1"/>
  <c r="AF642" i="16"/>
  <c r="AF650" i="16" s="1"/>
  <c r="AF643" i="16"/>
  <c r="AF651" i="16" s="1"/>
  <c r="AF644" i="16"/>
  <c r="AF652" i="16" s="1"/>
  <c r="AC640" i="16"/>
  <c r="AC648" i="16" s="1"/>
  <c r="AC641" i="16"/>
  <c r="AC649" i="16" s="1"/>
  <c r="AC642" i="16"/>
  <c r="AC650" i="16" s="1"/>
  <c r="AC644" i="16"/>
  <c r="AC652" i="16" s="1"/>
  <c r="AC638" i="16"/>
  <c r="AC646" i="16" s="1"/>
  <c r="AC643" i="16"/>
  <c r="AC651" i="16" s="1"/>
  <c r="AI640" i="16"/>
  <c r="AI648" i="16" s="1"/>
  <c r="AI641" i="16"/>
  <c r="AI649" i="16" s="1"/>
  <c r="AI638" i="16"/>
  <c r="AI646" i="16" s="1"/>
  <c r="AI643" i="16"/>
  <c r="AI651" i="16" s="1"/>
  <c r="AI642" i="16"/>
  <c r="AI650" i="16" s="1"/>
  <c r="AI644" i="16"/>
  <c r="AI652" i="16" s="1"/>
  <c r="AM638" i="16"/>
  <c r="AM646" i="16" s="1"/>
  <c r="AM640" i="16"/>
  <c r="AM648" i="16" s="1"/>
  <c r="AM641" i="16"/>
  <c r="AM649" i="16" s="1"/>
  <c r="AM642" i="16"/>
  <c r="AM650" i="16" s="1"/>
  <c r="AM643" i="16"/>
  <c r="AM651" i="16" s="1"/>
  <c r="AM644" i="16"/>
  <c r="AM652" i="16" s="1"/>
  <c r="I736" i="15"/>
  <c r="I907" i="15"/>
  <c r="AE638" i="16"/>
  <c r="AE646" i="16" s="1"/>
  <c r="AE640" i="16"/>
  <c r="AE648" i="16" s="1"/>
  <c r="AE641" i="16"/>
  <c r="AE649" i="16" s="1"/>
  <c r="AE642" i="16"/>
  <c r="AE650" i="16" s="1"/>
  <c r="AE643" i="16"/>
  <c r="AE651" i="16" s="1"/>
  <c r="AE644" i="16"/>
  <c r="AE652" i="16" s="1"/>
  <c r="AH638" i="16"/>
  <c r="AH646" i="16" s="1"/>
  <c r="AH640" i="16"/>
  <c r="AH648" i="16" s="1"/>
  <c r="AH641" i="16"/>
  <c r="AH649" i="16" s="1"/>
  <c r="AH642" i="16"/>
  <c r="AH650" i="16" s="1"/>
  <c r="AH643" i="16"/>
  <c r="AH651" i="16" s="1"/>
  <c r="AH644" i="16"/>
  <c r="AH652" i="16" s="1"/>
  <c r="R880" i="15"/>
  <c r="E373" i="5"/>
  <c r="T562" i="15"/>
  <c r="V880" i="15"/>
  <c r="AA880" i="15"/>
  <c r="P880" i="15"/>
  <c r="N880" i="15"/>
  <c r="K880" i="15"/>
  <c r="Q562" i="15"/>
  <c r="AA562" i="15"/>
  <c r="X562" i="15"/>
  <c r="M562" i="15"/>
  <c r="I470" i="15"/>
  <c r="Z562" i="15"/>
  <c r="S880" i="15"/>
  <c r="O562" i="15"/>
  <c r="S562" i="15"/>
  <c r="Q195" i="15"/>
  <c r="Q198" i="15" s="1"/>
  <c r="V562" i="15"/>
  <c r="AB562" i="15"/>
  <c r="AB880" i="15"/>
  <c r="Y880" i="15"/>
  <c r="T359" i="15"/>
  <c r="T677" i="15"/>
  <c r="I589" i="15"/>
  <c r="R359" i="15"/>
  <c r="R677" i="15"/>
  <c r="J562" i="15"/>
  <c r="H76" i="5"/>
  <c r="AL76" i="5"/>
  <c r="AJ76" i="5"/>
  <c r="AK76" i="5"/>
  <c r="AM76" i="5"/>
  <c r="AN76" i="5"/>
  <c r="H111" i="7"/>
  <c r="H198" i="7"/>
  <c r="AF334" i="16"/>
  <c r="AF600" i="16"/>
  <c r="AE334" i="16"/>
  <c r="AE600" i="16"/>
  <c r="Y636" i="16"/>
  <c r="Y591" i="16"/>
  <c r="M460" i="16"/>
  <c r="O726" i="16"/>
  <c r="L753" i="16"/>
  <c r="L659" i="16"/>
  <c r="L609" i="16"/>
  <c r="T460" i="16"/>
  <c r="V636" i="16"/>
  <c r="V591" i="16"/>
  <c r="Y726" i="16"/>
  <c r="J487" i="16"/>
  <c r="J393" i="16"/>
  <c r="J343" i="16"/>
  <c r="N460" i="16"/>
  <c r="Q659" i="16"/>
  <c r="Q609" i="16"/>
  <c r="Q753" i="16"/>
  <c r="AA636" i="16"/>
  <c r="AA591" i="16"/>
  <c r="X460" i="16"/>
  <c r="M487" i="16"/>
  <c r="M393" i="16"/>
  <c r="M343" i="16"/>
  <c r="Q460" i="16"/>
  <c r="O753" i="16"/>
  <c r="O659" i="16"/>
  <c r="O609" i="16"/>
  <c r="L726" i="16"/>
  <c r="T487" i="16"/>
  <c r="T393" i="16"/>
  <c r="T343" i="16"/>
  <c r="V726" i="16"/>
  <c r="K753" i="16"/>
  <c r="K609" i="16"/>
  <c r="K659" i="16"/>
  <c r="K487" i="16"/>
  <c r="K393" i="16"/>
  <c r="K343" i="16"/>
  <c r="Z460" i="16"/>
  <c r="N726" i="16"/>
  <c r="N487" i="16"/>
  <c r="N393" i="16"/>
  <c r="N343" i="16"/>
  <c r="Q726" i="16"/>
  <c r="AA726" i="16"/>
  <c r="M609" i="16"/>
  <c r="M659" i="16"/>
  <c r="M753" i="16"/>
  <c r="Q393" i="16"/>
  <c r="Q487" i="16"/>
  <c r="Q343" i="16"/>
  <c r="K726" i="16"/>
  <c r="K460" i="16"/>
  <c r="N753" i="16"/>
  <c r="N659" i="16"/>
  <c r="N609" i="16"/>
  <c r="S753" i="16"/>
  <c r="S659" i="16"/>
  <c r="S609" i="16"/>
  <c r="W726" i="16"/>
  <c r="Z726" i="16"/>
  <c r="M726" i="16"/>
  <c r="AB460" i="16"/>
  <c r="Y460" i="16"/>
  <c r="I460" i="16"/>
  <c r="J753" i="16"/>
  <c r="J609" i="16"/>
  <c r="J659" i="16"/>
  <c r="U636" i="16"/>
  <c r="U591" i="16"/>
  <c r="U460" i="16"/>
  <c r="S726" i="16"/>
  <c r="W636" i="16"/>
  <c r="W591" i="16"/>
  <c r="J460" i="16"/>
  <c r="T753" i="16"/>
  <c r="T659" i="16"/>
  <c r="T609" i="16"/>
  <c r="R659" i="16"/>
  <c r="R609" i="16"/>
  <c r="R753" i="16"/>
  <c r="P460" i="16"/>
  <c r="I393" i="16"/>
  <c r="I343" i="16"/>
  <c r="I487" i="16"/>
  <c r="J726" i="16"/>
  <c r="U726" i="16"/>
  <c r="AB726" i="16"/>
  <c r="R460" i="16"/>
  <c r="AA460" i="16"/>
  <c r="V460" i="16"/>
  <c r="P609" i="16"/>
  <c r="P659" i="16"/>
  <c r="P753" i="16"/>
  <c r="T726" i="16"/>
  <c r="R726" i="16"/>
  <c r="P393" i="16"/>
  <c r="P487" i="16"/>
  <c r="P343" i="16"/>
  <c r="S487" i="16"/>
  <c r="S393" i="16"/>
  <c r="S343" i="16"/>
  <c r="O460" i="16"/>
  <c r="L460" i="16"/>
  <c r="X726" i="16"/>
  <c r="AB591" i="16"/>
  <c r="AB636" i="16"/>
  <c r="R487" i="16"/>
  <c r="R393" i="16"/>
  <c r="R343" i="16"/>
  <c r="I726" i="16"/>
  <c r="I609" i="16"/>
  <c r="I753" i="16"/>
  <c r="I659" i="16"/>
  <c r="W460" i="16"/>
  <c r="S460" i="16"/>
  <c r="O487" i="16"/>
  <c r="O393" i="16"/>
  <c r="O343" i="16"/>
  <c r="L487" i="16"/>
  <c r="L393" i="16"/>
  <c r="L343" i="16"/>
  <c r="X636" i="16"/>
  <c r="X591" i="16"/>
  <c r="Z591" i="16"/>
  <c r="Z636" i="16"/>
  <c r="P726" i="16"/>
  <c r="M34" i="16"/>
  <c r="M37" i="16" s="1"/>
  <c r="M38" i="16" s="1"/>
  <c r="J18" i="16"/>
  <c r="J50" i="16" s="1"/>
  <c r="N677" i="15"/>
  <c r="N359" i="15"/>
  <c r="H818" i="15"/>
  <c r="H500" i="15"/>
  <c r="H66" i="5"/>
  <c r="I328" i="16" s="1"/>
  <c r="AK66" i="5"/>
  <c r="AL66" i="5"/>
  <c r="AJ66" i="5"/>
  <c r="AM66" i="5"/>
  <c r="AJ71" i="5"/>
  <c r="AL71" i="5"/>
  <c r="AK71" i="5"/>
  <c r="AM71" i="5"/>
  <c r="AB145" i="9"/>
  <c r="V145" i="9"/>
  <c r="X145" i="9"/>
  <c r="Y145" i="9"/>
  <c r="W145" i="9"/>
  <c r="Z145" i="9"/>
  <c r="AA145" i="9"/>
  <c r="U145" i="9"/>
  <c r="W61" i="5"/>
  <c r="AJ61" i="5"/>
  <c r="AK216" i="7" s="1"/>
  <c r="AK61" i="5"/>
  <c r="AL216" i="7" s="1"/>
  <c r="AL61" i="5"/>
  <c r="AM216" i="7" s="1"/>
  <c r="AM61" i="5"/>
  <c r="AN216" i="7" s="1"/>
  <c r="AO216" i="7"/>
  <c r="S26" i="15"/>
  <c r="Q516" i="15"/>
  <c r="Q519" i="15" s="1"/>
  <c r="S28" i="15"/>
  <c r="S27" i="15"/>
  <c r="Z207" i="9"/>
  <c r="K207" i="9"/>
  <c r="AN16" i="5"/>
  <c r="AM16" i="5"/>
  <c r="S207" i="9"/>
  <c r="T207" i="9"/>
  <c r="J207" i="9"/>
  <c r="U207" i="9"/>
  <c r="X207" i="9"/>
  <c r="V207" i="9"/>
  <c r="Q207" i="9"/>
  <c r="N207" i="9"/>
  <c r="L207" i="9"/>
  <c r="H19" i="9"/>
  <c r="AC207" i="9"/>
  <c r="AJ207" i="9"/>
  <c r="AK207" i="9"/>
  <c r="AH207" i="9"/>
  <c r="AN207" i="9"/>
  <c r="AD207" i="9"/>
  <c r="AL207" i="9"/>
  <c r="AF207" i="9"/>
  <c r="AI207" i="9"/>
  <c r="AE207" i="9"/>
  <c r="AM207" i="9"/>
  <c r="AG207" i="9"/>
  <c r="AO207" i="9"/>
  <c r="I207" i="9"/>
  <c r="AB34" i="16"/>
  <c r="AB37" i="16" s="1"/>
  <c r="P207" i="9"/>
  <c r="O207" i="9"/>
  <c r="R207" i="9"/>
  <c r="Y207" i="9"/>
  <c r="W207" i="9"/>
  <c r="AB207" i="9"/>
  <c r="M207" i="9"/>
  <c r="H166" i="14"/>
  <c r="H310" i="14"/>
  <c r="H195" i="9"/>
  <c r="H107" i="9"/>
  <c r="N119" i="9"/>
  <c r="V119" i="9"/>
  <c r="AD119" i="9"/>
  <c r="AL119" i="9"/>
  <c r="U119" i="9"/>
  <c r="O119" i="9"/>
  <c r="W119" i="9"/>
  <c r="AE119" i="9"/>
  <c r="AM119" i="9"/>
  <c r="AK119" i="9"/>
  <c r="P119" i="9"/>
  <c r="X119" i="9"/>
  <c r="AF119" i="9"/>
  <c r="AN119" i="9"/>
  <c r="Z119" i="9"/>
  <c r="Q119" i="9"/>
  <c r="Y119" i="9"/>
  <c r="AG119" i="9"/>
  <c r="AO119" i="9"/>
  <c r="J119" i="9"/>
  <c r="R119" i="9"/>
  <c r="AH119" i="9"/>
  <c r="I119" i="9"/>
  <c r="K119" i="9"/>
  <c r="S119" i="9"/>
  <c r="AA119" i="9"/>
  <c r="AI119" i="9"/>
  <c r="L119" i="9"/>
  <c r="T119" i="9"/>
  <c r="AB119" i="9"/>
  <c r="AJ119" i="9"/>
  <c r="M119" i="9"/>
  <c r="AC119" i="9"/>
  <c r="AE31" i="9"/>
  <c r="AF31" i="9"/>
  <c r="AJ31" i="9"/>
  <c r="AL31" i="9"/>
  <c r="AM31" i="9"/>
  <c r="AH31" i="9"/>
  <c r="AD31" i="9"/>
  <c r="AG31" i="9"/>
  <c r="AC31" i="9"/>
  <c r="AI31" i="9"/>
  <c r="AN31" i="9"/>
  <c r="AO31" i="9"/>
  <c r="AK31" i="9"/>
  <c r="E209" i="5"/>
  <c r="AL16" i="5"/>
  <c r="H16" i="5"/>
  <c r="P16" i="5"/>
  <c r="X16" i="5"/>
  <c r="AF16" i="5"/>
  <c r="AE16" i="5"/>
  <c r="I16" i="5"/>
  <c r="Q16" i="5"/>
  <c r="Y16" i="5"/>
  <c r="AG16" i="5"/>
  <c r="J16" i="5"/>
  <c r="R16" i="5"/>
  <c r="Z16" i="5"/>
  <c r="AH16" i="5"/>
  <c r="K16" i="5"/>
  <c r="S16" i="5"/>
  <c r="AA16" i="5"/>
  <c r="AI16" i="5"/>
  <c r="L16" i="5"/>
  <c r="T16" i="5"/>
  <c r="AB16" i="5"/>
  <c r="AJ16" i="5"/>
  <c r="W16" i="5"/>
  <c r="M16" i="5"/>
  <c r="U16" i="5"/>
  <c r="AC16" i="5"/>
  <c r="AK16" i="5"/>
  <c r="N16" i="5"/>
  <c r="V16" i="5"/>
  <c r="AD16" i="5"/>
  <c r="G16" i="5"/>
  <c r="O16" i="5"/>
  <c r="Q34" i="16"/>
  <c r="Q37" i="16" s="1"/>
  <c r="W34" i="16"/>
  <c r="W37" i="16" s="1"/>
  <c r="I14" i="15"/>
  <c r="I18" i="15" s="1"/>
  <c r="F101" i="16"/>
  <c r="F198" i="16"/>
  <c r="I50" i="16"/>
  <c r="I46" i="16"/>
  <c r="I98" i="16"/>
  <c r="H26" i="14"/>
  <c r="E302" i="5"/>
  <c r="E304" i="5"/>
  <c r="E114" i="5"/>
  <c r="E189" i="5"/>
  <c r="E190" i="5"/>
  <c r="E112" i="5"/>
  <c r="L76" i="5"/>
  <c r="AI76" i="5"/>
  <c r="AE76" i="5"/>
  <c r="K76" i="5"/>
  <c r="AB76" i="5"/>
  <c r="AA76" i="5"/>
  <c r="W76" i="5"/>
  <c r="T76" i="5"/>
  <c r="S76" i="5"/>
  <c r="O76" i="5"/>
  <c r="AD76" i="5"/>
  <c r="V76" i="5"/>
  <c r="N76" i="5"/>
  <c r="AC76" i="5"/>
  <c r="U76" i="5"/>
  <c r="M76" i="5"/>
  <c r="AE66" i="5"/>
  <c r="AH76" i="5"/>
  <c r="Z76" i="5"/>
  <c r="R76" i="5"/>
  <c r="J76" i="5"/>
  <c r="AD66" i="5"/>
  <c r="AG76" i="5"/>
  <c r="Y76" i="5"/>
  <c r="Q76" i="5"/>
  <c r="I76" i="5"/>
  <c r="AF76" i="5"/>
  <c r="X76" i="5"/>
  <c r="P76" i="5"/>
  <c r="W66" i="5"/>
  <c r="V66" i="5"/>
  <c r="O66" i="5"/>
  <c r="N66" i="5"/>
  <c r="AC66" i="5"/>
  <c r="U66" i="5"/>
  <c r="M66" i="5"/>
  <c r="G66" i="5"/>
  <c r="AB66" i="5"/>
  <c r="T66" i="5"/>
  <c r="L66" i="5"/>
  <c r="AI66" i="5"/>
  <c r="AA66" i="5"/>
  <c r="S66" i="5"/>
  <c r="K66" i="5"/>
  <c r="AH66" i="5"/>
  <c r="Z66" i="5"/>
  <c r="R66" i="5"/>
  <c r="J66" i="5"/>
  <c r="AG66" i="5"/>
  <c r="Y66" i="5"/>
  <c r="Q66" i="5"/>
  <c r="I66" i="5"/>
  <c r="AF66" i="5"/>
  <c r="X66" i="5"/>
  <c r="P66" i="5"/>
  <c r="O61" i="5"/>
  <c r="H61" i="5"/>
  <c r="AE61" i="5"/>
  <c r="AF216" i="7" s="1"/>
  <c r="AD61" i="5"/>
  <c r="AE216" i="7" s="1"/>
  <c r="V61" i="5"/>
  <c r="N61" i="5"/>
  <c r="AC61" i="5"/>
  <c r="AD216" i="7" s="1"/>
  <c r="U61" i="5"/>
  <c r="M61" i="5"/>
  <c r="G61" i="5"/>
  <c r="AB61" i="5"/>
  <c r="AC216" i="7" s="1"/>
  <c r="T61" i="5"/>
  <c r="L61" i="5"/>
  <c r="AI61" i="5"/>
  <c r="AJ216" i="7" s="1"/>
  <c r="AA61" i="5"/>
  <c r="S61" i="5"/>
  <c r="K61" i="5"/>
  <c r="AH61" i="5"/>
  <c r="AI216" i="7" s="1"/>
  <c r="Z61" i="5"/>
  <c r="R61" i="5"/>
  <c r="J61" i="5"/>
  <c r="AG61" i="5"/>
  <c r="AH216" i="7" s="1"/>
  <c r="Y61" i="5"/>
  <c r="Q61" i="5"/>
  <c r="AF61" i="5"/>
  <c r="AG216" i="7" s="1"/>
  <c r="X61" i="5"/>
  <c r="P61" i="5"/>
  <c r="G80" i="14" l="1"/>
  <c r="G222" i="14"/>
  <c r="G223" i="14" s="1"/>
  <c r="R676" i="15"/>
  <c r="AG727" i="15" s="1"/>
  <c r="R358" i="15"/>
  <c r="S358" i="15"/>
  <c r="S676" i="15"/>
  <c r="T18" i="14"/>
  <c r="T19" i="14"/>
  <c r="P306" i="16"/>
  <c r="P572" i="16"/>
  <c r="P574" i="16" s="1"/>
  <c r="P32" i="16"/>
  <c r="P34" i="16" s="1"/>
  <c r="P37" i="16" s="1"/>
  <c r="P38" i="16" s="1"/>
  <c r="P360" i="15"/>
  <c r="P678" i="15"/>
  <c r="O38" i="16"/>
  <c r="N38" i="16"/>
  <c r="G153" i="8"/>
  <c r="G154" i="8" s="1"/>
  <c r="G367" i="14"/>
  <c r="G368" i="14" s="1"/>
  <c r="Z521" i="15"/>
  <c r="U521" i="15"/>
  <c r="AA521" i="15"/>
  <c r="AB521" i="15"/>
  <c r="R521" i="15"/>
  <c r="W521" i="15"/>
  <c r="V521" i="15"/>
  <c r="Y521" i="15"/>
  <c r="X521" i="15"/>
  <c r="T521" i="15"/>
  <c r="S521" i="15"/>
  <c r="H152" i="16"/>
  <c r="T32" i="16"/>
  <c r="AG217" i="7"/>
  <c r="AL217" i="7"/>
  <c r="AK217" i="7"/>
  <c r="AD217" i="7"/>
  <c r="H690" i="16"/>
  <c r="T572" i="16"/>
  <c r="AH217" i="7"/>
  <c r="AJ217" i="7"/>
  <c r="AF217" i="7"/>
  <c r="AM217" i="7"/>
  <c r="AI217" i="7"/>
  <c r="AE217" i="7"/>
  <c r="AO217" i="7"/>
  <c r="AC217" i="7"/>
  <c r="AN217" i="7"/>
  <c r="H424" i="16"/>
  <c r="T306" i="16"/>
  <c r="AL110" i="17"/>
  <c r="I76" i="15"/>
  <c r="I77" i="15"/>
  <c r="AO110" i="17"/>
  <c r="AF110" i="17"/>
  <c r="AN110" i="17"/>
  <c r="AH110" i="17"/>
  <c r="AG110" i="17"/>
  <c r="AK110" i="17"/>
  <c r="AM110" i="17"/>
  <c r="AI110" i="17"/>
  <c r="AC110" i="17"/>
  <c r="AD110" i="17"/>
  <c r="W110" i="17"/>
  <c r="AE110" i="17"/>
  <c r="X110" i="17"/>
  <c r="U110" i="17"/>
  <c r="AB110" i="17"/>
  <c r="AB109" i="17"/>
  <c r="AJ109" i="17"/>
  <c r="Y110" i="17"/>
  <c r="Z109" i="17"/>
  <c r="V109" i="17"/>
  <c r="AA109" i="17"/>
  <c r="Z110" i="17"/>
  <c r="V110" i="17"/>
  <c r="U109" i="17"/>
  <c r="AA110" i="17"/>
  <c r="Y109" i="17"/>
  <c r="X109" i="17"/>
  <c r="AJ110" i="17"/>
  <c r="U731" i="16"/>
  <c r="U739" i="16" s="1"/>
  <c r="U734" i="16"/>
  <c r="U742" i="16" s="1"/>
  <c r="U728" i="16"/>
  <c r="U736" i="16" s="1"/>
  <c r="U730" i="16"/>
  <c r="U738" i="16" s="1"/>
  <c r="U733" i="16"/>
  <c r="U741" i="16" s="1"/>
  <c r="U732" i="16"/>
  <c r="U740" i="16" s="1"/>
  <c r="R730" i="16"/>
  <c r="R738" i="16" s="1"/>
  <c r="R733" i="16"/>
  <c r="R741" i="16" s="1"/>
  <c r="R731" i="16"/>
  <c r="R739" i="16" s="1"/>
  <c r="R734" i="16"/>
  <c r="R742" i="16" s="1"/>
  <c r="R732" i="16"/>
  <c r="R740" i="16" s="1"/>
  <c r="R728" i="16"/>
  <c r="R736" i="16" s="1"/>
  <c r="V731" i="16"/>
  <c r="V739" i="16" s="1"/>
  <c r="V734" i="16"/>
  <c r="V742" i="16" s="1"/>
  <c r="V730" i="16"/>
  <c r="V738" i="16" s="1"/>
  <c r="V733" i="16"/>
  <c r="V741" i="16" s="1"/>
  <c r="V732" i="16"/>
  <c r="V740" i="16" s="1"/>
  <c r="V728" i="16"/>
  <c r="V736" i="16" s="1"/>
  <c r="T731" i="16"/>
  <c r="T739" i="16" s="1"/>
  <c r="T734" i="16"/>
  <c r="T742" i="16" s="1"/>
  <c r="T730" i="16"/>
  <c r="T738" i="16" s="1"/>
  <c r="T733" i="16"/>
  <c r="T741" i="16" s="1"/>
  <c r="T732" i="16"/>
  <c r="T740" i="16" s="1"/>
  <c r="T728" i="16"/>
  <c r="T736" i="16" s="1"/>
  <c r="J730" i="16"/>
  <c r="J738" i="16" s="1"/>
  <c r="J733" i="16"/>
  <c r="J741" i="16" s="1"/>
  <c r="J731" i="16"/>
  <c r="J739" i="16" s="1"/>
  <c r="J734" i="16"/>
  <c r="J742" i="16" s="1"/>
  <c r="J732" i="16"/>
  <c r="J740" i="16" s="1"/>
  <c r="J728" i="16"/>
  <c r="J736" i="16" s="1"/>
  <c r="S731" i="16"/>
  <c r="S739" i="16" s="1"/>
  <c r="S734" i="16"/>
  <c r="S742" i="16" s="1"/>
  <c r="S730" i="16"/>
  <c r="S738" i="16" s="1"/>
  <c r="S733" i="16"/>
  <c r="S741" i="16" s="1"/>
  <c r="S732" i="16"/>
  <c r="S740" i="16" s="1"/>
  <c r="S728" i="16"/>
  <c r="S736" i="16" s="1"/>
  <c r="M728" i="16"/>
  <c r="M736" i="16" s="1"/>
  <c r="M731" i="16"/>
  <c r="M739" i="16" s="1"/>
  <c r="M734" i="16"/>
  <c r="M742" i="16" s="1"/>
  <c r="M732" i="16"/>
  <c r="M740" i="16" s="1"/>
  <c r="M730" i="16"/>
  <c r="M738" i="16" s="1"/>
  <c r="M733" i="16"/>
  <c r="M741" i="16" s="1"/>
  <c r="Q730" i="16"/>
  <c r="Q738" i="16" s="1"/>
  <c r="Q733" i="16"/>
  <c r="Q741" i="16" s="1"/>
  <c r="Q728" i="16"/>
  <c r="Q736" i="16" s="1"/>
  <c r="Q732" i="16"/>
  <c r="Q740" i="16" s="1"/>
  <c r="Q731" i="16"/>
  <c r="Q739" i="16" s="1"/>
  <c r="Q734" i="16"/>
  <c r="Q742" i="16" s="1"/>
  <c r="P730" i="16"/>
  <c r="P738" i="16" s="1"/>
  <c r="P733" i="16"/>
  <c r="P741" i="16" s="1"/>
  <c r="P731" i="16"/>
  <c r="P739" i="16" s="1"/>
  <c r="P734" i="16"/>
  <c r="P742" i="16" s="1"/>
  <c r="P732" i="16"/>
  <c r="P740" i="16" s="1"/>
  <c r="P728" i="16"/>
  <c r="P736" i="16" s="1"/>
  <c r="Y732" i="16"/>
  <c r="Y740" i="16" s="1"/>
  <c r="Y730" i="16"/>
  <c r="Y738" i="16" s="1"/>
  <c r="Y733" i="16"/>
  <c r="Y741" i="16" s="1"/>
  <c r="Y728" i="16"/>
  <c r="Y736" i="16" s="1"/>
  <c r="Y731" i="16"/>
  <c r="Y739" i="16" s="1"/>
  <c r="Y734" i="16"/>
  <c r="Y742" i="16" s="1"/>
  <c r="Z730" i="16"/>
  <c r="Z738" i="16" s="1"/>
  <c r="Z733" i="16"/>
  <c r="Z741" i="16" s="1"/>
  <c r="Z731" i="16"/>
  <c r="Z739" i="16" s="1"/>
  <c r="Z734" i="16"/>
  <c r="Z742" i="16" s="1"/>
  <c r="Z732" i="16"/>
  <c r="Z740" i="16" s="1"/>
  <c r="Z728" i="16"/>
  <c r="Z736" i="16" s="1"/>
  <c r="X730" i="16"/>
  <c r="X738" i="16" s="1"/>
  <c r="X733" i="16"/>
  <c r="X741" i="16" s="1"/>
  <c r="X731" i="16"/>
  <c r="X739" i="16" s="1"/>
  <c r="X734" i="16"/>
  <c r="X742" i="16" s="1"/>
  <c r="X732" i="16"/>
  <c r="X740" i="16" s="1"/>
  <c r="X728" i="16"/>
  <c r="X736" i="16" s="1"/>
  <c r="AB731" i="16"/>
  <c r="AB739" i="16" s="1"/>
  <c r="AB732" i="16"/>
  <c r="AB740" i="16" s="1"/>
  <c r="AB734" i="16"/>
  <c r="AB742" i="16" s="1"/>
  <c r="AB730" i="16"/>
  <c r="AB738" i="16" s="1"/>
  <c r="AB733" i="16"/>
  <c r="AB741" i="16" s="1"/>
  <c r="AB728" i="16"/>
  <c r="AB736" i="16" s="1"/>
  <c r="W730" i="16"/>
  <c r="W738" i="16" s="1"/>
  <c r="W733" i="16"/>
  <c r="W741" i="16" s="1"/>
  <c r="W731" i="16"/>
  <c r="W739" i="16" s="1"/>
  <c r="W734" i="16"/>
  <c r="W742" i="16" s="1"/>
  <c r="W732" i="16"/>
  <c r="W740" i="16" s="1"/>
  <c r="W728" i="16"/>
  <c r="W736" i="16" s="1"/>
  <c r="O730" i="16"/>
  <c r="O738" i="16" s="1"/>
  <c r="O733" i="16"/>
  <c r="O741" i="16" s="1"/>
  <c r="O731" i="16"/>
  <c r="O739" i="16" s="1"/>
  <c r="O734" i="16"/>
  <c r="O742" i="16" s="1"/>
  <c r="O728" i="16"/>
  <c r="O736" i="16" s="1"/>
  <c r="O732" i="16"/>
  <c r="O740" i="16" s="1"/>
  <c r="I731" i="16"/>
  <c r="I739" i="16" s="1"/>
  <c r="I732" i="16"/>
  <c r="I740" i="16" s="1"/>
  <c r="I733" i="16"/>
  <c r="I741" i="16" s="1"/>
  <c r="I734" i="16"/>
  <c r="I742" i="16" s="1"/>
  <c r="I730" i="16"/>
  <c r="I738" i="16" s="1"/>
  <c r="I728" i="16"/>
  <c r="I736" i="16" s="1"/>
  <c r="N731" i="16"/>
  <c r="N739" i="16" s="1"/>
  <c r="N734" i="16"/>
  <c r="N742" i="16" s="1"/>
  <c r="N730" i="16"/>
  <c r="N738" i="16" s="1"/>
  <c r="N733" i="16"/>
  <c r="N741" i="16" s="1"/>
  <c r="N732" i="16"/>
  <c r="N740" i="16" s="1"/>
  <c r="N728" i="16"/>
  <c r="N736" i="16" s="1"/>
  <c r="L731" i="16"/>
  <c r="L739" i="16" s="1"/>
  <c r="L734" i="16"/>
  <c r="L742" i="16" s="1"/>
  <c r="L732" i="16"/>
  <c r="L740" i="16" s="1"/>
  <c r="L730" i="16"/>
  <c r="L738" i="16" s="1"/>
  <c r="L733" i="16"/>
  <c r="L741" i="16" s="1"/>
  <c r="L728" i="16"/>
  <c r="L736" i="16" s="1"/>
  <c r="K731" i="16"/>
  <c r="K739" i="16" s="1"/>
  <c r="K734" i="16"/>
  <c r="K742" i="16" s="1"/>
  <c r="K730" i="16"/>
  <c r="K738" i="16" s="1"/>
  <c r="K733" i="16"/>
  <c r="K741" i="16" s="1"/>
  <c r="K732" i="16"/>
  <c r="K740" i="16" s="1"/>
  <c r="K728" i="16"/>
  <c r="K736" i="16" s="1"/>
  <c r="AA731" i="16"/>
  <c r="AA739" i="16" s="1"/>
  <c r="AA734" i="16"/>
  <c r="AA742" i="16" s="1"/>
  <c r="AA730" i="16"/>
  <c r="AA738" i="16" s="1"/>
  <c r="AA733" i="16"/>
  <c r="AA741" i="16" s="1"/>
  <c r="AA732" i="16"/>
  <c r="AA740" i="16" s="1"/>
  <c r="AA728" i="16"/>
  <c r="AA736" i="16" s="1"/>
  <c r="W465" i="16"/>
  <c r="W473" i="16" s="1"/>
  <c r="W467" i="16"/>
  <c r="W475" i="16" s="1"/>
  <c r="W462" i="16"/>
  <c r="W470" i="16" s="1"/>
  <c r="W464" i="16"/>
  <c r="W472" i="16" s="1"/>
  <c r="W466" i="16"/>
  <c r="W474" i="16" s="1"/>
  <c r="W468" i="16"/>
  <c r="W476" i="16" s="1"/>
  <c r="O465" i="16"/>
  <c r="O473" i="16" s="1"/>
  <c r="O467" i="16"/>
  <c r="O475" i="16" s="1"/>
  <c r="O462" i="16"/>
  <c r="O470" i="16" s="1"/>
  <c r="O464" i="16"/>
  <c r="O472" i="16" s="1"/>
  <c r="O466" i="16"/>
  <c r="O474" i="16" s="1"/>
  <c r="O468" i="16"/>
  <c r="O476" i="16" s="1"/>
  <c r="Z466" i="16"/>
  <c r="Z474" i="16" s="1"/>
  <c r="Z464" i="16"/>
  <c r="Z472" i="16" s="1"/>
  <c r="Z465" i="16"/>
  <c r="Z473" i="16" s="1"/>
  <c r="Z467" i="16"/>
  <c r="Z475" i="16" s="1"/>
  <c r="Z462" i="16"/>
  <c r="Z470" i="16" s="1"/>
  <c r="Z468" i="16"/>
  <c r="Z476" i="16" s="1"/>
  <c r="AA462" i="16"/>
  <c r="AA470" i="16" s="1"/>
  <c r="AA464" i="16"/>
  <c r="AA472" i="16" s="1"/>
  <c r="AA466" i="16"/>
  <c r="AA474" i="16" s="1"/>
  <c r="AA468" i="16"/>
  <c r="AA476" i="16" s="1"/>
  <c r="AA465" i="16"/>
  <c r="AA473" i="16" s="1"/>
  <c r="AA467" i="16"/>
  <c r="AA475" i="16" s="1"/>
  <c r="I462" i="16"/>
  <c r="I470" i="16" s="1"/>
  <c r="I464" i="16"/>
  <c r="I472" i="16" s="1"/>
  <c r="I468" i="16"/>
  <c r="I476" i="16" s="1"/>
  <c r="I466" i="16"/>
  <c r="I474" i="16" s="1"/>
  <c r="I465" i="16"/>
  <c r="I473" i="16" s="1"/>
  <c r="I467" i="16"/>
  <c r="I475" i="16" s="1"/>
  <c r="Q462" i="16"/>
  <c r="Q470" i="16" s="1"/>
  <c r="Q465" i="16"/>
  <c r="Q473" i="16" s="1"/>
  <c r="Q467" i="16"/>
  <c r="Q475" i="16" s="1"/>
  <c r="Q464" i="16"/>
  <c r="Q472" i="16" s="1"/>
  <c r="Q466" i="16"/>
  <c r="Q474" i="16" s="1"/>
  <c r="Q468" i="16"/>
  <c r="Q476" i="16" s="1"/>
  <c r="U465" i="16"/>
  <c r="U473" i="16" s="1"/>
  <c r="U467" i="16"/>
  <c r="U475" i="16" s="1"/>
  <c r="U462" i="16"/>
  <c r="U470" i="16" s="1"/>
  <c r="U464" i="16"/>
  <c r="U472" i="16" s="1"/>
  <c r="U466" i="16"/>
  <c r="U474" i="16" s="1"/>
  <c r="U468" i="16"/>
  <c r="U476" i="16" s="1"/>
  <c r="K462" i="16"/>
  <c r="K470" i="16" s="1"/>
  <c r="K464" i="16"/>
  <c r="K472" i="16" s="1"/>
  <c r="K466" i="16"/>
  <c r="K474" i="16" s="1"/>
  <c r="K468" i="16"/>
  <c r="K476" i="16" s="1"/>
  <c r="K465" i="16"/>
  <c r="K473" i="16" s="1"/>
  <c r="K467" i="16"/>
  <c r="K475" i="16" s="1"/>
  <c r="R465" i="16"/>
  <c r="R473" i="16" s="1"/>
  <c r="R467" i="16"/>
  <c r="R475" i="16" s="1"/>
  <c r="R462" i="16"/>
  <c r="R470" i="16" s="1"/>
  <c r="R464" i="16"/>
  <c r="R472" i="16" s="1"/>
  <c r="R466" i="16"/>
  <c r="R474" i="16" s="1"/>
  <c r="R468" i="16"/>
  <c r="R476" i="16" s="1"/>
  <c r="Y466" i="16"/>
  <c r="Y474" i="16" s="1"/>
  <c r="Y468" i="16"/>
  <c r="Y476" i="16" s="1"/>
  <c r="Y465" i="16"/>
  <c r="Y473" i="16" s="1"/>
  <c r="Y467" i="16"/>
  <c r="Y475" i="16" s="1"/>
  <c r="Y462" i="16"/>
  <c r="Y470" i="16" s="1"/>
  <c r="Y464" i="16"/>
  <c r="Y472" i="16" s="1"/>
  <c r="L465" i="16"/>
  <c r="L473" i="16" s="1"/>
  <c r="L462" i="16"/>
  <c r="L470" i="16" s="1"/>
  <c r="L464" i="16"/>
  <c r="L472" i="16" s="1"/>
  <c r="L466" i="16"/>
  <c r="L474" i="16" s="1"/>
  <c r="L468" i="16"/>
  <c r="L476" i="16" s="1"/>
  <c r="L467" i="16"/>
  <c r="L475" i="16" s="1"/>
  <c r="V467" i="16"/>
  <c r="V475" i="16" s="1"/>
  <c r="V462" i="16"/>
  <c r="V470" i="16" s="1"/>
  <c r="V464" i="16"/>
  <c r="V472" i="16" s="1"/>
  <c r="V466" i="16"/>
  <c r="V474" i="16" s="1"/>
  <c r="V468" i="16"/>
  <c r="V476" i="16" s="1"/>
  <c r="V465" i="16"/>
  <c r="V473" i="16" s="1"/>
  <c r="P466" i="16"/>
  <c r="P474" i="16" s="1"/>
  <c r="P465" i="16"/>
  <c r="P473" i="16" s="1"/>
  <c r="P467" i="16"/>
  <c r="P475" i="16" s="1"/>
  <c r="P462" i="16"/>
  <c r="P470" i="16" s="1"/>
  <c r="P468" i="16"/>
  <c r="P476" i="16" s="1"/>
  <c r="P464" i="16"/>
  <c r="P472" i="16" s="1"/>
  <c r="J468" i="16"/>
  <c r="J476" i="16" s="1"/>
  <c r="J466" i="16"/>
  <c r="J474" i="16" s="1"/>
  <c r="J465" i="16"/>
  <c r="J473" i="16" s="1"/>
  <c r="J467" i="16"/>
  <c r="J475" i="16" s="1"/>
  <c r="J462" i="16"/>
  <c r="J470" i="16" s="1"/>
  <c r="J464" i="16"/>
  <c r="J472" i="16" s="1"/>
  <c r="AB462" i="16"/>
  <c r="AB470" i="16" s="1"/>
  <c r="AB464" i="16"/>
  <c r="AB472" i="16" s="1"/>
  <c r="AB466" i="16"/>
  <c r="AB474" i="16" s="1"/>
  <c r="AB468" i="16"/>
  <c r="AB476" i="16" s="1"/>
  <c r="AB465" i="16"/>
  <c r="AB473" i="16" s="1"/>
  <c r="AB467" i="16"/>
  <c r="AB475" i="16" s="1"/>
  <c r="N465" i="16"/>
  <c r="N473" i="16" s="1"/>
  <c r="N462" i="16"/>
  <c r="N470" i="16" s="1"/>
  <c r="N464" i="16"/>
  <c r="N472" i="16" s="1"/>
  <c r="N466" i="16"/>
  <c r="N474" i="16" s="1"/>
  <c r="N468" i="16"/>
  <c r="N476" i="16" s="1"/>
  <c r="N467" i="16"/>
  <c r="N475" i="16" s="1"/>
  <c r="M465" i="16"/>
  <c r="M473" i="16" s="1"/>
  <c r="M462" i="16"/>
  <c r="M470" i="16" s="1"/>
  <c r="M464" i="16"/>
  <c r="M472" i="16" s="1"/>
  <c r="M466" i="16"/>
  <c r="M474" i="16" s="1"/>
  <c r="M468" i="16"/>
  <c r="M476" i="16" s="1"/>
  <c r="M467" i="16"/>
  <c r="M475" i="16" s="1"/>
  <c r="S462" i="16"/>
  <c r="S470" i="16" s="1"/>
  <c r="S464" i="16"/>
  <c r="S472" i="16" s="1"/>
  <c r="S466" i="16"/>
  <c r="S474" i="16" s="1"/>
  <c r="S468" i="16"/>
  <c r="S476" i="16" s="1"/>
  <c r="S465" i="16"/>
  <c r="S473" i="16" s="1"/>
  <c r="S467" i="16"/>
  <c r="S475" i="16" s="1"/>
  <c r="X462" i="16"/>
  <c r="X470" i="16" s="1"/>
  <c r="X468" i="16"/>
  <c r="X476" i="16" s="1"/>
  <c r="X465" i="16"/>
  <c r="X473" i="16" s="1"/>
  <c r="X467" i="16"/>
  <c r="X475" i="16" s="1"/>
  <c r="X464" i="16"/>
  <c r="X472" i="16" s="1"/>
  <c r="X466" i="16"/>
  <c r="X474" i="16" s="1"/>
  <c r="T467" i="16"/>
  <c r="T475" i="16" s="1"/>
  <c r="T462" i="16"/>
  <c r="T470" i="16" s="1"/>
  <c r="T464" i="16"/>
  <c r="T472" i="16" s="1"/>
  <c r="T466" i="16"/>
  <c r="T474" i="16" s="1"/>
  <c r="T468" i="16"/>
  <c r="T476" i="16" s="1"/>
  <c r="T465" i="16"/>
  <c r="T473" i="16" s="1"/>
  <c r="X638" i="16"/>
  <c r="X646" i="16" s="1"/>
  <c r="X640" i="16"/>
  <c r="X648" i="16" s="1"/>
  <c r="X641" i="16"/>
  <c r="X649" i="16" s="1"/>
  <c r="X642" i="16"/>
  <c r="X650" i="16" s="1"/>
  <c r="X643" i="16"/>
  <c r="X651" i="16" s="1"/>
  <c r="X644" i="16"/>
  <c r="X652" i="16" s="1"/>
  <c r="W638" i="16"/>
  <c r="W646" i="16" s="1"/>
  <c r="W640" i="16"/>
  <c r="W648" i="16" s="1"/>
  <c r="W641" i="16"/>
  <c r="W649" i="16" s="1"/>
  <c r="W642" i="16"/>
  <c r="W650" i="16" s="1"/>
  <c r="W643" i="16"/>
  <c r="W651" i="16" s="1"/>
  <c r="W644" i="16"/>
  <c r="W652" i="16" s="1"/>
  <c r="Y638" i="16"/>
  <c r="Y646" i="16" s="1"/>
  <c r="Y640" i="16"/>
  <c r="Y648" i="16" s="1"/>
  <c r="Y641" i="16"/>
  <c r="Y649" i="16" s="1"/>
  <c r="Y642" i="16"/>
  <c r="Y650" i="16" s="1"/>
  <c r="Y643" i="16"/>
  <c r="Y651" i="16" s="1"/>
  <c r="Y644" i="16"/>
  <c r="Y652" i="16" s="1"/>
  <c r="AB638" i="16"/>
  <c r="AB646" i="16" s="1"/>
  <c r="AB640" i="16"/>
  <c r="AB648" i="16" s="1"/>
  <c r="AB641" i="16"/>
  <c r="AB649" i="16" s="1"/>
  <c r="AB642" i="16"/>
  <c r="AB650" i="16" s="1"/>
  <c r="AB643" i="16"/>
  <c r="AB651" i="16" s="1"/>
  <c r="AB644" i="16"/>
  <c r="AB652" i="16" s="1"/>
  <c r="AA641" i="16"/>
  <c r="AA649" i="16" s="1"/>
  <c r="AA642" i="16"/>
  <c r="AA650" i="16" s="1"/>
  <c r="AA644" i="16"/>
  <c r="AA652" i="16" s="1"/>
  <c r="AA638" i="16"/>
  <c r="AA646" i="16" s="1"/>
  <c r="AA640" i="16"/>
  <c r="AA648" i="16" s="1"/>
  <c r="AA643" i="16"/>
  <c r="AA651" i="16" s="1"/>
  <c r="Z638" i="16"/>
  <c r="Z646" i="16" s="1"/>
  <c r="Z640" i="16"/>
  <c r="Z648" i="16" s="1"/>
  <c r="Z641" i="16"/>
  <c r="Z649" i="16" s="1"/>
  <c r="Z642" i="16"/>
  <c r="Z650" i="16" s="1"/>
  <c r="Z644" i="16"/>
  <c r="Z652" i="16" s="1"/>
  <c r="Z643" i="16"/>
  <c r="Z651" i="16" s="1"/>
  <c r="V638" i="16"/>
  <c r="V646" i="16" s="1"/>
  <c r="V640" i="16"/>
  <c r="V648" i="16" s="1"/>
  <c r="V641" i="16"/>
  <c r="V649" i="16" s="1"/>
  <c r="V642" i="16"/>
  <c r="V650" i="16" s="1"/>
  <c r="V643" i="16"/>
  <c r="V651" i="16" s="1"/>
  <c r="V644" i="16"/>
  <c r="V652" i="16" s="1"/>
  <c r="U642" i="16"/>
  <c r="U650" i="16" s="1"/>
  <c r="U643" i="16"/>
  <c r="U651" i="16" s="1"/>
  <c r="U640" i="16"/>
  <c r="U648" i="16" s="1"/>
  <c r="U638" i="16"/>
  <c r="U646" i="16" s="1"/>
  <c r="U641" i="16"/>
  <c r="U649" i="16" s="1"/>
  <c r="U644" i="16"/>
  <c r="U652" i="16" s="1"/>
  <c r="AC215" i="7"/>
  <c r="AE215" i="7"/>
  <c r="AG215" i="7"/>
  <c r="AN215" i="7"/>
  <c r="AM215" i="7"/>
  <c r="H817" i="15"/>
  <c r="T358" i="15"/>
  <c r="T676" i="15"/>
  <c r="H499" i="15"/>
  <c r="AD215" i="7"/>
  <c r="AL215" i="7"/>
  <c r="AI215" i="7"/>
  <c r="AO215" i="7"/>
  <c r="AH215" i="7"/>
  <c r="AJ215" i="7"/>
  <c r="AK215" i="7"/>
  <c r="AF215" i="7"/>
  <c r="J46" i="16"/>
  <c r="H106" i="9"/>
  <c r="H194" i="9"/>
  <c r="T442" i="15"/>
  <c r="T760" i="15"/>
  <c r="T121" i="15"/>
  <c r="G557" i="15"/>
  <c r="J98" i="16"/>
  <c r="J100" i="16" s="1"/>
  <c r="J108" i="16" s="1"/>
  <c r="H18" i="9"/>
  <c r="T360" i="15"/>
  <c r="H501" i="15"/>
  <c r="H819" i="15"/>
  <c r="T678" i="15"/>
  <c r="V760" i="15"/>
  <c r="V442" i="15"/>
  <c r="G759" i="15"/>
  <c r="G441" i="15"/>
  <c r="G875" i="15"/>
  <c r="G120" i="15"/>
  <c r="AF760" i="15"/>
  <c r="AF442" i="15"/>
  <c r="AF121" i="15"/>
  <c r="T28" i="15"/>
  <c r="T27" i="15"/>
  <c r="T26" i="15"/>
  <c r="G230" i="9"/>
  <c r="G231" i="9" s="1"/>
  <c r="G142" i="9"/>
  <c r="G143" i="9" s="1"/>
  <c r="G54" i="9"/>
  <c r="AK121" i="15"/>
  <c r="H105" i="9"/>
  <c r="H193" i="9"/>
  <c r="H197" i="7"/>
  <c r="H110" i="7"/>
  <c r="H17" i="9"/>
  <c r="H199" i="7"/>
  <c r="H112" i="7"/>
  <c r="G237" i="7"/>
  <c r="G238" i="7" s="1"/>
  <c r="G150" i="7"/>
  <c r="G151" i="7" s="1"/>
  <c r="AO132" i="16"/>
  <c r="AO138" i="16" s="1"/>
  <c r="AO139" i="16" s="1"/>
  <c r="J37" i="15"/>
  <c r="I103" i="16"/>
  <c r="I111" i="16" s="1"/>
  <c r="I106" i="16"/>
  <c r="I114" i="16" s="1"/>
  <c r="I102" i="16"/>
  <c r="I110" i="16" s="1"/>
  <c r="I105" i="16"/>
  <c r="I113" i="16" s="1"/>
  <c r="I104" i="16"/>
  <c r="I112" i="16" s="1"/>
  <c r="I100" i="16"/>
  <c r="I108" i="16" s="1"/>
  <c r="AG409" i="15" l="1"/>
  <c r="AN727" i="15"/>
  <c r="P577" i="16"/>
  <c r="AH409" i="15"/>
  <c r="AH727" i="15"/>
  <c r="AJ409" i="15"/>
  <c r="AN409" i="15"/>
  <c r="AL727" i="15"/>
  <c r="AJ727" i="15"/>
  <c r="AI409" i="15"/>
  <c r="AL409" i="15"/>
  <c r="AI727" i="15"/>
  <c r="U19" i="14"/>
  <c r="U18" i="14"/>
  <c r="Q38" i="16"/>
  <c r="H114" i="7"/>
  <c r="AK727" i="15"/>
  <c r="AK409" i="15"/>
  <c r="AC116" i="17"/>
  <c r="AM116" i="17"/>
  <c r="V116" i="17"/>
  <c r="AD116" i="17"/>
  <c r="AI116" i="17"/>
  <c r="AN116" i="17"/>
  <c r="AK116" i="17"/>
  <c r="AE116" i="17"/>
  <c r="AA116" i="17"/>
  <c r="W116" i="17"/>
  <c r="AL116" i="17"/>
  <c r="AF116" i="17"/>
  <c r="X116" i="17"/>
  <c r="U116" i="17"/>
  <c r="AH116" i="17"/>
  <c r="Y116" i="17"/>
  <c r="AC862" i="15"/>
  <c r="AC865" i="15" s="1"/>
  <c r="H110" i="9"/>
  <c r="H198" i="9"/>
  <c r="H22" i="9"/>
  <c r="AF409" i="15"/>
  <c r="AF727" i="15"/>
  <c r="AE727" i="15"/>
  <c r="AE409" i="15"/>
  <c r="AM727" i="15"/>
  <c r="AM409" i="15"/>
  <c r="H202" i="7"/>
  <c r="J102" i="16"/>
  <c r="J110" i="16" s="1"/>
  <c r="AO409" i="15"/>
  <c r="J106" i="16"/>
  <c r="J114" i="16" s="1"/>
  <c r="J104" i="16"/>
  <c r="J112" i="16" s="1"/>
  <c r="J105" i="16"/>
  <c r="J113" i="16" s="1"/>
  <c r="J103" i="16"/>
  <c r="J111" i="16" s="1"/>
  <c r="AO727" i="15"/>
  <c r="AC544" i="15"/>
  <c r="AC547" i="15" s="1"/>
  <c r="U26" i="15"/>
  <c r="U27" i="15"/>
  <c r="U28" i="15"/>
  <c r="AC222" i="7"/>
  <c r="AC135" i="7"/>
  <c r="AC140" i="7" s="1"/>
  <c r="H14" i="22" l="1"/>
  <c r="I47" i="22" s="1"/>
  <c r="P578" i="16"/>
  <c r="Q578" i="16"/>
  <c r="V18" i="14"/>
  <c r="V19" i="14"/>
  <c r="K203" i="7"/>
  <c r="S203" i="7"/>
  <c r="AA203" i="7"/>
  <c r="X203" i="7"/>
  <c r="Z203" i="7"/>
  <c r="L203" i="7"/>
  <c r="T203" i="7"/>
  <c r="AB203" i="7"/>
  <c r="W203" i="7"/>
  <c r="Q203" i="7"/>
  <c r="M203" i="7"/>
  <c r="U203" i="7"/>
  <c r="I203" i="7"/>
  <c r="O203" i="7"/>
  <c r="Y203" i="7"/>
  <c r="R203" i="7"/>
  <c r="N203" i="7"/>
  <c r="V203" i="7"/>
  <c r="P203" i="7"/>
  <c r="J203" i="7"/>
  <c r="N199" i="9"/>
  <c r="L199" i="9"/>
  <c r="R199" i="9"/>
  <c r="T199" i="9"/>
  <c r="S199" i="9"/>
  <c r="I199" i="9"/>
  <c r="M199" i="9"/>
  <c r="J199" i="9"/>
  <c r="O199" i="9"/>
  <c r="P199" i="9"/>
  <c r="Q199" i="9"/>
  <c r="K199" i="9"/>
  <c r="T111" i="9"/>
  <c r="I111" i="9"/>
  <c r="N111" i="9"/>
  <c r="R111" i="9"/>
  <c r="J111" i="9"/>
  <c r="M111" i="9"/>
  <c r="L111" i="9"/>
  <c r="P111" i="9"/>
  <c r="S111" i="9"/>
  <c r="Q111" i="9"/>
  <c r="K111" i="9"/>
  <c r="O111" i="9"/>
  <c r="J115" i="7"/>
  <c r="Y115" i="7"/>
  <c r="AA115" i="7"/>
  <c r="Q115" i="7"/>
  <c r="W115" i="7"/>
  <c r="K115" i="7"/>
  <c r="O115" i="7"/>
  <c r="S115" i="7"/>
  <c r="X115" i="7"/>
  <c r="T115" i="7"/>
  <c r="P115" i="7"/>
  <c r="L115" i="7"/>
  <c r="V115" i="7"/>
  <c r="Z115" i="7"/>
  <c r="M115" i="7"/>
  <c r="AB115" i="7"/>
  <c r="N115" i="7"/>
  <c r="R115" i="7"/>
  <c r="I115" i="7"/>
  <c r="U115" i="7"/>
  <c r="AG116" i="17"/>
  <c r="AJ116" i="17"/>
  <c r="AB116" i="17"/>
  <c r="Z116" i="17"/>
  <c r="V28" i="15"/>
  <c r="V27" i="15"/>
  <c r="V41" i="15" s="1"/>
  <c r="V121" i="15" s="1"/>
  <c r="V26" i="15"/>
  <c r="F81" i="8"/>
  <c r="F80" i="8"/>
  <c r="F79" i="8"/>
  <c r="F78" i="8"/>
  <c r="F77" i="8"/>
  <c r="F75" i="8"/>
  <c r="F43" i="8"/>
  <c r="F42" i="8"/>
  <c r="F41" i="8"/>
  <c r="F40" i="8"/>
  <c r="F34" i="8"/>
  <c r="F33" i="8"/>
  <c r="F32" i="8"/>
  <c r="F25" i="8"/>
  <c r="H25" i="8" s="1"/>
  <c r="F24" i="8"/>
  <c r="H24" i="8" s="1"/>
  <c r="F23" i="8"/>
  <c r="H23" i="8" s="1"/>
  <c r="H2" i="8"/>
  <c r="I2" i="8" s="1"/>
  <c r="J2" i="8" s="1"/>
  <c r="K2" i="8" s="1"/>
  <c r="L2" i="8" s="1"/>
  <c r="M2" i="8" s="1"/>
  <c r="N2" i="8" s="1"/>
  <c r="O2" i="8" s="1"/>
  <c r="P2" i="8" s="1"/>
  <c r="Q2" i="8" s="1"/>
  <c r="R2" i="8" s="1"/>
  <c r="S2" i="8" s="1"/>
  <c r="T2" i="8" s="1"/>
  <c r="U2" i="8" s="1"/>
  <c r="V2" i="8" s="1"/>
  <c r="W2" i="8" s="1"/>
  <c r="X2" i="8" s="1"/>
  <c r="Y2" i="8" s="1"/>
  <c r="Z2" i="8" s="1"/>
  <c r="AA2" i="8" s="1"/>
  <c r="AB2" i="8" s="1"/>
  <c r="AC2" i="8" s="1"/>
  <c r="AD2" i="8" s="1"/>
  <c r="AE2" i="8" s="1"/>
  <c r="AF2" i="8" s="1"/>
  <c r="AG2" i="8" s="1"/>
  <c r="AH2" i="8" s="1"/>
  <c r="AI2" i="8" s="1"/>
  <c r="AJ2" i="8" s="1"/>
  <c r="AK2" i="8" s="1"/>
  <c r="AL2" i="8" s="1"/>
  <c r="AM2" i="8" s="1"/>
  <c r="AN2" i="8" s="1"/>
  <c r="AO2" i="8" s="1"/>
  <c r="F59" i="7"/>
  <c r="G60" i="7" s="1"/>
  <c r="AC63" i="7"/>
  <c r="F79" i="7"/>
  <c r="F78" i="7"/>
  <c r="F77" i="7"/>
  <c r="F76" i="7"/>
  <c r="F75" i="7"/>
  <c r="F73" i="7"/>
  <c r="AN63" i="7"/>
  <c r="AM63" i="7"/>
  <c r="AL63" i="7"/>
  <c r="AK63" i="7"/>
  <c r="AJ63" i="7"/>
  <c r="AI63" i="7"/>
  <c r="AH63" i="7"/>
  <c r="AG63" i="7"/>
  <c r="AF63" i="7"/>
  <c r="AE63" i="7"/>
  <c r="AD63" i="7"/>
  <c r="G238" i="15"/>
  <c r="F165" i="15"/>
  <c r="F164" i="15"/>
  <c r="F163" i="15"/>
  <c r="F162" i="15"/>
  <c r="F161" i="15"/>
  <c r="F159" i="15"/>
  <c r="F287" i="15"/>
  <c r="F286" i="15"/>
  <c r="F285" i="15"/>
  <c r="F284" i="15"/>
  <c r="F283" i="15"/>
  <c r="F281" i="15"/>
  <c r="K12" i="15"/>
  <c r="L12" i="15"/>
  <c r="F82" i="15"/>
  <c r="F81" i="15"/>
  <c r="F80" i="15"/>
  <c r="F79" i="15"/>
  <c r="F77" i="15"/>
  <c r="F71" i="15"/>
  <c r="F70" i="15"/>
  <c r="F69" i="15"/>
  <c r="F47" i="15"/>
  <c r="F37" i="15"/>
  <c r="F36" i="15"/>
  <c r="S36" i="15" s="1"/>
  <c r="F35" i="15"/>
  <c r="R79" i="15" l="1" a="1"/>
  <c r="R79" i="15" s="1"/>
  <c r="AA79" i="15" a="1"/>
  <c r="AA79" i="15" s="1"/>
  <c r="AF79" i="15" a="1"/>
  <c r="AF79" i="15" s="1"/>
  <c r="AO79" i="15" a="1"/>
  <c r="AO79" i="15" s="1"/>
  <c r="U79" i="15" a="1"/>
  <c r="U79" i="15" s="1"/>
  <c r="AE79" i="15" a="1"/>
  <c r="AE79" i="15" s="1"/>
  <c r="N79" i="15" a="1"/>
  <c r="N79" i="15" s="1"/>
  <c r="W79" i="15" a="1"/>
  <c r="W79" i="15" s="1"/>
  <c r="AB79" i="15" a="1"/>
  <c r="AB79" i="15" s="1"/>
  <c r="AK79" i="15" a="1"/>
  <c r="AK79" i="15" s="1"/>
  <c r="AM79" i="15" a="1"/>
  <c r="AM79" i="15" s="1"/>
  <c r="V79" i="15" a="1"/>
  <c r="V79" i="15" s="1"/>
  <c r="J79" i="15" a="1"/>
  <c r="J79" i="15" s="1"/>
  <c r="S79" i="15" a="1"/>
  <c r="S79" i="15" s="1"/>
  <c r="X79" i="15" a="1"/>
  <c r="X79" i="15" s="1"/>
  <c r="AG79" i="15" a="1"/>
  <c r="AG79" i="15" s="1"/>
  <c r="I79" i="15" a="1"/>
  <c r="I79" i="15" s="1"/>
  <c r="O79" i="15" a="1"/>
  <c r="O79" i="15" s="1"/>
  <c r="T79" i="15" a="1"/>
  <c r="T79" i="15" s="1"/>
  <c r="AC79" i="15" a="1"/>
  <c r="AC79" i="15" s="1"/>
  <c r="AL79" i="15" a="1"/>
  <c r="AL79" i="15" s="1"/>
  <c r="L79" i="15" a="1"/>
  <c r="L79" i="15" s="1"/>
  <c r="K79" i="15" a="1"/>
  <c r="K79" i="15" s="1"/>
  <c r="P79" i="15" a="1"/>
  <c r="P79" i="15" s="1"/>
  <c r="Y79" i="15" a="1"/>
  <c r="Y79" i="15" s="1"/>
  <c r="AH79" i="15" a="1"/>
  <c r="AH79" i="15" s="1"/>
  <c r="AD79" i="15" a="1"/>
  <c r="AD79" i="15" s="1"/>
  <c r="Q79" i="15" a="1"/>
  <c r="Q79" i="15" s="1"/>
  <c r="Z79" i="15" a="1"/>
  <c r="Z79" i="15" s="1"/>
  <c r="AI79" i="15" a="1"/>
  <c r="AI79" i="15" s="1"/>
  <c r="AN79" i="15" a="1"/>
  <c r="AN79" i="15" s="1"/>
  <c r="M79" i="15" a="1"/>
  <c r="M79" i="15" s="1"/>
  <c r="AJ79" i="15" a="1"/>
  <c r="AJ79" i="15" s="1"/>
  <c r="S370" i="15"/>
  <c r="S47" i="15"/>
  <c r="N35" i="15"/>
  <c r="S35" i="15"/>
  <c r="N37" i="15"/>
  <c r="S37" i="15"/>
  <c r="P36" i="15"/>
  <c r="N36" i="15"/>
  <c r="W19" i="14"/>
  <c r="W18" i="14"/>
  <c r="N370" i="15"/>
  <c r="N371" i="15"/>
  <c r="N47" i="15"/>
  <c r="N48" i="15"/>
  <c r="P37" i="15"/>
  <c r="T37" i="15"/>
  <c r="T47" i="15"/>
  <c r="P370" i="15"/>
  <c r="P47" i="15"/>
  <c r="R35" i="15"/>
  <c r="P35" i="15"/>
  <c r="R370" i="15"/>
  <c r="R371" i="15"/>
  <c r="R47" i="15"/>
  <c r="AB37" i="15"/>
  <c r="R37" i="15"/>
  <c r="AB36" i="15"/>
  <c r="R36" i="15"/>
  <c r="T370" i="15"/>
  <c r="W26" i="15"/>
  <c r="W27" i="15"/>
  <c r="W28" i="15"/>
  <c r="T35" i="15"/>
  <c r="AB35" i="15"/>
  <c r="M37" i="15"/>
  <c r="M36" i="15"/>
  <c r="T36" i="15"/>
  <c r="M47" i="15"/>
  <c r="W35" i="15"/>
  <c r="M35" i="15"/>
  <c r="Q36" i="15"/>
  <c r="W36" i="15"/>
  <c r="Q37" i="15"/>
  <c r="W37" i="15"/>
  <c r="Q47" i="15"/>
  <c r="Q48" i="15"/>
  <c r="J14" i="15"/>
  <c r="J18" i="15" s="1"/>
  <c r="K14" i="15"/>
  <c r="L14" i="15"/>
  <c r="AH149" i="15"/>
  <c r="AH95" i="15"/>
  <c r="AG149" i="15"/>
  <c r="AG95" i="15"/>
  <c r="AE149" i="15"/>
  <c r="AE95" i="15"/>
  <c r="AL149" i="15"/>
  <c r="AL95" i="15"/>
  <c r="AD149" i="15"/>
  <c r="AD95" i="15"/>
  <c r="AK149" i="15"/>
  <c r="AK95" i="15"/>
  <c r="AC149" i="15"/>
  <c r="AC95" i="15"/>
  <c r="AF149" i="15"/>
  <c r="AF95" i="15"/>
  <c r="AJ149" i="15"/>
  <c r="AJ95" i="15"/>
  <c r="AI149" i="15"/>
  <c r="AI95" i="15"/>
  <c r="G62" i="8"/>
  <c r="H28" i="8"/>
  <c r="AO80" i="7"/>
  <c r="AO82" i="7" s="1"/>
  <c r="O50" i="15"/>
  <c r="O57" i="15" s="1"/>
  <c r="Z50" i="15"/>
  <c r="Z57" i="15" s="1"/>
  <c r="AJ50" i="15"/>
  <c r="AJ57" i="15" s="1"/>
  <c r="AF50" i="15"/>
  <c r="AF57" i="15" s="1"/>
  <c r="X50" i="15"/>
  <c r="X57" i="15" s="1"/>
  <c r="U50" i="15"/>
  <c r="U57" i="15" s="1"/>
  <c r="AI50" i="15"/>
  <c r="AI57" i="15" s="1"/>
  <c r="AH50" i="15"/>
  <c r="AH57" i="15" s="1"/>
  <c r="AO50" i="15"/>
  <c r="AG50" i="15"/>
  <c r="AG57" i="15" s="1"/>
  <c r="AE50" i="15"/>
  <c r="AE57" i="15" s="1"/>
  <c r="AL50" i="15"/>
  <c r="AL57" i="15" s="1"/>
  <c r="AD50" i="15"/>
  <c r="AD57" i="15" s="1"/>
  <c r="AK50" i="15"/>
  <c r="AK57" i="15" s="1"/>
  <c r="I50" i="15"/>
  <c r="AG86" i="15" l="1"/>
  <c r="H13" i="22"/>
  <c r="AN86" i="15"/>
  <c r="AL86" i="15"/>
  <c r="AJ86" i="15"/>
  <c r="R691" i="15"/>
  <c r="R698" i="15" s="1"/>
  <c r="N691" i="15"/>
  <c r="N698" i="15" s="1"/>
  <c r="X18" i="14"/>
  <c r="X19" i="14"/>
  <c r="N50" i="15"/>
  <c r="N57" i="15" s="1"/>
  <c r="I57" i="15"/>
  <c r="AO57" i="15"/>
  <c r="J76" i="15"/>
  <c r="AK86" i="15"/>
  <c r="AF86" i="15"/>
  <c r="AE86" i="15"/>
  <c r="AM86" i="15"/>
  <c r="AH86" i="15"/>
  <c r="AI86" i="15"/>
  <c r="X27" i="15"/>
  <c r="X28" i="15"/>
  <c r="X26" i="15"/>
  <c r="AO86" i="15"/>
  <c r="W50" i="15"/>
  <c r="W57" i="15" s="1"/>
  <c r="I126" i="15"/>
  <c r="J126" i="15"/>
  <c r="Q50" i="15"/>
  <c r="Q57" i="15" s="1"/>
  <c r="K50" i="15"/>
  <c r="K57" i="15" s="1"/>
  <c r="Y19" i="14" l="1"/>
  <c r="Y18" i="14"/>
  <c r="I58" i="15"/>
  <c r="Y27" i="15"/>
  <c r="Y28" i="15"/>
  <c r="Y42" i="15" s="1"/>
  <c r="Y26" i="15"/>
  <c r="J77" i="15"/>
  <c r="Z18" i="14" l="1"/>
  <c r="Z19" i="14"/>
  <c r="Y50" i="15"/>
  <c r="Y57" i="15" s="1"/>
  <c r="Z28" i="15"/>
  <c r="Z26" i="15"/>
  <c r="Z27" i="15"/>
  <c r="C20" i="15"/>
  <c r="C16" i="11" s="1"/>
  <c r="C15" i="15"/>
  <c r="C15" i="11" s="1"/>
  <c r="AA19" i="14" l="1"/>
  <c r="AA18" i="14"/>
  <c r="AA28" i="15"/>
  <c r="AA27" i="15"/>
  <c r="AA26" i="15"/>
  <c r="AA40" i="15" s="1"/>
  <c r="W12" i="15"/>
  <c r="T12" i="15"/>
  <c r="AD12" i="15"/>
  <c r="AL12" i="15"/>
  <c r="S12" i="15"/>
  <c r="M12" i="15"/>
  <c r="U12" i="15"/>
  <c r="AE12" i="15"/>
  <c r="AK12" i="15"/>
  <c r="N12" i="15"/>
  <c r="V12" i="15"/>
  <c r="AF12" i="15"/>
  <c r="X12" i="15"/>
  <c r="O12" i="15"/>
  <c r="Y12" i="15"/>
  <c r="AG12" i="15"/>
  <c r="AC12" i="15"/>
  <c r="P12" i="15"/>
  <c r="Z12" i="15"/>
  <c r="AH12" i="15"/>
  <c r="Q12" i="15"/>
  <c r="AA12" i="15"/>
  <c r="AI12" i="15"/>
  <c r="R12" i="15"/>
  <c r="AB12" i="15"/>
  <c r="AJ12" i="15"/>
  <c r="AA50" i="15" l="1"/>
  <c r="AA57" i="15" s="1"/>
  <c r="AB18" i="14"/>
  <c r="AB19" i="14"/>
  <c r="AB26" i="15"/>
  <c r="AB40" i="15" s="1"/>
  <c r="AB27" i="15"/>
  <c r="AB28" i="15"/>
  <c r="AM14" i="15"/>
  <c r="AN14" i="15"/>
  <c r="AA14" i="15"/>
  <c r="AE14" i="15"/>
  <c r="O14" i="15"/>
  <c r="S14" i="15"/>
  <c r="Z14" i="15"/>
  <c r="T14" i="15"/>
  <c r="AJ14" i="15"/>
  <c r="V14" i="15"/>
  <c r="N14" i="15"/>
  <c r="AL14" i="15"/>
  <c r="AI14" i="15"/>
  <c r="P14" i="15"/>
  <c r="M14" i="15"/>
  <c r="AB14" i="15"/>
  <c r="AF14" i="15"/>
  <c r="R14" i="15"/>
  <c r="W14" i="15"/>
  <c r="Q14" i="15"/>
  <c r="AG14" i="15"/>
  <c r="AC14" i="15"/>
  <c r="Y14" i="15"/>
  <c r="AD14" i="15"/>
  <c r="U14" i="15"/>
  <c r="AK14" i="15"/>
  <c r="X14" i="15"/>
  <c r="AH14" i="15"/>
  <c r="AC19" i="14" l="1"/>
  <c r="AC18" i="14"/>
  <c r="AC27" i="15"/>
  <c r="AC41" i="15" s="1"/>
  <c r="AC28" i="15"/>
  <c r="AC26" i="15"/>
  <c r="AC40" i="15" s="1"/>
  <c r="E396" i="5"/>
  <c r="E342" i="5"/>
  <c r="E286" i="5"/>
  <c r="E287" i="5"/>
  <c r="F40" i="7"/>
  <c r="F39" i="7"/>
  <c r="F38" i="7"/>
  <c r="F30" i="7"/>
  <c r="F31" i="7"/>
  <c r="F29" i="7"/>
  <c r="F19" i="7"/>
  <c r="H19" i="7" s="1"/>
  <c r="F20" i="7"/>
  <c r="H20" i="7" s="1"/>
  <c r="F21" i="7"/>
  <c r="H21" i="7" s="1"/>
  <c r="F178" i="15"/>
  <c r="H178" i="15" s="1"/>
  <c r="F214" i="15"/>
  <c r="U353" i="14" l="1" a="1"/>
  <c r="U353" i="14" s="1"/>
  <c r="U208" i="14" a="1"/>
  <c r="U208" i="14" s="1"/>
  <c r="U66" i="14" a="1"/>
  <c r="U66" i="14" s="1"/>
  <c r="X214" i="15" a="1"/>
  <c r="X214" i="15" s="1"/>
  <c r="AO214" i="15" a="1"/>
  <c r="AO214" i="15" s="1"/>
  <c r="AG214" i="15" a="1"/>
  <c r="AG214" i="15" s="1"/>
  <c r="AH214" i="15" a="1"/>
  <c r="AH214" i="15" s="1"/>
  <c r="N214" i="15" a="1"/>
  <c r="N214" i="15" s="1"/>
  <c r="S214" i="15" a="1"/>
  <c r="S214" i="15" s="1"/>
  <c r="Y214" i="15" a="1"/>
  <c r="Y214" i="15" s="1"/>
  <c r="AD214" i="15" a="1"/>
  <c r="AD214" i="15" s="1"/>
  <c r="AI214" i="15" a="1"/>
  <c r="AI214" i="15" s="1"/>
  <c r="AA214" i="15" a="1"/>
  <c r="AA214" i="15" s="1"/>
  <c r="AN214" i="15" a="1"/>
  <c r="AN214" i="15" s="1"/>
  <c r="T214" i="15" a="1"/>
  <c r="T214" i="15" s="1"/>
  <c r="AJ214" i="15" a="1"/>
  <c r="AJ214" i="15" s="1"/>
  <c r="I214" i="15" a="1"/>
  <c r="I214" i="15" s="1"/>
  <c r="Q214" i="15" a="1"/>
  <c r="Q214" i="15" s="1"/>
  <c r="AL214" i="15" a="1"/>
  <c r="AL214" i="15" s="1"/>
  <c r="R214" i="15" a="1"/>
  <c r="R214" i="15" s="1"/>
  <c r="J214" i="15" a="1"/>
  <c r="J214" i="15" s="1"/>
  <c r="O214" i="15" a="1"/>
  <c r="O214" i="15" s="1"/>
  <c r="U214" i="15" a="1"/>
  <c r="U214" i="15" s="1"/>
  <c r="Z214" i="15" a="1"/>
  <c r="Z214" i="15" s="1"/>
  <c r="AE214" i="15" a="1"/>
  <c r="AE214" i="15" s="1"/>
  <c r="AK214" i="15" a="1"/>
  <c r="AK214" i="15" s="1"/>
  <c r="K214" i="15" a="1"/>
  <c r="K214" i="15" s="1"/>
  <c r="M214" i="15" a="1"/>
  <c r="M214" i="15" s="1"/>
  <c r="P214" i="15" a="1"/>
  <c r="P214" i="15" s="1"/>
  <c r="AF214" i="15" a="1"/>
  <c r="AF214" i="15" s="1"/>
  <c r="V214" i="15" a="1"/>
  <c r="V214" i="15" s="1"/>
  <c r="W214" i="15" a="1"/>
  <c r="W214" i="15" s="1"/>
  <c r="L214" i="15" a="1"/>
  <c r="L214" i="15" s="1"/>
  <c r="AB214" i="15" a="1"/>
  <c r="AB214" i="15" s="1"/>
  <c r="AM214" i="15" a="1"/>
  <c r="AM214" i="15" s="1"/>
  <c r="AC214" i="15" a="1"/>
  <c r="AC214" i="15" s="1"/>
  <c r="AC353" i="14" a="1"/>
  <c r="AC353" i="14" s="1"/>
  <c r="AC208" i="14" a="1"/>
  <c r="AC208" i="14" s="1"/>
  <c r="AC66" i="14" a="1"/>
  <c r="AC66" i="14" s="1"/>
  <c r="F721" i="16"/>
  <c r="G722" i="16" s="1"/>
  <c r="G723" i="16" s="1"/>
  <c r="F455" i="16"/>
  <c r="G456" i="16" s="1"/>
  <c r="G457" i="16" s="1"/>
  <c r="F190" i="16"/>
  <c r="G191" i="16" s="1"/>
  <c r="AF59" i="16"/>
  <c r="E371" i="5"/>
  <c r="AE59" i="16"/>
  <c r="F92" i="16"/>
  <c r="G93" i="16" s="1"/>
  <c r="F364" i="16"/>
  <c r="G365" i="16" s="1"/>
  <c r="F630" i="16"/>
  <c r="G631" i="16" s="1"/>
  <c r="G632" i="16" s="1"/>
  <c r="AD26" i="15"/>
  <c r="AD27" i="15"/>
  <c r="AD28" i="15"/>
  <c r="AC42" i="15"/>
  <c r="AC50" i="15" s="1"/>
  <c r="AC57" i="15" s="1"/>
  <c r="AC45" i="7"/>
  <c r="AC50" i="7" s="1"/>
  <c r="H24" i="7"/>
  <c r="G86" i="2"/>
  <c r="I86" i="2" s="1"/>
  <c r="E237" i="5"/>
  <c r="E236" i="5"/>
  <c r="G84" i="2"/>
  <c r="I84" i="2" s="1"/>
  <c r="E341" i="5"/>
  <c r="E391" i="5" s="1"/>
  <c r="H12" i="22" l="1"/>
  <c r="I46" i="22" s="1"/>
  <c r="R570" i="16"/>
  <c r="R574" i="16" s="1"/>
  <c r="R577" i="16" s="1"/>
  <c r="R578" i="16" s="1"/>
  <c r="R30" i="16"/>
  <c r="R304" i="16"/>
  <c r="I25" i="7"/>
  <c r="S304" i="16"/>
  <c r="S570" i="16"/>
  <c r="S574" i="16" s="1"/>
  <c r="S577" i="16" s="1"/>
  <c r="S30" i="16"/>
  <c r="S34" i="16" s="1"/>
  <c r="S37" i="16" s="1"/>
  <c r="Q25" i="7"/>
  <c r="Y25" i="7"/>
  <c r="J25" i="7"/>
  <c r="R25" i="7"/>
  <c r="Z25" i="7"/>
  <c r="L25" i="7"/>
  <c r="T25" i="7"/>
  <c r="AB25" i="7"/>
  <c r="X25" i="7"/>
  <c r="K25" i="7"/>
  <c r="M25" i="7"/>
  <c r="U25" i="7"/>
  <c r="W25" i="7"/>
  <c r="AA25" i="7"/>
  <c r="N25" i="7"/>
  <c r="V25" i="7"/>
  <c r="O25" i="7"/>
  <c r="S25" i="7"/>
  <c r="P25" i="7"/>
  <c r="T30" i="16"/>
  <c r="H688" i="16"/>
  <c r="H422" i="16"/>
  <c r="H150" i="16"/>
  <c r="AC176" i="16" s="1"/>
  <c r="T570" i="16"/>
  <c r="T574" i="16" s="1"/>
  <c r="T577" i="16" s="1"/>
  <c r="T304" i="16"/>
  <c r="AH432" i="16"/>
  <c r="AD697" i="16"/>
  <c r="AM697" i="16"/>
  <c r="AK697" i="16"/>
  <c r="AF432" i="16"/>
  <c r="AF697" i="16"/>
  <c r="AO322" i="16"/>
  <c r="AO697" i="16"/>
  <c r="AH697" i="16"/>
  <c r="AL432" i="16"/>
  <c r="AM432" i="16"/>
  <c r="AD432" i="16"/>
  <c r="AC697" i="16"/>
  <c r="AJ432" i="16"/>
  <c r="AG697" i="16"/>
  <c r="AG432" i="16"/>
  <c r="AO432" i="16"/>
  <c r="AE432" i="16"/>
  <c r="AI697" i="16"/>
  <c r="AI432" i="16"/>
  <c r="AN697" i="16"/>
  <c r="AJ697" i="16"/>
  <c r="AN432" i="16"/>
  <c r="AK432" i="16"/>
  <c r="AL697" i="16"/>
  <c r="AE697" i="16"/>
  <c r="AC432" i="16"/>
  <c r="AO588" i="16"/>
  <c r="O588" i="16"/>
  <c r="P588" i="16"/>
  <c r="Q588" i="16"/>
  <c r="I588" i="16"/>
  <c r="K588" i="16"/>
  <c r="L588" i="16"/>
  <c r="I322" i="16"/>
  <c r="R588" i="16"/>
  <c r="M588" i="16"/>
  <c r="N588" i="16"/>
  <c r="J588" i="16"/>
  <c r="AD588" i="16"/>
  <c r="AL162" i="16"/>
  <c r="AI162" i="16"/>
  <c r="AF588" i="16"/>
  <c r="AK588" i="16"/>
  <c r="AC588" i="16"/>
  <c r="T588" i="16"/>
  <c r="AE162" i="16"/>
  <c r="AC162" i="16"/>
  <c r="AJ588" i="16"/>
  <c r="AL588" i="16"/>
  <c r="S588" i="16"/>
  <c r="AM162" i="16"/>
  <c r="AN588" i="16"/>
  <c r="AF162" i="16"/>
  <c r="AH588" i="16"/>
  <c r="AM588" i="16"/>
  <c r="AN162" i="16"/>
  <c r="AG588" i="16"/>
  <c r="AK162" i="16"/>
  <c r="AG162" i="16"/>
  <c r="AE588" i="16"/>
  <c r="AD162" i="16"/>
  <c r="AO162" i="16"/>
  <c r="AI588" i="16"/>
  <c r="AJ162" i="16"/>
  <c r="AH162" i="16"/>
  <c r="N432" i="16"/>
  <c r="AA432" i="16"/>
  <c r="P432" i="16"/>
  <c r="W697" i="16"/>
  <c r="Y432" i="16"/>
  <c r="AA588" i="16"/>
  <c r="S432" i="16"/>
  <c r="K432" i="16"/>
  <c r="P697" i="16"/>
  <c r="M697" i="16"/>
  <c r="O697" i="16"/>
  <c r="AB697" i="16"/>
  <c r="W432" i="16"/>
  <c r="X588" i="16"/>
  <c r="V588" i="16"/>
  <c r="AB588" i="16"/>
  <c r="X697" i="16"/>
  <c r="Q697" i="16"/>
  <c r="Y697" i="16"/>
  <c r="T432" i="16"/>
  <c r="V432" i="16"/>
  <c r="Z432" i="16"/>
  <c r="X432" i="16"/>
  <c r="AA697" i="16"/>
  <c r="T697" i="16"/>
  <c r="Y588" i="16"/>
  <c r="U588" i="16"/>
  <c r="I432" i="16"/>
  <c r="R697" i="16"/>
  <c r="S697" i="16"/>
  <c r="AB432" i="16"/>
  <c r="J432" i="16"/>
  <c r="R432" i="16"/>
  <c r="Z588" i="16"/>
  <c r="J697" i="16"/>
  <c r="L697" i="16"/>
  <c r="V697" i="16"/>
  <c r="O432" i="16"/>
  <c r="U432" i="16"/>
  <c r="M432" i="16"/>
  <c r="Z697" i="16"/>
  <c r="N697" i="16"/>
  <c r="I697" i="16"/>
  <c r="K697" i="16"/>
  <c r="L432" i="16"/>
  <c r="W588" i="16"/>
  <c r="Q432" i="16"/>
  <c r="U697" i="16"/>
  <c r="J322" i="16"/>
  <c r="H25" i="14"/>
  <c r="H309" i="14"/>
  <c r="H165" i="14"/>
  <c r="AI698" i="16"/>
  <c r="AJ698" i="16"/>
  <c r="AC698" i="16"/>
  <c r="AK698" i="16"/>
  <c r="AD698" i="16"/>
  <c r="AL698" i="16"/>
  <c r="AE698" i="16"/>
  <c r="AM698" i="16"/>
  <c r="AF698" i="16"/>
  <c r="AN698" i="16"/>
  <c r="AG698" i="16"/>
  <c r="AH698" i="16"/>
  <c r="V698" i="16"/>
  <c r="X698" i="16"/>
  <c r="O698" i="16"/>
  <c r="K698" i="16"/>
  <c r="Q698" i="16"/>
  <c r="Y698" i="16"/>
  <c r="U698" i="16"/>
  <c r="AA698" i="16"/>
  <c r="S698" i="16"/>
  <c r="P698" i="16"/>
  <c r="T698" i="16"/>
  <c r="AB698" i="16"/>
  <c r="R698" i="16"/>
  <c r="I698" i="16"/>
  <c r="J698" i="16"/>
  <c r="L698" i="16"/>
  <c r="W698" i="16"/>
  <c r="Z698" i="16"/>
  <c r="N698" i="16"/>
  <c r="M698" i="16"/>
  <c r="AG433" i="16"/>
  <c r="AO433" i="16"/>
  <c r="AO323" i="16"/>
  <c r="AO698" i="16"/>
  <c r="AH433" i="16"/>
  <c r="AO589" i="16"/>
  <c r="AJ433" i="16"/>
  <c r="AC433" i="16"/>
  <c r="AK433" i="16"/>
  <c r="AD433" i="16"/>
  <c r="AL433" i="16"/>
  <c r="AE433" i="16"/>
  <c r="AM433" i="16"/>
  <c r="AF433" i="16"/>
  <c r="AN433" i="16"/>
  <c r="AI433" i="16"/>
  <c r="T433" i="16"/>
  <c r="Z433" i="16"/>
  <c r="V433" i="16"/>
  <c r="Y433" i="16"/>
  <c r="W433" i="16"/>
  <c r="L433" i="16"/>
  <c r="M589" i="16"/>
  <c r="X589" i="16"/>
  <c r="I589" i="16"/>
  <c r="L589" i="16"/>
  <c r="N589" i="16"/>
  <c r="P589" i="16"/>
  <c r="AL589" i="16"/>
  <c r="U589" i="16"/>
  <c r="J433" i="16"/>
  <c r="K589" i="16"/>
  <c r="AF589" i="16"/>
  <c r="AD589" i="16"/>
  <c r="O589" i="16"/>
  <c r="I433" i="16"/>
  <c r="R589" i="16"/>
  <c r="AI589" i="16"/>
  <c r="Y589" i="16"/>
  <c r="AH589" i="16"/>
  <c r="T589" i="16"/>
  <c r="AJ589" i="16"/>
  <c r="N433" i="16"/>
  <c r="AG589" i="16"/>
  <c r="AE589" i="16"/>
  <c r="S589" i="16"/>
  <c r="AB589" i="16"/>
  <c r="AM589" i="16"/>
  <c r="Q589" i="16"/>
  <c r="AK589" i="16"/>
  <c r="Q433" i="16"/>
  <c r="W589" i="16"/>
  <c r="O433" i="16"/>
  <c r="J589" i="16"/>
  <c r="I323" i="16"/>
  <c r="AN589" i="16"/>
  <c r="P433" i="16"/>
  <c r="AC589" i="16"/>
  <c r="V589" i="16"/>
  <c r="Z589" i="16"/>
  <c r="AA589" i="16"/>
  <c r="AA433" i="16"/>
  <c r="X433" i="16"/>
  <c r="K433" i="16"/>
  <c r="AB433" i="16"/>
  <c r="R433" i="16"/>
  <c r="M433" i="16"/>
  <c r="U433" i="16"/>
  <c r="S433" i="16"/>
  <c r="J323" i="16"/>
  <c r="AE28" i="15"/>
  <c r="AE27" i="15"/>
  <c r="AE26" i="15"/>
  <c r="H24" i="14"/>
  <c r="H164" i="14"/>
  <c r="H308" i="14"/>
  <c r="AO163" i="16"/>
  <c r="AD163" i="16"/>
  <c r="AH163" i="16"/>
  <c r="AM163" i="16"/>
  <c r="AE163" i="16"/>
  <c r="AG163" i="16"/>
  <c r="AK163" i="16"/>
  <c r="AC163" i="16"/>
  <c r="AF163" i="16"/>
  <c r="AJ163" i="16"/>
  <c r="AI163" i="16"/>
  <c r="AN163" i="16"/>
  <c r="AL163" i="16"/>
  <c r="AO48" i="16"/>
  <c r="J48" i="16"/>
  <c r="I48" i="16"/>
  <c r="AO47" i="16"/>
  <c r="J47" i="16"/>
  <c r="I47" i="16"/>
  <c r="V34" i="16"/>
  <c r="V37" i="16" s="1"/>
  <c r="AC198" i="16"/>
  <c r="AC206" i="16" s="1"/>
  <c r="AC212" i="16" s="1"/>
  <c r="AO101" i="16"/>
  <c r="AO109" i="16" s="1"/>
  <c r="AO115" i="16" s="1"/>
  <c r="AO116" i="16" s="1"/>
  <c r="I101" i="16"/>
  <c r="I109" i="16" s="1"/>
  <c r="I115" i="16" s="1"/>
  <c r="J101" i="16"/>
  <c r="J109" i="16" s="1"/>
  <c r="J115" i="16" s="1"/>
  <c r="F217" i="15"/>
  <c r="F216" i="15"/>
  <c r="F215" i="15"/>
  <c r="F212" i="15"/>
  <c r="F190" i="15"/>
  <c r="F205" i="15"/>
  <c r="F206" i="15"/>
  <c r="F204" i="15"/>
  <c r="E350" i="5"/>
  <c r="F179" i="15"/>
  <c r="H179" i="15" s="1"/>
  <c r="F180" i="15"/>
  <c r="H180" i="15" s="1"/>
  <c r="E17" i="23"/>
  <c r="E406" i="5"/>
  <c r="E405" i="5"/>
  <c r="I39" i="24"/>
  <c r="E329" i="5" s="1"/>
  <c r="I49" i="24"/>
  <c r="H14" i="24"/>
  <c r="I14" i="24" s="1"/>
  <c r="I13" i="24"/>
  <c r="S578" i="16" l="1"/>
  <c r="AG334" i="16"/>
  <c r="AG600" i="16"/>
  <c r="R34" i="16"/>
  <c r="R37" i="16" s="1"/>
  <c r="R38" i="16" s="1"/>
  <c r="AG59" i="16"/>
  <c r="E118" i="5"/>
  <c r="I15" i="24"/>
  <c r="I17" i="24" s="1"/>
  <c r="E260" i="5" s="1"/>
  <c r="AO578" i="16"/>
  <c r="AB578" i="16"/>
  <c r="AG578" i="16"/>
  <c r="AN578" i="16"/>
  <c r="AA578" i="16"/>
  <c r="AH578" i="16"/>
  <c r="T578" i="16"/>
  <c r="AF578" i="16"/>
  <c r="AD578" i="16"/>
  <c r="X578" i="16"/>
  <c r="W578" i="16"/>
  <c r="AJ578" i="16"/>
  <c r="AK578" i="16"/>
  <c r="Z578" i="16"/>
  <c r="AI578" i="16"/>
  <c r="V578" i="16"/>
  <c r="AE578" i="16"/>
  <c r="U578" i="16"/>
  <c r="AM578" i="16"/>
  <c r="Y578" i="16"/>
  <c r="AL578" i="16"/>
  <c r="AC578" i="16"/>
  <c r="AN59" i="16"/>
  <c r="AH59" i="16"/>
  <c r="AH600" i="16"/>
  <c r="AH334" i="16"/>
  <c r="AN600" i="16"/>
  <c r="AN334" i="16"/>
  <c r="AJ334" i="16"/>
  <c r="AJ600" i="16"/>
  <c r="AL59" i="16"/>
  <c r="AJ59" i="16"/>
  <c r="AL600" i="16"/>
  <c r="AL334" i="16"/>
  <c r="H692" i="16"/>
  <c r="P693" i="16" s="1"/>
  <c r="AC710" i="16"/>
  <c r="AE47" i="17" a="1"/>
  <c r="AE47" i="17" s="1"/>
  <c r="AJ47" i="17" a="1"/>
  <c r="AJ47" i="17" s="1"/>
  <c r="AC47" i="17" a="1"/>
  <c r="AC47" i="17" s="1"/>
  <c r="Q47" i="17" a="1"/>
  <c r="Q47" i="17" s="1"/>
  <c r="Q49" i="17" s="1"/>
  <c r="AG47" i="17" a="1"/>
  <c r="AG47" i="17" s="1"/>
  <c r="AD47" i="17" a="1"/>
  <c r="AD47" i="17" s="1"/>
  <c r="AH47" i="17" a="1"/>
  <c r="AH47" i="17" s="1"/>
  <c r="AI47" i="17" a="1"/>
  <c r="AI47" i="17" s="1"/>
  <c r="AF47" i="17" a="1"/>
  <c r="AF47" i="17" s="1"/>
  <c r="V47" i="17" a="1"/>
  <c r="V47" i="17" s="1"/>
  <c r="L47" i="17" a="1"/>
  <c r="L47" i="17" s="1"/>
  <c r="L49" i="17" s="1"/>
  <c r="W47" i="17" a="1"/>
  <c r="W47" i="17" s="1"/>
  <c r="AA47" i="17" a="1"/>
  <c r="AA47" i="17" s="1"/>
  <c r="J47" i="17" a="1"/>
  <c r="J47" i="17" s="1"/>
  <c r="J49" i="17" s="1"/>
  <c r="P47" i="17" a="1"/>
  <c r="P47" i="17" s="1"/>
  <c r="P49" i="17" s="1"/>
  <c r="AL47" i="17" a="1"/>
  <c r="AL47" i="17" s="1"/>
  <c r="O47" i="17" a="1"/>
  <c r="O47" i="17" s="1"/>
  <c r="O49" i="17" s="1"/>
  <c r="Y47" i="17" a="1"/>
  <c r="Y47" i="17" s="1"/>
  <c r="Z47" i="17" a="1"/>
  <c r="Z47" i="17" s="1"/>
  <c r="T47" i="17" a="1"/>
  <c r="T47" i="17" s="1"/>
  <c r="T49" i="17" s="1"/>
  <c r="S47" i="17" a="1"/>
  <c r="S47" i="17" s="1"/>
  <c r="S49" i="17" s="1"/>
  <c r="N47" i="17" a="1"/>
  <c r="N47" i="17" s="1"/>
  <c r="N49" i="17" s="1"/>
  <c r="I47" i="17" a="1"/>
  <c r="I47" i="17" s="1"/>
  <c r="I49" i="17" s="1"/>
  <c r="X47" i="17" a="1"/>
  <c r="X47" i="17" s="1"/>
  <c r="AK47" i="17" a="1"/>
  <c r="AK47" i="17" s="1"/>
  <c r="AO47" i="17" a="1"/>
  <c r="AO47" i="17" s="1"/>
  <c r="AN47" i="17" a="1"/>
  <c r="AN47" i="17" s="1"/>
  <c r="M47" i="17" a="1"/>
  <c r="M47" i="17" s="1"/>
  <c r="M49" i="17" s="1"/>
  <c r="R47" i="17" a="1"/>
  <c r="R47" i="17" s="1"/>
  <c r="R49" i="17" s="1"/>
  <c r="U47" i="17" a="1"/>
  <c r="U47" i="17" s="1"/>
  <c r="K47" i="17" a="1"/>
  <c r="K47" i="17" s="1"/>
  <c r="K49" i="17" s="1"/>
  <c r="AM47" i="17" a="1"/>
  <c r="AM47" i="17" s="1"/>
  <c r="AB47" i="17" a="1"/>
  <c r="AB47" i="17" s="1"/>
  <c r="AO59" i="16"/>
  <c r="AI59" i="16"/>
  <c r="AI334" i="16"/>
  <c r="AI600" i="16"/>
  <c r="H426" i="16"/>
  <c r="AM59" i="16"/>
  <c r="AM600" i="16"/>
  <c r="AM334" i="16"/>
  <c r="AC444" i="16"/>
  <c r="AO334" i="16"/>
  <c r="AK334" i="16"/>
  <c r="AK600" i="16"/>
  <c r="T34" i="16"/>
  <c r="T37" i="16" s="1"/>
  <c r="AK59" i="16"/>
  <c r="AO600" i="16"/>
  <c r="L612" i="16" a="1"/>
  <c r="L612" i="16" s="1"/>
  <c r="T612" i="16" a="1"/>
  <c r="T612" i="16" s="1"/>
  <c r="AB612" i="16" a="1"/>
  <c r="AB612" i="16" s="1"/>
  <c r="AJ612" i="16" a="1"/>
  <c r="AJ612" i="16" s="1"/>
  <c r="M612" i="16" a="1"/>
  <c r="M612" i="16" s="1"/>
  <c r="U612" i="16" a="1"/>
  <c r="U612" i="16" s="1"/>
  <c r="AC612" i="16" a="1"/>
  <c r="AC612" i="16" s="1"/>
  <c r="AK612" i="16" a="1"/>
  <c r="AK612" i="16" s="1"/>
  <c r="O612" i="16" a="1"/>
  <c r="O612" i="16" s="1"/>
  <c r="W612" i="16" a="1"/>
  <c r="W612" i="16" s="1"/>
  <c r="AE612" i="16" a="1"/>
  <c r="AE612" i="16" s="1"/>
  <c r="AM612" i="16" a="1"/>
  <c r="AM612" i="16" s="1"/>
  <c r="P612" i="16" a="1"/>
  <c r="P612" i="16" s="1"/>
  <c r="X612" i="16" a="1"/>
  <c r="X612" i="16" s="1"/>
  <c r="AF612" i="16" a="1"/>
  <c r="AF612" i="16" s="1"/>
  <c r="AN612" i="16" a="1"/>
  <c r="AN612" i="16" s="1"/>
  <c r="Q612" i="16" a="1"/>
  <c r="Q612" i="16" s="1"/>
  <c r="Y612" i="16" a="1"/>
  <c r="Y612" i="16" s="1"/>
  <c r="AG612" i="16" a="1"/>
  <c r="AG612" i="16" s="1"/>
  <c r="AO612" i="16" a="1"/>
  <c r="AO612" i="16" s="1"/>
  <c r="J612" i="16" a="1"/>
  <c r="J612" i="16" s="1"/>
  <c r="R612" i="16" a="1"/>
  <c r="R612" i="16" s="1"/>
  <c r="Z612" i="16" a="1"/>
  <c r="Z612" i="16" s="1"/>
  <c r="AH612" i="16" a="1"/>
  <c r="AH612" i="16" s="1"/>
  <c r="I612" i="16" a="1"/>
  <c r="I612" i="16" s="1"/>
  <c r="K612" i="16" a="1"/>
  <c r="K612" i="16" s="1"/>
  <c r="S612" i="16" a="1"/>
  <c r="S612" i="16" s="1"/>
  <c r="AA612" i="16" a="1"/>
  <c r="AA612" i="16" s="1"/>
  <c r="AI612" i="16" a="1"/>
  <c r="AI612" i="16" s="1"/>
  <c r="N612" i="16" a="1"/>
  <c r="N612" i="16" s="1"/>
  <c r="V612" i="16" a="1"/>
  <c r="V612" i="16" s="1"/>
  <c r="AF739" i="15" a="1"/>
  <c r="AF739" i="15" s="1"/>
  <c r="AD612" i="16" a="1"/>
  <c r="AD612" i="16" s="1"/>
  <c r="AM739" i="15" a="1"/>
  <c r="AM739" i="15" s="1"/>
  <c r="AL612" i="16" a="1"/>
  <c r="AL612" i="16" s="1"/>
  <c r="K739" i="15" a="1"/>
  <c r="K739" i="15" s="1"/>
  <c r="T739" i="15" a="1"/>
  <c r="T739" i="15" s="1"/>
  <c r="AK739" i="15" a="1"/>
  <c r="AK739" i="15" s="1"/>
  <c r="AN739" i="15" a="1"/>
  <c r="AN739" i="15" s="1"/>
  <c r="O739" i="15" a="1"/>
  <c r="O739" i="15" s="1"/>
  <c r="AB739" i="15" a="1"/>
  <c r="AB739" i="15" s="1"/>
  <c r="L739" i="15" a="1"/>
  <c r="L739" i="15" s="1"/>
  <c r="AG739" i="15" a="1"/>
  <c r="AG739" i="15" s="1"/>
  <c r="Z739" i="15" a="1"/>
  <c r="Z739" i="15" s="1"/>
  <c r="AI739" i="15" a="1"/>
  <c r="AI739" i="15" s="1"/>
  <c r="W739" i="15" a="1"/>
  <c r="W739" i="15" s="1"/>
  <c r="Y739" i="15" a="1"/>
  <c r="Y739" i="15" s="1"/>
  <c r="N739" i="15" a="1"/>
  <c r="N739" i="15" s="1"/>
  <c r="AO739" i="15" a="1"/>
  <c r="AO739" i="15" s="1"/>
  <c r="U739" i="15" a="1"/>
  <c r="U739" i="15" s="1"/>
  <c r="AE739" i="15" a="1"/>
  <c r="AE739" i="15" s="1"/>
  <c r="X739" i="15" a="1"/>
  <c r="X739" i="15" s="1"/>
  <c r="P739" i="15" a="1"/>
  <c r="P739" i="15" s="1"/>
  <c r="I739" i="15" a="1"/>
  <c r="I739" i="15" s="1"/>
  <c r="AC739" i="15" a="1"/>
  <c r="AC739" i="15" s="1"/>
  <c r="AL739" i="15" a="1"/>
  <c r="AL739" i="15" s="1"/>
  <c r="AD739" i="15" a="1"/>
  <c r="AD739" i="15" s="1"/>
  <c r="Q739" i="15" a="1"/>
  <c r="Q739" i="15" s="1"/>
  <c r="S739" i="15" a="1"/>
  <c r="S739" i="15" s="1"/>
  <c r="AJ739" i="15" a="1"/>
  <c r="AJ739" i="15" s="1"/>
  <c r="M739" i="15" a="1"/>
  <c r="M739" i="15" s="1"/>
  <c r="J739" i="15" a="1"/>
  <c r="J739" i="15" s="1"/>
  <c r="R739" i="15" a="1"/>
  <c r="R739" i="15" s="1"/>
  <c r="AA739" i="15" a="1"/>
  <c r="AA739" i="15" s="1"/>
  <c r="V739" i="15" a="1"/>
  <c r="V739" i="15" s="1"/>
  <c r="AH739" i="15" a="1"/>
  <c r="AH739" i="15" s="1"/>
  <c r="Y850" i="15"/>
  <c r="Q850" i="15"/>
  <c r="V532" i="15"/>
  <c r="N532" i="15"/>
  <c r="X850" i="15"/>
  <c r="P850" i="15"/>
  <c r="U532" i="15"/>
  <c r="M532" i="15"/>
  <c r="I850" i="15"/>
  <c r="W850" i="15"/>
  <c r="O850" i="15"/>
  <c r="AB532" i="15"/>
  <c r="T532" i="15"/>
  <c r="L532" i="15"/>
  <c r="V850" i="15"/>
  <c r="N850" i="15"/>
  <c r="AA532" i="15"/>
  <c r="S532" i="15"/>
  <c r="K532" i="15"/>
  <c r="U850" i="15"/>
  <c r="M850" i="15"/>
  <c r="I532" i="15"/>
  <c r="Z532" i="15"/>
  <c r="R532" i="15"/>
  <c r="J532" i="15"/>
  <c r="AB850" i="15"/>
  <c r="T850" i="15"/>
  <c r="L850" i="15"/>
  <c r="Y532" i="15"/>
  <c r="Q532" i="15"/>
  <c r="AA850" i="15"/>
  <c r="S850" i="15"/>
  <c r="K850" i="15"/>
  <c r="X532" i="15"/>
  <c r="P532" i="15"/>
  <c r="Z850" i="15"/>
  <c r="R850" i="15"/>
  <c r="J850" i="15"/>
  <c r="W532" i="15"/>
  <c r="O532" i="15"/>
  <c r="AF26" i="15"/>
  <c r="AF27" i="15"/>
  <c r="AF28" i="15"/>
  <c r="AN98" i="15" a="1"/>
  <c r="AN98" i="15" s="1"/>
  <c r="J210" i="9" a="1"/>
  <c r="J210" i="9" s="1"/>
  <c r="AM98" i="15" a="1"/>
  <c r="AM98" i="15" s="1"/>
  <c r="K210" i="9" a="1"/>
  <c r="K210" i="9" s="1"/>
  <c r="S210" i="9" a="1"/>
  <c r="S210" i="9" s="1"/>
  <c r="AA210" i="9" a="1"/>
  <c r="AA210" i="9" s="1"/>
  <c r="AI210" i="9" a="1"/>
  <c r="AI210" i="9" s="1"/>
  <c r="L210" i="9" a="1"/>
  <c r="L210" i="9" s="1"/>
  <c r="T210" i="9" a="1"/>
  <c r="T210" i="9" s="1"/>
  <c r="AB210" i="9" a="1"/>
  <c r="AB210" i="9" s="1"/>
  <c r="AJ210" i="9" a="1"/>
  <c r="AJ210" i="9" s="1"/>
  <c r="N210" i="9" a="1"/>
  <c r="N210" i="9" s="1"/>
  <c r="V210" i="9" a="1"/>
  <c r="V210" i="9" s="1"/>
  <c r="AD210" i="9" a="1"/>
  <c r="AD210" i="9" s="1"/>
  <c r="AL210" i="9" a="1"/>
  <c r="AL210" i="9" s="1"/>
  <c r="O210" i="9" a="1"/>
  <c r="O210" i="9" s="1"/>
  <c r="W210" i="9" a="1"/>
  <c r="W210" i="9" s="1"/>
  <c r="AE210" i="9" a="1"/>
  <c r="AE210" i="9" s="1"/>
  <c r="AM210" i="9" a="1"/>
  <c r="AM210" i="9" s="1"/>
  <c r="AF210" i="9" a="1"/>
  <c r="AF210" i="9" s="1"/>
  <c r="Q210" i="9" a="1"/>
  <c r="Q210" i="9" s="1"/>
  <c r="R210" i="9" a="1"/>
  <c r="R210" i="9" s="1"/>
  <c r="AH210" i="9" a="1"/>
  <c r="AH210" i="9" s="1"/>
  <c r="U210" i="9" a="1"/>
  <c r="U210" i="9" s="1"/>
  <c r="AK210" i="9" a="1"/>
  <c r="AK210" i="9" s="1"/>
  <c r="Y210" i="9" a="1"/>
  <c r="Y210" i="9" s="1"/>
  <c r="X210" i="9" a="1"/>
  <c r="X210" i="9" s="1"/>
  <c r="AN210" i="9" a="1"/>
  <c r="AN210" i="9" s="1"/>
  <c r="AO210" i="9" a="1"/>
  <c r="AO210" i="9" s="1"/>
  <c r="AC210" i="9" a="1"/>
  <c r="AC210" i="9" s="1"/>
  <c r="P210" i="9" a="1"/>
  <c r="P210" i="9" s="1"/>
  <c r="I210" i="9" a="1"/>
  <c r="I210" i="9" s="1"/>
  <c r="Z210" i="9" a="1"/>
  <c r="Z210" i="9" s="1"/>
  <c r="M210" i="9" a="1"/>
  <c r="M210" i="9" s="1"/>
  <c r="AG210" i="9" a="1"/>
  <c r="AG210" i="9" s="1"/>
  <c r="AE34" i="9" a="1"/>
  <c r="AE34" i="9" s="1"/>
  <c r="AO34" i="9" a="1"/>
  <c r="AO34" i="9" s="1"/>
  <c r="AL34" i="9" a="1"/>
  <c r="AL34" i="9" s="1"/>
  <c r="AF34" i="9" a="1"/>
  <c r="AF34" i="9" s="1"/>
  <c r="AG34" i="9" a="1"/>
  <c r="AG34" i="9" s="1"/>
  <c r="AC34" i="9" a="1"/>
  <c r="AC34" i="9" s="1"/>
  <c r="AM34" i="9" a="1"/>
  <c r="AM34" i="9" s="1"/>
  <c r="AI34" i="9" a="1"/>
  <c r="AI34" i="9" s="1"/>
  <c r="AH34" i="9" a="1"/>
  <c r="AH34" i="9" s="1"/>
  <c r="AK34" i="9" a="1"/>
  <c r="AK34" i="9" s="1"/>
  <c r="AD34" i="9" a="1"/>
  <c r="AD34" i="9" s="1"/>
  <c r="AN34" i="9" a="1"/>
  <c r="AN34" i="9" s="1"/>
  <c r="AJ34" i="9" a="1"/>
  <c r="AJ34" i="9" s="1"/>
  <c r="U221" i="8" a="1"/>
  <c r="U221" i="8" s="1"/>
  <c r="AA221" i="8" a="1"/>
  <c r="AA221" i="8" s="1"/>
  <c r="AF221" i="8" a="1"/>
  <c r="AF221" i="8" s="1"/>
  <c r="AE221" i="8" a="1"/>
  <c r="AE221" i="8" s="1"/>
  <c r="I221" i="8" a="1"/>
  <c r="I221" i="8" s="1"/>
  <c r="P221" i="8" a="1"/>
  <c r="P221" i="8" s="1"/>
  <c r="AL221" i="8" a="1"/>
  <c r="AL221" i="8" s="1"/>
  <c r="Y221" i="8" a="1"/>
  <c r="Y221" i="8" s="1"/>
  <c r="AJ221" i="8" a="1"/>
  <c r="AJ221" i="8" s="1"/>
  <c r="AO221" i="8" a="1"/>
  <c r="AO221" i="8" s="1"/>
  <c r="R221" i="8" a="1"/>
  <c r="R221" i="8" s="1"/>
  <c r="W221" i="8" a="1"/>
  <c r="W221" i="8" s="1"/>
  <c r="AH221" i="8" a="1"/>
  <c r="AH221" i="8" s="1"/>
  <c r="N221" i="8" a="1"/>
  <c r="N221" i="8" s="1"/>
  <c r="L221" i="8" a="1"/>
  <c r="L221" i="8" s="1"/>
  <c r="Q221" i="8" a="1"/>
  <c r="Q221" i="8" s="1"/>
  <c r="AB221" i="8" a="1"/>
  <c r="AB221" i="8" s="1"/>
  <c r="S221" i="8" a="1"/>
  <c r="S221" i="8" s="1"/>
  <c r="V221" i="8" a="1"/>
  <c r="V221" i="8" s="1"/>
  <c r="O221" i="8" a="1"/>
  <c r="O221" i="8" s="1"/>
  <c r="AM221" i="8" a="1"/>
  <c r="AM221" i="8" s="1"/>
  <c r="AK221" i="8" a="1"/>
  <c r="AK221" i="8" s="1"/>
  <c r="J221" i="8" a="1"/>
  <c r="J221" i="8" s="1"/>
  <c r="AN221" i="8" a="1"/>
  <c r="AN221" i="8" s="1"/>
  <c r="M221" i="8" a="1"/>
  <c r="M221" i="8" s="1"/>
  <c r="AG221" i="8" a="1"/>
  <c r="AG221" i="8" s="1"/>
  <c r="AD221" i="8" a="1"/>
  <c r="AD221" i="8" s="1"/>
  <c r="AI221" i="8" a="1"/>
  <c r="AI221" i="8" s="1"/>
  <c r="T221" i="8" a="1"/>
  <c r="T221" i="8" s="1"/>
  <c r="Z221" i="8" a="1"/>
  <c r="Z221" i="8" s="1"/>
  <c r="X221" i="8" a="1"/>
  <c r="X221" i="8" s="1"/>
  <c r="AC221" i="8" a="1"/>
  <c r="AC221" i="8" s="1"/>
  <c r="K221" i="8" a="1"/>
  <c r="K221" i="8" s="1"/>
  <c r="AK40" i="8" a="1"/>
  <c r="AK40" i="8" s="1"/>
  <c r="AE40" i="8" a="1"/>
  <c r="AE40" i="8" s="1"/>
  <c r="AL40" i="8" a="1"/>
  <c r="AL40" i="8" s="1"/>
  <c r="AJ40" i="8" a="1"/>
  <c r="AJ40" i="8" s="1"/>
  <c r="AF40" i="8" a="1"/>
  <c r="AF40" i="8" s="1"/>
  <c r="AD40" i="8" a="1"/>
  <c r="AD40" i="8" s="1"/>
  <c r="AG40" i="8" a="1"/>
  <c r="AG40" i="8" s="1"/>
  <c r="AM40" i="8" a="1"/>
  <c r="AM40" i="8" s="1"/>
  <c r="AH40" i="8" a="1"/>
  <c r="AH40" i="8" s="1"/>
  <c r="AN40" i="8" a="1"/>
  <c r="AN40" i="8" s="1"/>
  <c r="AO40" i="8" a="1"/>
  <c r="AO40" i="8" s="1"/>
  <c r="AC40" i="8" a="1"/>
  <c r="AC40" i="8" s="1"/>
  <c r="AI40" i="8" a="1"/>
  <c r="AI40" i="8" s="1"/>
  <c r="T37" i="7" a="1"/>
  <c r="T37" i="7" s="1"/>
  <c r="M37" i="7" a="1"/>
  <c r="M37" i="7" s="1"/>
  <c r="M214" i="7" a="1"/>
  <c r="M214" i="7" s="1"/>
  <c r="J37" i="7" a="1"/>
  <c r="J37" i="7" s="1"/>
  <c r="R214" i="7" a="1"/>
  <c r="R214" i="7" s="1"/>
  <c r="X214" i="7" a="1"/>
  <c r="X214" i="7" s="1"/>
  <c r="J214" i="7" a="1"/>
  <c r="J214" i="7" s="1"/>
  <c r="O214" i="7" a="1"/>
  <c r="O214" i="7" s="1"/>
  <c r="I37" i="7" a="1"/>
  <c r="I37" i="7" s="1"/>
  <c r="I214" i="7" a="1"/>
  <c r="I214" i="7" s="1"/>
  <c r="AA37" i="7" a="1"/>
  <c r="AA37" i="7" s="1"/>
  <c r="Z37" i="7" a="1"/>
  <c r="Z37" i="7" s="1"/>
  <c r="Y37" i="7" a="1"/>
  <c r="Y37" i="7" s="1"/>
  <c r="V37" i="7" a="1"/>
  <c r="V37" i="7" s="1"/>
  <c r="AB37" i="7" a="1"/>
  <c r="AB37" i="7" s="1"/>
  <c r="U37" i="7" a="1"/>
  <c r="U37" i="7" s="1"/>
  <c r="Z214" i="7" a="1"/>
  <c r="Z214" i="7" s="1"/>
  <c r="R37" i="7" a="1"/>
  <c r="R37" i="7" s="1"/>
  <c r="P37" i="7" a="1"/>
  <c r="P37" i="7" s="1"/>
  <c r="O37" i="7" a="1"/>
  <c r="O37" i="7" s="1"/>
  <c r="N37" i="7" a="1"/>
  <c r="N37" i="7" s="1"/>
  <c r="U214" i="7" a="1"/>
  <c r="U214" i="7" s="1"/>
  <c r="L37" i="7" a="1"/>
  <c r="L37" i="7" s="1"/>
  <c r="W214" i="7" a="1"/>
  <c r="W214" i="7" s="1"/>
  <c r="AB214" i="7" a="1"/>
  <c r="AB214" i="7" s="1"/>
  <c r="AA214" i="7" a="1"/>
  <c r="AA214" i="7" s="1"/>
  <c r="P214" i="7" a="1"/>
  <c r="P214" i="7" s="1"/>
  <c r="Y214" i="7" a="1"/>
  <c r="Y214" i="7" s="1"/>
  <c r="K37" i="7" a="1"/>
  <c r="K37" i="7" s="1"/>
  <c r="V214" i="7" a="1"/>
  <c r="V214" i="7" s="1"/>
  <c r="K214" i="7" a="1"/>
  <c r="K214" i="7" s="1"/>
  <c r="T214" i="7" a="1"/>
  <c r="T214" i="7" s="1"/>
  <c r="W37" i="7" a="1"/>
  <c r="W37" i="7" s="1"/>
  <c r="Q214" i="7" a="1"/>
  <c r="Q214" i="7" s="1"/>
  <c r="X37" i="7" a="1"/>
  <c r="X37" i="7" s="1"/>
  <c r="S37" i="7" a="1"/>
  <c r="S37" i="7" s="1"/>
  <c r="N214" i="7" a="1"/>
  <c r="N214" i="7" s="1"/>
  <c r="Q37" i="7" a="1"/>
  <c r="Q37" i="7" s="1"/>
  <c r="L214" i="7" a="1"/>
  <c r="L214" i="7" s="1"/>
  <c r="S214" i="7" a="1"/>
  <c r="S214" i="7" s="1"/>
  <c r="AF72" i="16" a="1"/>
  <c r="AF72" i="16" s="1"/>
  <c r="AA72" i="16" a="1"/>
  <c r="AA72" i="16" s="1"/>
  <c r="V72" i="16" a="1"/>
  <c r="V72" i="16" s="1"/>
  <c r="Y72" i="16" a="1"/>
  <c r="Y72" i="16" s="1"/>
  <c r="AL72" i="16" a="1"/>
  <c r="AL72" i="16" s="1"/>
  <c r="AN72" i="16" a="1"/>
  <c r="AN72" i="16" s="1"/>
  <c r="AC72" i="16" a="1"/>
  <c r="AC72" i="16" s="1"/>
  <c r="K72" i="16" a="1"/>
  <c r="K72" i="16" s="1"/>
  <c r="T72" i="16" a="1"/>
  <c r="T72" i="16" s="1"/>
  <c r="O72" i="16" a="1"/>
  <c r="O72" i="16" s="1"/>
  <c r="AI72" i="16" a="1"/>
  <c r="AI72" i="16" s="1"/>
  <c r="X72" i="16" a="1"/>
  <c r="X72" i="16" s="1"/>
  <c r="Z72" i="16" a="1"/>
  <c r="Z72" i="16" s="1"/>
  <c r="AB72" i="16" a="1"/>
  <c r="AB72" i="16" s="1"/>
  <c r="J72" i="16" a="1"/>
  <c r="J72" i="16" s="1"/>
  <c r="AD72" i="16" a="1"/>
  <c r="AD72" i="16" s="1"/>
  <c r="AG72" i="16" a="1"/>
  <c r="AG72" i="16" s="1"/>
  <c r="AH72" i="16" a="1"/>
  <c r="AH72" i="16" s="1"/>
  <c r="Q72" i="16" a="1"/>
  <c r="Q72" i="16" s="1"/>
  <c r="AK72" i="16" a="1"/>
  <c r="AK72" i="16" s="1"/>
  <c r="AM72" i="16" a="1"/>
  <c r="AM72" i="16" s="1"/>
  <c r="AO72" i="16" a="1"/>
  <c r="AO72" i="16" s="1"/>
  <c r="W72" i="16" a="1"/>
  <c r="W72" i="16" s="1"/>
  <c r="R72" i="16" a="1"/>
  <c r="R72" i="16" s="1"/>
  <c r="M72" i="16" a="1"/>
  <c r="M72" i="16" s="1"/>
  <c r="N72" i="16" a="1"/>
  <c r="N72" i="16" s="1"/>
  <c r="L72" i="16" a="1"/>
  <c r="L72" i="16" s="1"/>
  <c r="AJ72" i="16" a="1"/>
  <c r="AJ72" i="16" s="1"/>
  <c r="AE72" i="16" a="1"/>
  <c r="AE72" i="16" s="1"/>
  <c r="S72" i="16" a="1"/>
  <c r="S72" i="16" s="1"/>
  <c r="U72" i="16" a="1"/>
  <c r="U72" i="16" s="1"/>
  <c r="P72" i="16" a="1"/>
  <c r="P72" i="16" s="1"/>
  <c r="I72" i="16" a="1"/>
  <c r="I72" i="16" s="1"/>
  <c r="L34" i="9" a="1"/>
  <c r="L34" i="9" s="1"/>
  <c r="V34" i="9" a="1"/>
  <c r="V34" i="9" s="1"/>
  <c r="J34" i="9" a="1"/>
  <c r="J34" i="9" s="1"/>
  <c r="W34" i="9" a="1"/>
  <c r="W34" i="9" s="1"/>
  <c r="S34" i="9" a="1"/>
  <c r="S34" i="9" s="1"/>
  <c r="U34" i="9" a="1"/>
  <c r="U34" i="9" s="1"/>
  <c r="AB34" i="9" a="1"/>
  <c r="AB34" i="9" s="1"/>
  <c r="Q34" i="9" a="1"/>
  <c r="Q34" i="9" s="1"/>
  <c r="M34" i="9" a="1"/>
  <c r="M34" i="9" s="1"/>
  <c r="N34" i="9" a="1"/>
  <c r="N34" i="9" s="1"/>
  <c r="R34" i="9" a="1"/>
  <c r="R34" i="9" s="1"/>
  <c r="T34" i="9" a="1"/>
  <c r="T34" i="9" s="1"/>
  <c r="X34" i="9" a="1"/>
  <c r="X34" i="9" s="1"/>
  <c r="Y34" i="9" a="1"/>
  <c r="Y34" i="9" s="1"/>
  <c r="K34" i="9" a="1"/>
  <c r="K34" i="9" s="1"/>
  <c r="I34" i="9" a="1"/>
  <c r="I34" i="9" s="1"/>
  <c r="P34" i="9" a="1"/>
  <c r="P34" i="9" s="1"/>
  <c r="AA34" i="9" a="1"/>
  <c r="AA34" i="9" s="1"/>
  <c r="Z34" i="9" a="1"/>
  <c r="Z34" i="9" s="1"/>
  <c r="O34" i="9" a="1"/>
  <c r="O34" i="9" s="1"/>
  <c r="J40" i="8" a="1"/>
  <c r="J40" i="8" s="1"/>
  <c r="U40" i="8" a="1"/>
  <c r="U40" i="8" s="1"/>
  <c r="T40" i="8" a="1"/>
  <c r="T40" i="8" s="1"/>
  <c r="Q40" i="8" a="1"/>
  <c r="Q40" i="8" s="1"/>
  <c r="O40" i="8" a="1"/>
  <c r="O40" i="8" s="1"/>
  <c r="Z40" i="8" a="1"/>
  <c r="Z40" i="8" s="1"/>
  <c r="W40" i="8" a="1"/>
  <c r="W40" i="8" s="1"/>
  <c r="P40" i="8" a="1"/>
  <c r="P40" i="8" s="1"/>
  <c r="N40" i="8" a="1"/>
  <c r="N40" i="8" s="1"/>
  <c r="K40" i="8" a="1"/>
  <c r="K40" i="8" s="1"/>
  <c r="M40" i="8" a="1"/>
  <c r="M40" i="8" s="1"/>
  <c r="V40" i="8" a="1"/>
  <c r="V40" i="8" s="1"/>
  <c r="X40" i="8" a="1"/>
  <c r="X40" i="8" s="1"/>
  <c r="S40" i="8" a="1"/>
  <c r="S40" i="8" s="1"/>
  <c r="L40" i="8" a="1"/>
  <c r="L40" i="8" s="1"/>
  <c r="AA40" i="8" a="1"/>
  <c r="AA40" i="8" s="1"/>
  <c r="R40" i="8" a="1"/>
  <c r="R40" i="8" s="1"/>
  <c r="AB40" i="8" a="1"/>
  <c r="AB40" i="8" s="1"/>
  <c r="Y40" i="8" a="1"/>
  <c r="Y40" i="8" s="1"/>
  <c r="I40" i="8" a="1"/>
  <c r="I40" i="8" s="1"/>
  <c r="AC223" i="15"/>
  <c r="AA211" i="15"/>
  <c r="Z211" i="15"/>
  <c r="AB211" i="15"/>
  <c r="U211" i="15"/>
  <c r="V211" i="15"/>
  <c r="W211" i="15"/>
  <c r="X211" i="15"/>
  <c r="Y211" i="15"/>
  <c r="AC98" i="15" a="1"/>
  <c r="AC98" i="15" s="1"/>
  <c r="X98" i="15" a="1"/>
  <c r="X98" i="15" s="1"/>
  <c r="N98" i="15" a="1"/>
  <c r="N98" i="15" s="1"/>
  <c r="I98" i="15" a="1"/>
  <c r="I98" i="15" s="1"/>
  <c r="AJ98" i="15" a="1"/>
  <c r="AJ98" i="15" s="1"/>
  <c r="T98" i="15" a="1"/>
  <c r="T98" i="15" s="1"/>
  <c r="J98" i="15" a="1"/>
  <c r="J98" i="15" s="1"/>
  <c r="AA98" i="15" a="1"/>
  <c r="AA98" i="15" s="1"/>
  <c r="AK98" i="15" a="1"/>
  <c r="AK98" i="15" s="1"/>
  <c r="M98" i="15" a="1"/>
  <c r="M98" i="15" s="1"/>
  <c r="AG98" i="15" a="1"/>
  <c r="AG98" i="15" s="1"/>
  <c r="AD98" i="15" a="1"/>
  <c r="AD98" i="15" s="1"/>
  <c r="P98" i="15" a="1"/>
  <c r="P98" i="15" s="1"/>
  <c r="O98" i="15" a="1"/>
  <c r="O98" i="15" s="1"/>
  <c r="K98" i="15" a="1"/>
  <c r="K98" i="15" s="1"/>
  <c r="AE98" i="15" a="1"/>
  <c r="AE98" i="15" s="1"/>
  <c r="L98" i="15" a="1"/>
  <c r="L98" i="15" s="1"/>
  <c r="S98" i="15" a="1"/>
  <c r="S98" i="15" s="1"/>
  <c r="R98" i="15" a="1"/>
  <c r="R98" i="15" s="1"/>
  <c r="AH98" i="15" a="1"/>
  <c r="AH98" i="15" s="1"/>
  <c r="AF98" i="15" a="1"/>
  <c r="AF98" i="15" s="1"/>
  <c r="W98" i="15" a="1"/>
  <c r="W98" i="15" s="1"/>
  <c r="Y98" i="15" a="1"/>
  <c r="Y98" i="15" s="1"/>
  <c r="AI98" i="15" a="1"/>
  <c r="AI98" i="15" s="1"/>
  <c r="AL98" i="15" a="1"/>
  <c r="AL98" i="15" s="1"/>
  <c r="Z98" i="15" a="1"/>
  <c r="Z98" i="15" s="1"/>
  <c r="U98" i="15" a="1"/>
  <c r="U98" i="15" s="1"/>
  <c r="AO98" i="15" a="1"/>
  <c r="AO98" i="15" s="1"/>
  <c r="V98" i="15" a="1"/>
  <c r="V98" i="15" s="1"/>
  <c r="Q98" i="15" a="1"/>
  <c r="Q98" i="15" s="1"/>
  <c r="AB98" i="15" a="1"/>
  <c r="AB98" i="15" s="1"/>
  <c r="I80" i="15"/>
  <c r="AD10" i="17"/>
  <c r="AD11" i="17" s="1"/>
  <c r="AE10" i="17"/>
  <c r="AE11" i="17" s="1"/>
  <c r="AF10" i="17"/>
  <c r="AF11" i="17" s="1"/>
  <c r="AN10" i="17"/>
  <c r="AN11" i="17" s="1"/>
  <c r="AN11" i="15" s="1"/>
  <c r="AN17" i="15" s="1"/>
  <c r="AN18" i="15" s="1"/>
  <c r="AN73" i="15" s="1"/>
  <c r="AH10" i="17"/>
  <c r="AH11" i="17" s="1"/>
  <c r="AG10" i="17"/>
  <c r="AG11" i="17" s="1"/>
  <c r="AO10" i="17"/>
  <c r="AO11" i="17" s="1"/>
  <c r="AI10" i="17"/>
  <c r="AI11" i="17" s="1"/>
  <c r="AM10" i="17"/>
  <c r="AM11" i="17" s="1"/>
  <c r="AM11" i="15" s="1"/>
  <c r="AM17" i="15" s="1"/>
  <c r="AM18" i="15" s="1"/>
  <c r="AM73" i="15" s="1"/>
  <c r="AJ10" i="17"/>
  <c r="AJ11" i="17" s="1"/>
  <c r="AL10" i="17"/>
  <c r="AL11" i="17" s="1"/>
  <c r="AC10" i="17"/>
  <c r="AC11" i="17" s="1"/>
  <c r="AK10" i="17"/>
  <c r="AK11" i="17" s="1"/>
  <c r="K211" i="15"/>
  <c r="I211" i="15"/>
  <c r="H190" i="15"/>
  <c r="E266" i="5"/>
  <c r="I340" i="14" s="1"/>
  <c r="E330" i="5"/>
  <c r="I851" i="15" s="1"/>
  <c r="T46" i="15"/>
  <c r="M10" i="17"/>
  <c r="M11" i="17" s="1"/>
  <c r="J211" i="15"/>
  <c r="Q211" i="15"/>
  <c r="P211" i="15"/>
  <c r="O211" i="15"/>
  <c r="R211" i="15"/>
  <c r="N211" i="15"/>
  <c r="M211" i="15"/>
  <c r="T211" i="15"/>
  <c r="L211" i="15"/>
  <c r="S211" i="15"/>
  <c r="X10" i="17"/>
  <c r="X11" i="17" s="1"/>
  <c r="P10" i="17"/>
  <c r="P11" i="17" s="1"/>
  <c r="AB10" i="17"/>
  <c r="AB11" i="17" s="1"/>
  <c r="T10" i="17"/>
  <c r="T11" i="17" s="1"/>
  <c r="L10" i="17"/>
  <c r="L11" i="17" s="1"/>
  <c r="J10" i="17"/>
  <c r="J11" i="17" s="1"/>
  <c r="AA10" i="17"/>
  <c r="AA11" i="17" s="1"/>
  <c r="S10" i="17"/>
  <c r="S11" i="17" s="1"/>
  <c r="K10" i="17"/>
  <c r="K11" i="17" s="1"/>
  <c r="I10" i="17"/>
  <c r="Z10" i="17"/>
  <c r="Z11" i="17" s="1"/>
  <c r="R10" i="17"/>
  <c r="R11" i="17" s="1"/>
  <c r="Y10" i="17"/>
  <c r="Y11" i="17" s="1"/>
  <c r="Q10" i="17"/>
  <c r="Q11" i="17" s="1"/>
  <c r="W10" i="17"/>
  <c r="W11" i="17" s="1"/>
  <c r="O10" i="17"/>
  <c r="O11" i="17" s="1"/>
  <c r="V10" i="17"/>
  <c r="V11" i="17" s="1"/>
  <c r="N10" i="17"/>
  <c r="N11" i="17" s="1"/>
  <c r="U10" i="17"/>
  <c r="U11" i="17" s="1"/>
  <c r="S38" i="16" l="1"/>
  <c r="S691" i="15"/>
  <c r="S698" i="15" s="1"/>
  <c r="S371" i="15"/>
  <c r="S48" i="15"/>
  <c r="S50" i="15" s="1"/>
  <c r="S57" i="15" s="1"/>
  <c r="J693" i="16"/>
  <c r="AA693" i="16"/>
  <c r="AC228" i="15"/>
  <c r="E579" i="16"/>
  <c r="D579" i="16"/>
  <c r="L693" i="16"/>
  <c r="Y693" i="16"/>
  <c r="S693" i="16"/>
  <c r="T693" i="16"/>
  <c r="W693" i="16"/>
  <c r="N693" i="16"/>
  <c r="M693" i="16"/>
  <c r="Q693" i="16"/>
  <c r="R693" i="16"/>
  <c r="V693" i="16"/>
  <c r="K693" i="16"/>
  <c r="AB693" i="16"/>
  <c r="U693" i="16"/>
  <c r="I693" i="16"/>
  <c r="X693" i="16"/>
  <c r="Z693" i="16"/>
  <c r="O693" i="16"/>
  <c r="X195" i="14"/>
  <c r="U195" i="14"/>
  <c r="AA195" i="14"/>
  <c r="Y195" i="14"/>
  <c r="W195" i="14"/>
  <c r="AB195" i="14"/>
  <c r="V195" i="14"/>
  <c r="Z195" i="14"/>
  <c r="Z340" i="14"/>
  <c r="Y340" i="14"/>
  <c r="AA340" i="14"/>
  <c r="U340" i="14"/>
  <c r="AB340" i="14"/>
  <c r="W340" i="14"/>
  <c r="X340" i="14"/>
  <c r="V340" i="14"/>
  <c r="AH49" i="17"/>
  <c r="AH50" i="17"/>
  <c r="AH48" i="17"/>
  <c r="U49" i="17"/>
  <c r="U50" i="17"/>
  <c r="U48" i="17"/>
  <c r="AD49" i="17"/>
  <c r="AD50" i="17"/>
  <c r="AD48" i="17"/>
  <c r="AI49" i="17"/>
  <c r="AI50" i="17"/>
  <c r="AI48" i="17"/>
  <c r="AA49" i="17"/>
  <c r="AA50" i="17"/>
  <c r="AA48" i="17"/>
  <c r="AG49" i="17"/>
  <c r="AG50" i="17"/>
  <c r="AG48" i="17"/>
  <c r="AL49" i="17"/>
  <c r="AL48" i="17"/>
  <c r="AL50" i="17"/>
  <c r="AN49" i="17"/>
  <c r="AN48" i="17"/>
  <c r="AN50" i="17"/>
  <c r="Z49" i="17"/>
  <c r="Z48" i="17"/>
  <c r="Z50" i="17"/>
  <c r="AC49" i="17"/>
  <c r="AC50" i="17"/>
  <c r="AC48" i="17"/>
  <c r="X49" i="17"/>
  <c r="X50" i="17"/>
  <c r="X48" i="17"/>
  <c r="W49" i="17"/>
  <c r="W50" i="17"/>
  <c r="W48" i="17"/>
  <c r="AO49" i="17"/>
  <c r="AO50" i="17"/>
  <c r="AO48" i="17"/>
  <c r="Y49" i="17"/>
  <c r="Y48" i="17"/>
  <c r="Y50" i="17"/>
  <c r="V49" i="17"/>
  <c r="V48" i="17"/>
  <c r="V50" i="17"/>
  <c r="AJ49" i="17"/>
  <c r="AJ50" i="17"/>
  <c r="AJ48" i="17"/>
  <c r="AM49" i="17"/>
  <c r="AM48" i="17"/>
  <c r="AM50" i="17"/>
  <c r="AB49" i="17"/>
  <c r="AB48" i="17"/>
  <c r="AB50" i="17"/>
  <c r="AK49" i="17"/>
  <c r="AK50" i="17"/>
  <c r="AK48" i="17"/>
  <c r="AF49" i="17"/>
  <c r="AF48" i="17"/>
  <c r="AF50" i="17"/>
  <c r="AE49" i="17"/>
  <c r="AE48" i="17"/>
  <c r="AE50" i="17"/>
  <c r="AN40" i="17"/>
  <c r="E324" i="5"/>
  <c r="E326" i="5" s="1"/>
  <c r="E262" i="5" s="1"/>
  <c r="T38" i="16"/>
  <c r="AE38" i="16"/>
  <c r="U38" i="16"/>
  <c r="AA38" i="16"/>
  <c r="AD38" i="16"/>
  <c r="AC38" i="16"/>
  <c r="AO38" i="16"/>
  <c r="AF38" i="16"/>
  <c r="AK38" i="16"/>
  <c r="AL38" i="16"/>
  <c r="AJ38" i="16"/>
  <c r="W38" i="16"/>
  <c r="AH38" i="16"/>
  <c r="Z38" i="16"/>
  <c r="AI38" i="16"/>
  <c r="X38" i="16"/>
  <c r="AB38" i="16"/>
  <c r="AG38" i="16"/>
  <c r="Y38" i="16"/>
  <c r="AM38" i="16"/>
  <c r="AN38" i="16"/>
  <c r="V38" i="16"/>
  <c r="I427" i="16"/>
  <c r="K427" i="16"/>
  <c r="M427" i="16"/>
  <c r="P427" i="16"/>
  <c r="U427" i="16"/>
  <c r="W427" i="16"/>
  <c r="Q427" i="16"/>
  <c r="J427" i="16"/>
  <c r="AB427" i="16"/>
  <c r="O427" i="16"/>
  <c r="T427" i="16"/>
  <c r="V427" i="16"/>
  <c r="Z427" i="16"/>
  <c r="S427" i="16"/>
  <c r="L427" i="16"/>
  <c r="Y427" i="16"/>
  <c r="X427" i="16"/>
  <c r="R427" i="16"/>
  <c r="N427" i="16"/>
  <c r="AA427" i="16"/>
  <c r="AM76" i="15"/>
  <c r="AN76" i="15"/>
  <c r="I11" i="17"/>
  <c r="I11" i="16" s="1"/>
  <c r="R195" i="14"/>
  <c r="N195" i="14"/>
  <c r="L195" i="14"/>
  <c r="J195" i="14"/>
  <c r="P195" i="14"/>
  <c r="S195" i="14"/>
  <c r="Q195" i="14"/>
  <c r="M195" i="14"/>
  <c r="K195" i="14"/>
  <c r="T195" i="14"/>
  <c r="O195" i="14"/>
  <c r="M340" i="14"/>
  <c r="L340" i="14"/>
  <c r="T340" i="14"/>
  <c r="Q340" i="14"/>
  <c r="I195" i="14"/>
  <c r="O340" i="14"/>
  <c r="J340" i="14"/>
  <c r="S340" i="14"/>
  <c r="N340" i="14"/>
  <c r="P340" i="14"/>
  <c r="R340" i="14"/>
  <c r="K340" i="14"/>
  <c r="H319" i="14"/>
  <c r="H175" i="14"/>
  <c r="H35" i="14"/>
  <c r="H189" i="15"/>
  <c r="H177" i="14"/>
  <c r="H37" i="14"/>
  <c r="H321" i="14"/>
  <c r="AH604" i="16"/>
  <c r="W731" i="15"/>
  <c r="Q400" i="15"/>
  <c r="R400" i="15"/>
  <c r="S400" i="15"/>
  <c r="T400" i="15"/>
  <c r="P687" i="15"/>
  <c r="P369" i="15"/>
  <c r="P371" i="15"/>
  <c r="P48" i="15"/>
  <c r="P50" i="15" s="1"/>
  <c r="P57" i="15" s="1"/>
  <c r="AO392" i="15"/>
  <c r="AO710" i="15"/>
  <c r="O392" i="15"/>
  <c r="L392" i="15"/>
  <c r="K392" i="15"/>
  <c r="J392" i="15"/>
  <c r="M392" i="15"/>
  <c r="P392" i="15"/>
  <c r="R392" i="15"/>
  <c r="I392" i="15"/>
  <c r="N392" i="15"/>
  <c r="Q392" i="15"/>
  <c r="Q843" i="15"/>
  <c r="S392" i="15"/>
  <c r="I525" i="15"/>
  <c r="M843" i="15"/>
  <c r="AL392" i="15"/>
  <c r="Z843" i="15"/>
  <c r="V392" i="15"/>
  <c r="AC392" i="15"/>
  <c r="T392" i="15"/>
  <c r="I843" i="15"/>
  <c r="AA392" i="15"/>
  <c r="AH392" i="15"/>
  <c r="U843" i="15"/>
  <c r="AK392" i="15"/>
  <c r="W392" i="15"/>
  <c r="R525" i="15"/>
  <c r="AF392" i="15"/>
  <c r="Z392" i="15"/>
  <c r="Y392" i="15"/>
  <c r="AM392" i="15"/>
  <c r="U525" i="15"/>
  <c r="L525" i="15"/>
  <c r="J843" i="15"/>
  <c r="O843" i="15"/>
  <c r="AE392" i="15"/>
  <c r="AI392" i="15"/>
  <c r="P525" i="15"/>
  <c r="AJ392" i="15"/>
  <c r="W843" i="15"/>
  <c r="X392" i="15"/>
  <c r="AN392" i="15"/>
  <c r="X843" i="15"/>
  <c r="AG392" i="15"/>
  <c r="AB392" i="15"/>
  <c r="AD392" i="15"/>
  <c r="K525" i="15"/>
  <c r="Y843" i="15"/>
  <c r="S843" i="15"/>
  <c r="O525" i="15"/>
  <c r="J525" i="15"/>
  <c r="M525" i="15"/>
  <c r="P843" i="15"/>
  <c r="S525" i="15"/>
  <c r="N525" i="15"/>
  <c r="R843" i="15"/>
  <c r="V843" i="15"/>
  <c r="T843" i="15"/>
  <c r="Z525" i="15"/>
  <c r="AB525" i="15"/>
  <c r="V525" i="15"/>
  <c r="T525" i="15"/>
  <c r="N843" i="15"/>
  <c r="Q525" i="15"/>
  <c r="AA843" i="15"/>
  <c r="AB843" i="15"/>
  <c r="X525" i="15"/>
  <c r="Y525" i="15"/>
  <c r="K843" i="15"/>
  <c r="U392" i="15"/>
  <c r="W525" i="15"/>
  <c r="L843" i="15"/>
  <c r="AA525" i="15"/>
  <c r="I855" i="15"/>
  <c r="I856" i="15"/>
  <c r="I854" i="15"/>
  <c r="V217" i="7"/>
  <c r="V216" i="7"/>
  <c r="V215" i="7"/>
  <c r="AA216" i="7"/>
  <c r="AA215" i="7"/>
  <c r="AA217" i="7"/>
  <c r="M215" i="7"/>
  <c r="M217" i="7"/>
  <c r="M216" i="7"/>
  <c r="Z215" i="7"/>
  <c r="Z217" i="7"/>
  <c r="Z216" i="7"/>
  <c r="S216" i="7"/>
  <c r="S215" i="7"/>
  <c r="S217" i="7"/>
  <c r="Q216" i="7"/>
  <c r="Q215" i="7"/>
  <c r="Q217" i="7"/>
  <c r="AB216" i="7"/>
  <c r="AB215" i="7"/>
  <c r="AB217" i="7"/>
  <c r="O215" i="7"/>
  <c r="O216" i="7"/>
  <c r="O217" i="7"/>
  <c r="L215" i="7"/>
  <c r="L217" i="7"/>
  <c r="L216" i="7"/>
  <c r="Y215" i="7"/>
  <c r="Y217" i="7"/>
  <c r="Y216" i="7"/>
  <c r="W215" i="7"/>
  <c r="W216" i="7"/>
  <c r="W217" i="7"/>
  <c r="K216" i="7"/>
  <c r="K215" i="7"/>
  <c r="K217" i="7"/>
  <c r="T215" i="7"/>
  <c r="T217" i="7"/>
  <c r="T216" i="7"/>
  <c r="P215" i="7"/>
  <c r="P217" i="7"/>
  <c r="P216" i="7"/>
  <c r="N215" i="7"/>
  <c r="N216" i="7"/>
  <c r="N217" i="7"/>
  <c r="J215" i="7"/>
  <c r="J217" i="7"/>
  <c r="J216" i="7"/>
  <c r="U215" i="7"/>
  <c r="U217" i="7"/>
  <c r="U216" i="7"/>
  <c r="X215" i="7"/>
  <c r="X217" i="7"/>
  <c r="X216" i="7"/>
  <c r="I216" i="7"/>
  <c r="I217" i="7"/>
  <c r="I215" i="7"/>
  <c r="R215" i="7"/>
  <c r="R217" i="7"/>
  <c r="R216" i="7"/>
  <c r="AN69" i="15"/>
  <c r="AM69" i="15"/>
  <c r="AL613" i="16"/>
  <c r="AL614" i="16"/>
  <c r="AL615" i="16"/>
  <c r="K614" i="16"/>
  <c r="K615" i="16"/>
  <c r="K613" i="16"/>
  <c r="R614" i="16"/>
  <c r="R615" i="16"/>
  <c r="R613" i="16"/>
  <c r="Y615" i="16"/>
  <c r="Y613" i="16"/>
  <c r="Y614" i="16"/>
  <c r="X613" i="16"/>
  <c r="X614" i="16"/>
  <c r="X615" i="16"/>
  <c r="AE615" i="16"/>
  <c r="AE613" i="16"/>
  <c r="AE614" i="16"/>
  <c r="AK613" i="16"/>
  <c r="AK615" i="16"/>
  <c r="AK614" i="16"/>
  <c r="AJ613" i="16"/>
  <c r="AJ615" i="16"/>
  <c r="AJ614" i="16"/>
  <c r="N614" i="16"/>
  <c r="N615" i="16"/>
  <c r="N613" i="16"/>
  <c r="AG614" i="16"/>
  <c r="AG615" i="16"/>
  <c r="AG613" i="16"/>
  <c r="J615" i="16"/>
  <c r="J614" i="16"/>
  <c r="J613" i="16"/>
  <c r="Q615" i="16"/>
  <c r="Q614" i="16"/>
  <c r="Q613" i="16"/>
  <c r="P615" i="16"/>
  <c r="P614" i="16"/>
  <c r="P613" i="16"/>
  <c r="W614" i="16"/>
  <c r="W615" i="16"/>
  <c r="W613" i="16"/>
  <c r="AC613" i="16"/>
  <c r="AC614" i="16"/>
  <c r="AC615" i="16"/>
  <c r="AB615" i="16"/>
  <c r="AB613" i="16"/>
  <c r="AB614" i="16"/>
  <c r="S614" i="16"/>
  <c r="S615" i="16"/>
  <c r="S613" i="16"/>
  <c r="AF614" i="16"/>
  <c r="AF615" i="16"/>
  <c r="AF613" i="16"/>
  <c r="O614" i="16"/>
  <c r="O615" i="16"/>
  <c r="O613" i="16"/>
  <c r="U614" i="16"/>
  <c r="U613" i="16"/>
  <c r="U615" i="16"/>
  <c r="T615" i="16"/>
  <c r="T614" i="16"/>
  <c r="T613" i="16"/>
  <c r="M614" i="16"/>
  <c r="M615" i="16"/>
  <c r="M613" i="16"/>
  <c r="L615" i="16"/>
  <c r="L614" i="16"/>
  <c r="L613" i="16"/>
  <c r="V614" i="16"/>
  <c r="V613" i="16"/>
  <c r="V615" i="16"/>
  <c r="Z614" i="16"/>
  <c r="Z615" i="16"/>
  <c r="Z613" i="16"/>
  <c r="AM615" i="16"/>
  <c r="AM613" i="16"/>
  <c r="AM614" i="16"/>
  <c r="AI615" i="16"/>
  <c r="AI613" i="16"/>
  <c r="AI614" i="16"/>
  <c r="I614" i="16"/>
  <c r="I615" i="16"/>
  <c r="I613" i="16"/>
  <c r="AD614" i="16"/>
  <c r="AD613" i="16"/>
  <c r="AD615" i="16"/>
  <c r="AA614" i="16"/>
  <c r="AA615" i="16"/>
  <c r="AA613" i="16"/>
  <c r="AH614" i="16"/>
  <c r="AH615" i="16"/>
  <c r="AH613" i="16"/>
  <c r="AO614" i="16"/>
  <c r="AO615" i="16"/>
  <c r="AO613" i="16"/>
  <c r="AN614" i="16"/>
  <c r="AN615" i="16"/>
  <c r="AN613" i="16"/>
  <c r="AH702" i="16"/>
  <c r="AH703" i="16"/>
  <c r="AH704" i="16"/>
  <c r="L702" i="16"/>
  <c r="L703" i="16"/>
  <c r="L704" i="16"/>
  <c r="AM702" i="16"/>
  <c r="AM703" i="16"/>
  <c r="AM704" i="16"/>
  <c r="S702" i="16"/>
  <c r="S703" i="16"/>
  <c r="S704" i="16"/>
  <c r="Y702" i="16"/>
  <c r="Y703" i="16"/>
  <c r="Y704" i="16"/>
  <c r="O702" i="16"/>
  <c r="O703" i="16"/>
  <c r="O704" i="16"/>
  <c r="P702" i="16"/>
  <c r="P703" i="16"/>
  <c r="P704" i="16"/>
  <c r="AJ702" i="16"/>
  <c r="AJ703" i="16"/>
  <c r="AJ704" i="16"/>
  <c r="AC702" i="16"/>
  <c r="AC703" i="16"/>
  <c r="AC704" i="16"/>
  <c r="V702" i="16"/>
  <c r="V703" i="16"/>
  <c r="V704" i="16"/>
  <c r="U702" i="16"/>
  <c r="U703" i="16"/>
  <c r="U704" i="16"/>
  <c r="AD702" i="16"/>
  <c r="AD703" i="16"/>
  <c r="AD704" i="16"/>
  <c r="AO702" i="16"/>
  <c r="AO703" i="16"/>
  <c r="AO704" i="16"/>
  <c r="I702" i="16"/>
  <c r="I703" i="16"/>
  <c r="I704" i="16"/>
  <c r="T702" i="16"/>
  <c r="T703" i="16"/>
  <c r="T704" i="16"/>
  <c r="AN702" i="16"/>
  <c r="AN703" i="16"/>
  <c r="AN704" i="16"/>
  <c r="AE702" i="16"/>
  <c r="AE703" i="16"/>
  <c r="AE704" i="16"/>
  <c r="X702" i="16"/>
  <c r="X703" i="16"/>
  <c r="X704" i="16"/>
  <c r="AI702" i="16"/>
  <c r="AI703" i="16"/>
  <c r="AI704" i="16"/>
  <c r="W702" i="16"/>
  <c r="W703" i="16"/>
  <c r="W704" i="16"/>
  <c r="R702" i="16"/>
  <c r="R703" i="16"/>
  <c r="R704" i="16"/>
  <c r="AG702" i="16"/>
  <c r="AG703" i="16"/>
  <c r="AG704" i="16"/>
  <c r="K702" i="16"/>
  <c r="K703" i="16"/>
  <c r="K704" i="16"/>
  <c r="Z702" i="16"/>
  <c r="Z703" i="16"/>
  <c r="Z704" i="16"/>
  <c r="AK702" i="16"/>
  <c r="AK703" i="16"/>
  <c r="AK704" i="16"/>
  <c r="AL702" i="16"/>
  <c r="AL703" i="16"/>
  <c r="AL704" i="16"/>
  <c r="AA702" i="16"/>
  <c r="AA703" i="16"/>
  <c r="AA704" i="16"/>
  <c r="Q702" i="16"/>
  <c r="Q703" i="16"/>
  <c r="Q704" i="16"/>
  <c r="N702" i="16"/>
  <c r="N703" i="16"/>
  <c r="N704" i="16"/>
  <c r="M702" i="16"/>
  <c r="M703" i="16"/>
  <c r="M704" i="16"/>
  <c r="AB702" i="16"/>
  <c r="AB703" i="16"/>
  <c r="AB704" i="16"/>
  <c r="AF702" i="16"/>
  <c r="AF703" i="16"/>
  <c r="AF704" i="16"/>
  <c r="J702" i="16"/>
  <c r="J704" i="16"/>
  <c r="J703" i="16"/>
  <c r="AO328" i="16"/>
  <c r="AO330" i="16"/>
  <c r="AO329" i="16"/>
  <c r="I330" i="16"/>
  <c r="I329" i="16"/>
  <c r="AO436" i="16"/>
  <c r="AO437" i="16"/>
  <c r="AO438" i="16"/>
  <c r="AG436" i="16"/>
  <c r="AG437" i="16"/>
  <c r="AG438" i="16"/>
  <c r="V436" i="16"/>
  <c r="V437" i="16"/>
  <c r="V438" i="16"/>
  <c r="AC436" i="16"/>
  <c r="AC437" i="16"/>
  <c r="AC438" i="16"/>
  <c r="AJ436" i="16"/>
  <c r="AJ437" i="16"/>
  <c r="AJ438" i="16"/>
  <c r="AI436" i="16"/>
  <c r="AI437" i="16"/>
  <c r="AI438" i="16"/>
  <c r="I438" i="16"/>
  <c r="I437" i="16"/>
  <c r="N436" i="16"/>
  <c r="N437" i="16"/>
  <c r="N438" i="16"/>
  <c r="U436" i="16"/>
  <c r="U437" i="16"/>
  <c r="U438" i="16"/>
  <c r="AB436" i="16"/>
  <c r="AB437" i="16"/>
  <c r="AB438" i="16"/>
  <c r="AA436" i="16"/>
  <c r="AA437" i="16"/>
  <c r="AA438" i="16"/>
  <c r="AH436" i="16"/>
  <c r="AH437" i="16"/>
  <c r="AH438" i="16"/>
  <c r="AN436" i="16"/>
  <c r="AN437" i="16"/>
  <c r="AN438" i="16"/>
  <c r="Y436" i="16"/>
  <c r="Y437" i="16"/>
  <c r="Y438" i="16"/>
  <c r="Q436" i="16"/>
  <c r="Q437" i="16"/>
  <c r="Q438" i="16"/>
  <c r="M436" i="16"/>
  <c r="M437" i="16"/>
  <c r="M438" i="16"/>
  <c r="T436" i="16"/>
  <c r="T437" i="16"/>
  <c r="T438" i="16"/>
  <c r="S436" i="16"/>
  <c r="S437" i="16"/>
  <c r="S438" i="16"/>
  <c r="Z436" i="16"/>
  <c r="Z437" i="16"/>
  <c r="Z438" i="16"/>
  <c r="AF436" i="16"/>
  <c r="AF437" i="16"/>
  <c r="AF438" i="16"/>
  <c r="L436" i="16"/>
  <c r="L437" i="16"/>
  <c r="L438" i="16"/>
  <c r="K436" i="16"/>
  <c r="K437" i="16"/>
  <c r="K438" i="16"/>
  <c r="R436" i="16"/>
  <c r="R437" i="16"/>
  <c r="R438" i="16"/>
  <c r="X436" i="16"/>
  <c r="X437" i="16"/>
  <c r="X438" i="16"/>
  <c r="AM438" i="16"/>
  <c r="AM436" i="16"/>
  <c r="AM437" i="16"/>
  <c r="AK436" i="16"/>
  <c r="AK437" i="16"/>
  <c r="AK438" i="16"/>
  <c r="J436" i="16"/>
  <c r="J437" i="16"/>
  <c r="J438" i="16"/>
  <c r="P436" i="16"/>
  <c r="P437" i="16"/>
  <c r="P438" i="16"/>
  <c r="AE436" i="16"/>
  <c r="AE438" i="16"/>
  <c r="AE437" i="16"/>
  <c r="AD436" i="16"/>
  <c r="AD437" i="16"/>
  <c r="AD438" i="16"/>
  <c r="W437" i="16"/>
  <c r="W436" i="16"/>
  <c r="W438" i="16"/>
  <c r="AL436" i="16"/>
  <c r="AL437" i="16"/>
  <c r="AL438" i="16"/>
  <c r="O437" i="16"/>
  <c r="O438" i="16"/>
  <c r="O436" i="16"/>
  <c r="J403" i="15"/>
  <c r="J404" i="15"/>
  <c r="J405" i="15"/>
  <c r="AO405" i="15"/>
  <c r="AO404" i="15"/>
  <c r="AO403" i="15"/>
  <c r="S536" i="15"/>
  <c r="S537" i="15"/>
  <c r="S538" i="15"/>
  <c r="AA740" i="15"/>
  <c r="AA742" i="15"/>
  <c r="AA741" i="15"/>
  <c r="K536" i="15"/>
  <c r="K537" i="15"/>
  <c r="K538" i="15"/>
  <c r="U855" i="15"/>
  <c r="U854" i="15"/>
  <c r="U856" i="15"/>
  <c r="I536" i="15"/>
  <c r="I537" i="15"/>
  <c r="I538" i="15"/>
  <c r="AC740" i="15"/>
  <c r="AC742" i="15"/>
  <c r="AC741" i="15"/>
  <c r="J854" i="15"/>
  <c r="J855" i="15"/>
  <c r="J856" i="15"/>
  <c r="S854" i="15"/>
  <c r="S855" i="15"/>
  <c r="S856" i="15"/>
  <c r="AI740" i="15"/>
  <c r="AI741" i="15"/>
  <c r="AI742" i="15"/>
  <c r="AK403" i="15"/>
  <c r="AK404" i="15"/>
  <c r="AK405" i="15"/>
  <c r="AB740" i="15"/>
  <c r="AB742" i="15"/>
  <c r="AB741" i="15"/>
  <c r="AN403" i="15"/>
  <c r="AN404" i="15"/>
  <c r="AN405" i="15"/>
  <c r="X854" i="15"/>
  <c r="X855" i="15"/>
  <c r="X856" i="15"/>
  <c r="AH403" i="15"/>
  <c r="AH404" i="15"/>
  <c r="AH405" i="15"/>
  <c r="S594" i="16"/>
  <c r="S595" i="16"/>
  <c r="S596" i="16"/>
  <c r="M595" i="16"/>
  <c r="M594" i="16"/>
  <c r="M596" i="16"/>
  <c r="AM594" i="16"/>
  <c r="AM595" i="16"/>
  <c r="AM596" i="16"/>
  <c r="AL740" i="15"/>
  <c r="AL741" i="15"/>
  <c r="AL742" i="15"/>
  <c r="L740" i="15"/>
  <c r="L741" i="15"/>
  <c r="L742" i="15"/>
  <c r="AE595" i="16"/>
  <c r="AE594" i="16"/>
  <c r="AE596" i="16"/>
  <c r="S403" i="15"/>
  <c r="S404" i="15"/>
  <c r="S405" i="15"/>
  <c r="R740" i="15"/>
  <c r="R741" i="15"/>
  <c r="R742" i="15"/>
  <c r="L536" i="15"/>
  <c r="L537" i="15"/>
  <c r="L538" i="15"/>
  <c r="Z854" i="15"/>
  <c r="Z855" i="15"/>
  <c r="Z856" i="15"/>
  <c r="T536" i="15"/>
  <c r="T537" i="15"/>
  <c r="T538" i="15"/>
  <c r="J536" i="15"/>
  <c r="J537" i="15"/>
  <c r="J538" i="15"/>
  <c r="I740" i="15"/>
  <c r="I741" i="15"/>
  <c r="I742" i="15"/>
  <c r="Q536" i="15"/>
  <c r="Q537" i="15"/>
  <c r="Q538" i="15"/>
  <c r="AE740" i="15"/>
  <c r="AE742" i="15"/>
  <c r="AE741" i="15"/>
  <c r="U403" i="15"/>
  <c r="U404" i="15"/>
  <c r="U405" i="15"/>
  <c r="Z740" i="15"/>
  <c r="Z741" i="15"/>
  <c r="Z742" i="15"/>
  <c r="O740" i="15"/>
  <c r="O741" i="15"/>
  <c r="O742" i="15"/>
  <c r="AJ403" i="15"/>
  <c r="AJ404" i="15"/>
  <c r="AJ405" i="15"/>
  <c r="AK740" i="15"/>
  <c r="AK742" i="15"/>
  <c r="AK741" i="15"/>
  <c r="L403" i="15"/>
  <c r="L404" i="15"/>
  <c r="L405" i="15"/>
  <c r="AM740" i="15"/>
  <c r="AM742" i="15"/>
  <c r="AM741" i="15"/>
  <c r="N594" i="16"/>
  <c r="N595" i="16"/>
  <c r="N596" i="16"/>
  <c r="K403" i="15"/>
  <c r="K404" i="15"/>
  <c r="K405" i="15"/>
  <c r="I595" i="16"/>
  <c r="I594" i="16"/>
  <c r="I596" i="16"/>
  <c r="AA594" i="16"/>
  <c r="AA595" i="16"/>
  <c r="AA596" i="16"/>
  <c r="U594" i="16"/>
  <c r="U595" i="16"/>
  <c r="U596" i="16"/>
  <c r="P536" i="15"/>
  <c r="P537" i="15"/>
  <c r="P538" i="15"/>
  <c r="V594" i="16"/>
  <c r="V595" i="16"/>
  <c r="V596" i="16"/>
  <c r="AO394" i="15"/>
  <c r="I394" i="15"/>
  <c r="M394" i="15"/>
  <c r="T394" i="15"/>
  <c r="N394" i="15"/>
  <c r="O394" i="15"/>
  <c r="R394" i="15"/>
  <c r="Q394" i="15"/>
  <c r="P394" i="15"/>
  <c r="J394" i="15"/>
  <c r="S394" i="15"/>
  <c r="L394" i="15"/>
  <c r="K394" i="15"/>
  <c r="P527" i="15"/>
  <c r="AA394" i="15"/>
  <c r="AJ394" i="15"/>
  <c r="X394" i="15"/>
  <c r="K527" i="15"/>
  <c r="AM394" i="15"/>
  <c r="AB394" i="15"/>
  <c r="S527" i="15"/>
  <c r="I527" i="15"/>
  <c r="AA527" i="15"/>
  <c r="V527" i="15"/>
  <c r="V394" i="15"/>
  <c r="AF394" i="15"/>
  <c r="AD394" i="15"/>
  <c r="U527" i="15"/>
  <c r="N527" i="15"/>
  <c r="AK394" i="15"/>
  <c r="Q527" i="15"/>
  <c r="M527" i="15"/>
  <c r="Z394" i="15"/>
  <c r="L527" i="15"/>
  <c r="T527" i="15"/>
  <c r="AE394" i="15"/>
  <c r="AH394" i="15"/>
  <c r="Y394" i="15"/>
  <c r="J527" i="15"/>
  <c r="X527" i="15"/>
  <c r="Y527" i="15"/>
  <c r="O527" i="15"/>
  <c r="AL394" i="15"/>
  <c r="R527" i="15"/>
  <c r="W394" i="15"/>
  <c r="AI394" i="15"/>
  <c r="AB527" i="15"/>
  <c r="Z527" i="15"/>
  <c r="W527" i="15"/>
  <c r="AG394" i="15"/>
  <c r="AN394" i="15"/>
  <c r="U394" i="15"/>
  <c r="AC394" i="15"/>
  <c r="AA536" i="15"/>
  <c r="AA537" i="15"/>
  <c r="AA538" i="15"/>
  <c r="X536" i="15"/>
  <c r="X537" i="15"/>
  <c r="X538" i="15"/>
  <c r="O855" i="15"/>
  <c r="O854" i="15"/>
  <c r="O856" i="15"/>
  <c r="P740" i="15"/>
  <c r="P742" i="15"/>
  <c r="P741" i="15"/>
  <c r="U740" i="15"/>
  <c r="U742" i="15"/>
  <c r="U741" i="15"/>
  <c r="AC403" i="15"/>
  <c r="AC404" i="15"/>
  <c r="AC405" i="15"/>
  <c r="P404" i="15"/>
  <c r="P403" i="15"/>
  <c r="P405" i="15"/>
  <c r="T740" i="15"/>
  <c r="T741" i="15"/>
  <c r="T742" i="15"/>
  <c r="AF403" i="15"/>
  <c r="AF404" i="15"/>
  <c r="AF405" i="15"/>
  <c r="Y403" i="15"/>
  <c r="Y404" i="15"/>
  <c r="Y405" i="15"/>
  <c r="J594" i="16"/>
  <c r="J595" i="16"/>
  <c r="J596" i="16"/>
  <c r="AI594" i="16"/>
  <c r="AI595" i="16"/>
  <c r="AI596" i="16"/>
  <c r="AC594" i="16"/>
  <c r="AC595" i="16"/>
  <c r="AC596" i="16"/>
  <c r="P594" i="16"/>
  <c r="P595" i="16"/>
  <c r="P596" i="16"/>
  <c r="V740" i="15"/>
  <c r="V741" i="15"/>
  <c r="V742" i="15"/>
  <c r="R404" i="15"/>
  <c r="R403" i="15"/>
  <c r="R405" i="15"/>
  <c r="AB403" i="15"/>
  <c r="AB404" i="15"/>
  <c r="AB405" i="15"/>
  <c r="H828" i="15"/>
  <c r="T687" i="15"/>
  <c r="T691" i="15" s="1"/>
  <c r="T369" i="15"/>
  <c r="H510" i="15"/>
  <c r="AJ740" i="15"/>
  <c r="AJ741" i="15"/>
  <c r="AJ742" i="15"/>
  <c r="AD740" i="15"/>
  <c r="AD741" i="15"/>
  <c r="AD742" i="15"/>
  <c r="Y536" i="15"/>
  <c r="Y537" i="15"/>
  <c r="Y538" i="15"/>
  <c r="AA403" i="15"/>
  <c r="AA404" i="15"/>
  <c r="AA405" i="15"/>
  <c r="AO740" i="15"/>
  <c r="AO742" i="15"/>
  <c r="AO741" i="15"/>
  <c r="AD403" i="15"/>
  <c r="AD404" i="15"/>
  <c r="AD405" i="15"/>
  <c r="N740" i="15"/>
  <c r="N741" i="15"/>
  <c r="N742" i="15"/>
  <c r="K740" i="15"/>
  <c r="K742" i="15"/>
  <c r="K741" i="15"/>
  <c r="M536" i="15"/>
  <c r="M537" i="15"/>
  <c r="M538" i="15"/>
  <c r="Z403" i="15"/>
  <c r="Z404" i="15"/>
  <c r="Z405" i="15"/>
  <c r="R536" i="15"/>
  <c r="R537" i="15"/>
  <c r="R538" i="15"/>
  <c r="R595" i="16"/>
  <c r="R594" i="16"/>
  <c r="R596" i="16"/>
  <c r="L595" i="16"/>
  <c r="L594" i="16"/>
  <c r="L596" i="16"/>
  <c r="AK594" i="16"/>
  <c r="AK595" i="16"/>
  <c r="AK596" i="16"/>
  <c r="X594" i="16"/>
  <c r="X595" i="16"/>
  <c r="X596" i="16"/>
  <c r="N536" i="15"/>
  <c r="N537" i="15"/>
  <c r="N538" i="15"/>
  <c r="AB855" i="15"/>
  <c r="AB854" i="15"/>
  <c r="AB856" i="15"/>
  <c r="AA854" i="15"/>
  <c r="AA855" i="15"/>
  <c r="AA856" i="15"/>
  <c r="AO594" i="16"/>
  <c r="AO595" i="16"/>
  <c r="AO596" i="16"/>
  <c r="K595" i="16"/>
  <c r="K594" i="16"/>
  <c r="K596" i="16"/>
  <c r="I436" i="16"/>
  <c r="S740" i="15"/>
  <c r="S742" i="15"/>
  <c r="S741" i="15"/>
  <c r="T404" i="15"/>
  <c r="T403" i="15"/>
  <c r="T405" i="15"/>
  <c r="M403" i="15"/>
  <c r="M404" i="15"/>
  <c r="M405" i="15"/>
  <c r="AG403" i="15"/>
  <c r="AG404" i="15"/>
  <c r="AG405" i="15"/>
  <c r="Y740" i="15"/>
  <c r="Y741" i="15"/>
  <c r="Y742" i="15"/>
  <c r="AG740" i="15"/>
  <c r="AG742" i="15"/>
  <c r="AG741" i="15"/>
  <c r="X403" i="15"/>
  <c r="X404" i="15"/>
  <c r="X405" i="15"/>
  <c r="AF740" i="15"/>
  <c r="AF742" i="15"/>
  <c r="AF741" i="15"/>
  <c r="AB536" i="15"/>
  <c r="AB537" i="15"/>
  <c r="AB538" i="15"/>
  <c r="U536" i="15"/>
  <c r="U537" i="15"/>
  <c r="U538" i="15"/>
  <c r="Q594" i="16"/>
  <c r="Q595" i="16"/>
  <c r="Q596" i="16"/>
  <c r="Z594" i="16"/>
  <c r="Z595" i="16"/>
  <c r="Z596" i="16"/>
  <c r="T594" i="16"/>
  <c r="T595" i="16"/>
  <c r="T596" i="16"/>
  <c r="AF595" i="16"/>
  <c r="AF594" i="16"/>
  <c r="AF596" i="16"/>
  <c r="M740" i="15"/>
  <c r="M742" i="15"/>
  <c r="M741" i="15"/>
  <c r="W740" i="15"/>
  <c r="W742" i="15"/>
  <c r="W741" i="15"/>
  <c r="AH740" i="15"/>
  <c r="AH742" i="15"/>
  <c r="AH741" i="15"/>
  <c r="K855" i="15"/>
  <c r="K854" i="15"/>
  <c r="K856" i="15"/>
  <c r="Q740" i="15"/>
  <c r="Q742" i="15"/>
  <c r="Q741" i="15"/>
  <c r="N403" i="15"/>
  <c r="N404" i="15"/>
  <c r="N405" i="15"/>
  <c r="M854" i="15"/>
  <c r="M855" i="15"/>
  <c r="M856" i="15"/>
  <c r="Z536" i="15"/>
  <c r="Z537" i="15"/>
  <c r="Z538" i="15"/>
  <c r="V403" i="15"/>
  <c r="V404" i="15"/>
  <c r="V405" i="15"/>
  <c r="AO722" i="15"/>
  <c r="AO721" i="15"/>
  <c r="AO723" i="15"/>
  <c r="T855" i="15"/>
  <c r="T854" i="15"/>
  <c r="T856" i="15"/>
  <c r="I403" i="15"/>
  <c r="I404" i="15"/>
  <c r="I405" i="15"/>
  <c r="L854" i="15"/>
  <c r="L855" i="15"/>
  <c r="L856" i="15"/>
  <c r="P854" i="15"/>
  <c r="P855" i="15"/>
  <c r="P856" i="15"/>
  <c r="AN740" i="15"/>
  <c r="AN741" i="15"/>
  <c r="AN742" i="15"/>
  <c r="V536" i="15"/>
  <c r="V537" i="15"/>
  <c r="V538" i="15"/>
  <c r="W536" i="15"/>
  <c r="W537" i="15"/>
  <c r="W538" i="15"/>
  <c r="Y595" i="16"/>
  <c r="Y594" i="16"/>
  <c r="Y596" i="16"/>
  <c r="AH594" i="16"/>
  <c r="AH595" i="16"/>
  <c r="AH596" i="16"/>
  <c r="AB594" i="16"/>
  <c r="AB595" i="16"/>
  <c r="AB596" i="16"/>
  <c r="O594" i="16"/>
  <c r="O595" i="16"/>
  <c r="O596" i="16"/>
  <c r="AN594" i="16"/>
  <c r="AN595" i="16"/>
  <c r="AN596" i="16"/>
  <c r="AL403" i="15"/>
  <c r="AL404" i="15"/>
  <c r="AL405" i="15"/>
  <c r="T48" i="15"/>
  <c r="H830" i="15"/>
  <c r="H512" i="15"/>
  <c r="T371" i="15"/>
  <c r="K533" i="15"/>
  <c r="T851" i="15"/>
  <c r="W851" i="15"/>
  <c r="AB533" i="15"/>
  <c r="X533" i="15"/>
  <c r="AB851" i="15"/>
  <c r="P851" i="15"/>
  <c r="T533" i="15"/>
  <c r="X851" i="15"/>
  <c r="Z533" i="15"/>
  <c r="Y533" i="15"/>
  <c r="P533" i="15"/>
  <c r="I533" i="15"/>
  <c r="L533" i="15"/>
  <c r="M851" i="15"/>
  <c r="Q851" i="15"/>
  <c r="R533" i="15"/>
  <c r="Q533" i="15"/>
  <c r="V533" i="15"/>
  <c r="U533" i="15"/>
  <c r="K851" i="15"/>
  <c r="U851" i="15"/>
  <c r="Y851" i="15"/>
  <c r="J533" i="15"/>
  <c r="N533" i="15"/>
  <c r="M533" i="15"/>
  <c r="AA533" i="15"/>
  <c r="O851" i="15"/>
  <c r="S851" i="15"/>
  <c r="N851" i="15"/>
  <c r="J851" i="15"/>
  <c r="W533" i="15"/>
  <c r="S533" i="15"/>
  <c r="AA851" i="15"/>
  <c r="V851" i="15"/>
  <c r="R851" i="15"/>
  <c r="O533" i="15"/>
  <c r="L851" i="15"/>
  <c r="Z851" i="15"/>
  <c r="AA400" i="15"/>
  <c r="AL400" i="15"/>
  <c r="X400" i="15"/>
  <c r="V400" i="15"/>
  <c r="AK400" i="15"/>
  <c r="AC400" i="15"/>
  <c r="AG400" i="15"/>
  <c r="AN400" i="15"/>
  <c r="AE400" i="15"/>
  <c r="AB400" i="15"/>
  <c r="AJ400" i="15"/>
  <c r="AD400" i="15"/>
  <c r="Y400" i="15"/>
  <c r="W400" i="15"/>
  <c r="AI400" i="15"/>
  <c r="Z400" i="15"/>
  <c r="AH400" i="15"/>
  <c r="AM400" i="15"/>
  <c r="AF400" i="15"/>
  <c r="U400" i="15"/>
  <c r="AE403" i="15"/>
  <c r="AE404" i="15"/>
  <c r="AE405" i="15"/>
  <c r="W855" i="15"/>
  <c r="W854" i="15"/>
  <c r="W856" i="15"/>
  <c r="J740" i="15"/>
  <c r="J742" i="15"/>
  <c r="J741" i="15"/>
  <c r="O536" i="15"/>
  <c r="O537" i="15"/>
  <c r="O538" i="15"/>
  <c r="O403" i="15"/>
  <c r="O404" i="15"/>
  <c r="O405" i="15"/>
  <c r="R855" i="15"/>
  <c r="R854" i="15"/>
  <c r="R856" i="15"/>
  <c r="W403" i="15"/>
  <c r="W404" i="15"/>
  <c r="W405" i="15"/>
  <c r="X740" i="15"/>
  <c r="X742" i="15"/>
  <c r="X741" i="15"/>
  <c r="Q403" i="15"/>
  <c r="Q404" i="15"/>
  <c r="Q405" i="15"/>
  <c r="Y854" i="15"/>
  <c r="Y855" i="15"/>
  <c r="Y856" i="15"/>
  <c r="N855" i="15"/>
  <c r="N854" i="15"/>
  <c r="N856" i="15"/>
  <c r="Q854" i="15"/>
  <c r="Q855" i="15"/>
  <c r="Q856" i="15"/>
  <c r="AI403" i="15"/>
  <c r="AI404" i="15"/>
  <c r="AI405" i="15"/>
  <c r="V854" i="15"/>
  <c r="V855" i="15"/>
  <c r="V856" i="15"/>
  <c r="AL594" i="16"/>
  <c r="AL595" i="16"/>
  <c r="AL596" i="16"/>
  <c r="AM403" i="15"/>
  <c r="AM404" i="15"/>
  <c r="AM405" i="15"/>
  <c r="AD595" i="16"/>
  <c r="AD594" i="16"/>
  <c r="AD596" i="16"/>
  <c r="AG594" i="16"/>
  <c r="AG595" i="16"/>
  <c r="AG596" i="16"/>
  <c r="AJ594" i="16"/>
  <c r="AJ595" i="16"/>
  <c r="AJ596" i="16"/>
  <c r="W594" i="16"/>
  <c r="W595" i="16"/>
  <c r="W596" i="16"/>
  <c r="AN81" i="15"/>
  <c r="AG28" i="15"/>
  <c r="AG27" i="15"/>
  <c r="AG26" i="15"/>
  <c r="AN211" i="9"/>
  <c r="AN212" i="9"/>
  <c r="AN213" i="9"/>
  <c r="AO36" i="9"/>
  <c r="AO37" i="9"/>
  <c r="AO35" i="9"/>
  <c r="AG212" i="9"/>
  <c r="AG213" i="9"/>
  <c r="AG211" i="9"/>
  <c r="AJ347" i="14"/>
  <c r="AJ346" i="14"/>
  <c r="AJ348" i="14"/>
  <c r="X212" i="9"/>
  <c r="X211" i="9"/>
  <c r="X213" i="9"/>
  <c r="AE201" i="14"/>
  <c r="AE202" i="14"/>
  <c r="AE203" i="14"/>
  <c r="AI346" i="14"/>
  <c r="AI347" i="14"/>
  <c r="AI348" i="14"/>
  <c r="V212" i="9"/>
  <c r="V211" i="9"/>
  <c r="V213" i="9"/>
  <c r="L212" i="9"/>
  <c r="L213" i="9"/>
  <c r="L211" i="9"/>
  <c r="AK203" i="14"/>
  <c r="AK202" i="14"/>
  <c r="AK201" i="14"/>
  <c r="J212" i="9"/>
  <c r="J211" i="9"/>
  <c r="J213" i="9"/>
  <c r="AH346" i="14"/>
  <c r="AH347" i="14"/>
  <c r="AH348" i="14"/>
  <c r="AG347" i="14"/>
  <c r="AG346" i="14"/>
  <c r="AG348" i="14"/>
  <c r="AN348" i="14"/>
  <c r="AN347" i="14"/>
  <c r="AN346" i="14"/>
  <c r="L202" i="14"/>
  <c r="L201" i="14"/>
  <c r="L203" i="14"/>
  <c r="R202" i="14"/>
  <c r="R201" i="14"/>
  <c r="R203" i="14"/>
  <c r="AG201" i="14"/>
  <c r="AG202" i="14"/>
  <c r="AG203" i="14"/>
  <c r="AD36" i="9"/>
  <c r="AD37" i="9"/>
  <c r="AD35" i="9"/>
  <c r="U212" i="9"/>
  <c r="U213" i="9"/>
  <c r="U211" i="9"/>
  <c r="AB347" i="14"/>
  <c r="AB346" i="14"/>
  <c r="AB348" i="14"/>
  <c r="M201" i="14"/>
  <c r="M202" i="14"/>
  <c r="M203" i="14"/>
  <c r="AN202" i="14"/>
  <c r="AN203" i="14"/>
  <c r="AN201" i="14"/>
  <c r="AK35" i="9"/>
  <c r="AK37" i="9"/>
  <c r="AK36" i="9"/>
  <c r="AM59" i="14"/>
  <c r="AM61" i="14"/>
  <c r="AM60" i="14"/>
  <c r="P212" i="9"/>
  <c r="P213" i="9"/>
  <c r="P211" i="9"/>
  <c r="AD59" i="14"/>
  <c r="AD60" i="14"/>
  <c r="AD61" i="14"/>
  <c r="M347" i="14"/>
  <c r="M346" i="14"/>
  <c r="M348" i="14"/>
  <c r="N212" i="9"/>
  <c r="N211" i="9"/>
  <c r="N213" i="9"/>
  <c r="V201" i="14"/>
  <c r="V202" i="14"/>
  <c r="V203" i="14"/>
  <c r="AH60" i="14"/>
  <c r="AH59" i="14"/>
  <c r="AH61" i="14"/>
  <c r="AI212" i="9"/>
  <c r="AI211" i="9"/>
  <c r="AI213" i="9"/>
  <c r="P202" i="14"/>
  <c r="P201" i="14"/>
  <c r="P203" i="14"/>
  <c r="AN59" i="14"/>
  <c r="AN61" i="14"/>
  <c r="AN60" i="14"/>
  <c r="S347" i="14"/>
  <c r="S346" i="14"/>
  <c r="S348" i="14"/>
  <c r="Z347" i="14"/>
  <c r="Z346" i="14"/>
  <c r="Z348" i="14"/>
  <c r="AF347" i="14"/>
  <c r="AF346" i="14"/>
  <c r="AF348" i="14"/>
  <c r="AM346" i="14"/>
  <c r="AM348" i="14"/>
  <c r="AM347" i="14"/>
  <c r="K202" i="14"/>
  <c r="K201" i="14"/>
  <c r="K203" i="14"/>
  <c r="Y201" i="14"/>
  <c r="Y202" i="14"/>
  <c r="Y203" i="14"/>
  <c r="AL37" i="9"/>
  <c r="AL35" i="9"/>
  <c r="AL36" i="9"/>
  <c r="AC60" i="14"/>
  <c r="AC59" i="14"/>
  <c r="AC61" i="14"/>
  <c r="AM99" i="15"/>
  <c r="AM101" i="15"/>
  <c r="AM100" i="15"/>
  <c r="AH35" i="9"/>
  <c r="AH36" i="9"/>
  <c r="AH37" i="9"/>
  <c r="AG36" i="9"/>
  <c r="AG37" i="9"/>
  <c r="AG35" i="9"/>
  <c r="M212" i="9"/>
  <c r="M213" i="9"/>
  <c r="M211" i="9"/>
  <c r="AC212" i="9"/>
  <c r="AC213" i="9"/>
  <c r="AC211" i="9"/>
  <c r="N346" i="14"/>
  <c r="N347" i="14"/>
  <c r="N348" i="14"/>
  <c r="AH212" i="9"/>
  <c r="AH211" i="9"/>
  <c r="AH213" i="9"/>
  <c r="AM211" i="9"/>
  <c r="AM212" i="9"/>
  <c r="AM213" i="9"/>
  <c r="X202" i="14"/>
  <c r="X201" i="14"/>
  <c r="X203" i="14"/>
  <c r="AJ60" i="14"/>
  <c r="AJ59" i="14"/>
  <c r="AJ61" i="14"/>
  <c r="AA347" i="14"/>
  <c r="AA346" i="14"/>
  <c r="AA348" i="14"/>
  <c r="AA212" i="9"/>
  <c r="AA213" i="9"/>
  <c r="AA211" i="9"/>
  <c r="AF60" i="14"/>
  <c r="AF59" i="14"/>
  <c r="AF61" i="14"/>
  <c r="K347" i="14"/>
  <c r="K346" i="14"/>
  <c r="K348" i="14"/>
  <c r="R346" i="14"/>
  <c r="R347" i="14"/>
  <c r="R348" i="14"/>
  <c r="Y346" i="14"/>
  <c r="Y347" i="14"/>
  <c r="Y348" i="14"/>
  <c r="AE346" i="14"/>
  <c r="AE347" i="14"/>
  <c r="AE348" i="14"/>
  <c r="AN99" i="15"/>
  <c r="AN100" i="15"/>
  <c r="AN101" i="15"/>
  <c r="J201" i="14"/>
  <c r="J202" i="14"/>
  <c r="J203" i="14"/>
  <c r="AI60" i="14"/>
  <c r="AI59" i="14"/>
  <c r="AI61" i="14"/>
  <c r="T212" i="9"/>
  <c r="T211" i="9"/>
  <c r="T213" i="9"/>
  <c r="AO348" i="14"/>
  <c r="AO346" i="14"/>
  <c r="AO347" i="14"/>
  <c r="Z201" i="14"/>
  <c r="Z202" i="14"/>
  <c r="Z203" i="14"/>
  <c r="AI36" i="9"/>
  <c r="AI35" i="9"/>
  <c r="AI37" i="9"/>
  <c r="AF35" i="9"/>
  <c r="AF37" i="9"/>
  <c r="AF36" i="9"/>
  <c r="AL60" i="14"/>
  <c r="AL59" i="14"/>
  <c r="AL61" i="14"/>
  <c r="AO212" i="9"/>
  <c r="AO211" i="9"/>
  <c r="AO213" i="9"/>
  <c r="R212" i="9"/>
  <c r="R211" i="9"/>
  <c r="R213" i="9"/>
  <c r="AE212" i="9"/>
  <c r="AE211" i="9"/>
  <c r="AE213" i="9"/>
  <c r="AC346" i="14"/>
  <c r="AC347" i="14"/>
  <c r="AC348" i="14"/>
  <c r="AL201" i="14"/>
  <c r="AL202" i="14"/>
  <c r="AL203" i="14"/>
  <c r="S212" i="9"/>
  <c r="S213" i="9"/>
  <c r="S211" i="9"/>
  <c r="U346" i="14"/>
  <c r="U347" i="14"/>
  <c r="U348" i="14"/>
  <c r="AC201" i="14"/>
  <c r="AC202" i="14"/>
  <c r="AC203" i="14"/>
  <c r="J347" i="14"/>
  <c r="J346" i="14"/>
  <c r="J348" i="14"/>
  <c r="Q346" i="14"/>
  <c r="Q347" i="14"/>
  <c r="Q348" i="14"/>
  <c r="X346" i="14"/>
  <c r="X347" i="14"/>
  <c r="X348" i="14"/>
  <c r="AL347" i="14"/>
  <c r="AL346" i="14"/>
  <c r="AL348" i="14"/>
  <c r="AE35" i="9"/>
  <c r="AE36" i="9"/>
  <c r="AE37" i="9"/>
  <c r="AK347" i="14"/>
  <c r="AK348" i="14"/>
  <c r="AK346" i="14"/>
  <c r="AE59" i="14"/>
  <c r="AE60" i="14"/>
  <c r="AE61" i="14"/>
  <c r="AD201" i="14"/>
  <c r="AD202" i="14"/>
  <c r="AD203" i="14"/>
  <c r="W212" i="9"/>
  <c r="W213" i="9"/>
  <c r="W211" i="9"/>
  <c r="L347" i="14"/>
  <c r="L346" i="14"/>
  <c r="L348" i="14"/>
  <c r="AM203" i="14"/>
  <c r="AM202" i="14"/>
  <c r="AM201" i="14"/>
  <c r="Q202" i="14"/>
  <c r="Q201" i="14"/>
  <c r="Q203" i="14"/>
  <c r="K212" i="9"/>
  <c r="K211" i="9"/>
  <c r="K213" i="9"/>
  <c r="AF201" i="14"/>
  <c r="AF202" i="14"/>
  <c r="AF203" i="14"/>
  <c r="U201" i="14"/>
  <c r="U202" i="14"/>
  <c r="U203" i="14"/>
  <c r="AJ201" i="14"/>
  <c r="AJ202" i="14"/>
  <c r="AJ203" i="14"/>
  <c r="I201" i="14"/>
  <c r="I202" i="14"/>
  <c r="I203" i="14"/>
  <c r="P346" i="14"/>
  <c r="P347" i="14"/>
  <c r="P348" i="14"/>
  <c r="AD347" i="14"/>
  <c r="AD346" i="14"/>
  <c r="AD348" i="14"/>
  <c r="AF212" i="9"/>
  <c r="AF213" i="9"/>
  <c r="AF211" i="9"/>
  <c r="V346" i="14"/>
  <c r="V347" i="14"/>
  <c r="V348" i="14"/>
  <c r="AJ36" i="9"/>
  <c r="AJ35" i="9"/>
  <c r="AJ37" i="9"/>
  <c r="AM35" i="9"/>
  <c r="AM37" i="9"/>
  <c r="AM36" i="9"/>
  <c r="Z212" i="9"/>
  <c r="Z211" i="9"/>
  <c r="Z213" i="9"/>
  <c r="T347" i="14"/>
  <c r="T346" i="14"/>
  <c r="T348" i="14"/>
  <c r="Y212" i="9"/>
  <c r="Y213" i="9"/>
  <c r="Y211" i="9"/>
  <c r="Q212" i="9"/>
  <c r="Q213" i="9"/>
  <c r="Q211" i="9"/>
  <c r="O212" i="9"/>
  <c r="O211" i="9"/>
  <c r="O213" i="9"/>
  <c r="W202" i="14"/>
  <c r="W201" i="14"/>
  <c r="W203" i="14"/>
  <c r="AJ212" i="9"/>
  <c r="AJ211" i="9"/>
  <c r="AJ213" i="9"/>
  <c r="AO59" i="14"/>
  <c r="AO60" i="14"/>
  <c r="AO61" i="14"/>
  <c r="O201" i="14"/>
  <c r="O202" i="14"/>
  <c r="O203" i="14"/>
  <c r="N201" i="14"/>
  <c r="N202" i="14"/>
  <c r="N203" i="14"/>
  <c r="AB202" i="14"/>
  <c r="AB201" i="14"/>
  <c r="AB203" i="14"/>
  <c r="AI202" i="14"/>
  <c r="AI201" i="14"/>
  <c r="AI203" i="14"/>
  <c r="AO201" i="14"/>
  <c r="AO202" i="14"/>
  <c r="AO203" i="14"/>
  <c r="W347" i="14"/>
  <c r="W346" i="14"/>
  <c r="W348" i="14"/>
  <c r="AD212" i="9"/>
  <c r="AD211" i="9"/>
  <c r="AD213" i="9"/>
  <c r="AN80" i="15"/>
  <c r="S201" i="14"/>
  <c r="S202" i="14"/>
  <c r="S203" i="14"/>
  <c r="AN37" i="9"/>
  <c r="AN36" i="9"/>
  <c r="AN35" i="9"/>
  <c r="AC35" i="9"/>
  <c r="AC37" i="9"/>
  <c r="AC36" i="9"/>
  <c r="I212" i="9"/>
  <c r="I213" i="9"/>
  <c r="I211" i="9"/>
  <c r="AK212" i="9"/>
  <c r="AK211" i="9"/>
  <c r="AK213" i="9"/>
  <c r="I346" i="14"/>
  <c r="I347" i="14"/>
  <c r="I348" i="14"/>
  <c r="AK60" i="14"/>
  <c r="AK61" i="14"/>
  <c r="AK59" i="14"/>
  <c r="AL212" i="9"/>
  <c r="AL211" i="9"/>
  <c r="AL213" i="9"/>
  <c r="AB212" i="9"/>
  <c r="AB211" i="9"/>
  <c r="AB213" i="9"/>
  <c r="AG60" i="14"/>
  <c r="AG61" i="14"/>
  <c r="AG59" i="14"/>
  <c r="AM80" i="15"/>
  <c r="AM81" i="15"/>
  <c r="T202" i="14"/>
  <c r="T201" i="14"/>
  <c r="T203" i="14"/>
  <c r="AA202" i="14"/>
  <c r="AA201" i="14"/>
  <c r="AA203" i="14"/>
  <c r="AH202" i="14"/>
  <c r="AH201" i="14"/>
  <c r="AH203" i="14"/>
  <c r="O347" i="14"/>
  <c r="O346" i="14"/>
  <c r="O348" i="14"/>
  <c r="AN77" i="15"/>
  <c r="AN82" i="15"/>
  <c r="AN126" i="15"/>
  <c r="AO126" i="15"/>
  <c r="AO77" i="15"/>
  <c r="AM77" i="15"/>
  <c r="AM126" i="15"/>
  <c r="AM82" i="15"/>
  <c r="AL18" i="8"/>
  <c r="AL12" i="9"/>
  <c r="AF18" i="8"/>
  <c r="AF12" i="9"/>
  <c r="AJ18" i="8"/>
  <c r="AJ12" i="9"/>
  <c r="AE18" i="8"/>
  <c r="AE12" i="9"/>
  <c r="AM18" i="8"/>
  <c r="AM12" i="9"/>
  <c r="AD18" i="8"/>
  <c r="AD12" i="9"/>
  <c r="AI18" i="8"/>
  <c r="AI12" i="9"/>
  <c r="AO18" i="8"/>
  <c r="AO12" i="9"/>
  <c r="AG18" i="8"/>
  <c r="AG12" i="9"/>
  <c r="AK18" i="8"/>
  <c r="AK12" i="9"/>
  <c r="AH18" i="8"/>
  <c r="AH12" i="9"/>
  <c r="AC18" i="8"/>
  <c r="AC12" i="9"/>
  <c r="AN18" i="8"/>
  <c r="AN12" i="9"/>
  <c r="Y11" i="16"/>
  <c r="L11" i="16"/>
  <c r="L16" i="16" s="1"/>
  <c r="L222" i="16" s="1"/>
  <c r="T11" i="16"/>
  <c r="T21" i="16" s="1"/>
  <c r="U11" i="16"/>
  <c r="M11" i="16"/>
  <c r="M16" i="16" s="1"/>
  <c r="M222" i="16" s="1"/>
  <c r="AO223" i="8"/>
  <c r="AO222" i="8"/>
  <c r="AO224" i="8"/>
  <c r="R11" i="16"/>
  <c r="N11" i="16"/>
  <c r="AB11" i="16"/>
  <c r="Z11" i="16"/>
  <c r="V11" i="16"/>
  <c r="K11" i="16"/>
  <c r="K16" i="16" s="1"/>
  <c r="K222" i="16" s="1"/>
  <c r="P11" i="16"/>
  <c r="AN222" i="8"/>
  <c r="AN223" i="8"/>
  <c r="AN224" i="8"/>
  <c r="O11" i="16"/>
  <c r="X11" i="16"/>
  <c r="AL224" i="8"/>
  <c r="AL222" i="8"/>
  <c r="AL223" i="8"/>
  <c r="S11" i="16"/>
  <c r="S21" i="16" s="1"/>
  <c r="W11" i="16"/>
  <c r="AA11" i="16"/>
  <c r="AK224" i="8"/>
  <c r="AK222" i="8"/>
  <c r="AK223" i="8"/>
  <c r="Q11" i="16"/>
  <c r="J11" i="16"/>
  <c r="J16" i="16" s="1"/>
  <c r="J222" i="16" s="1"/>
  <c r="AM222" i="8"/>
  <c r="AM223" i="8"/>
  <c r="AM224" i="8"/>
  <c r="AO41" i="8"/>
  <c r="AO42" i="8"/>
  <c r="AO43" i="8"/>
  <c r="AN42" i="8"/>
  <c r="AN41" i="8"/>
  <c r="AN43" i="8"/>
  <c r="AL43" i="8"/>
  <c r="AL41" i="8"/>
  <c r="AL42" i="8"/>
  <c r="AK42" i="8"/>
  <c r="AK41" i="8"/>
  <c r="AK43" i="8"/>
  <c r="AM41" i="8"/>
  <c r="AM42" i="8"/>
  <c r="AM43" i="8"/>
  <c r="AJ168" i="16"/>
  <c r="AJ167" i="16"/>
  <c r="AJ169" i="16"/>
  <c r="AN169" i="16"/>
  <c r="AN168" i="16"/>
  <c r="AN167" i="16"/>
  <c r="AL169" i="16"/>
  <c r="AL168" i="16"/>
  <c r="AL167" i="16"/>
  <c r="AI169" i="16"/>
  <c r="AI168" i="16"/>
  <c r="AI167" i="16"/>
  <c r="AH168" i="16"/>
  <c r="AH169" i="16"/>
  <c r="AH167" i="16"/>
  <c r="AG167" i="16"/>
  <c r="AG169" i="16"/>
  <c r="AG168" i="16"/>
  <c r="AK169" i="16"/>
  <c r="AK168" i="16"/>
  <c r="AK167" i="16"/>
  <c r="AF168" i="16"/>
  <c r="AF167" i="16"/>
  <c r="AF169" i="16"/>
  <c r="AC169" i="16"/>
  <c r="AC168" i="16"/>
  <c r="AC167" i="16"/>
  <c r="AE168" i="16"/>
  <c r="AE167" i="16"/>
  <c r="AE169" i="16"/>
  <c r="AM168" i="16"/>
  <c r="AM167" i="16"/>
  <c r="AM169" i="16"/>
  <c r="AO167" i="16"/>
  <c r="AO168" i="16"/>
  <c r="AO169" i="16"/>
  <c r="AD168" i="16"/>
  <c r="AD169" i="16"/>
  <c r="AD167" i="16"/>
  <c r="AA212" i="15"/>
  <c r="AB212" i="15"/>
  <c r="U212" i="15"/>
  <c r="Z212" i="15"/>
  <c r="V212" i="15"/>
  <c r="W212" i="15"/>
  <c r="X212" i="15"/>
  <c r="Y212" i="15"/>
  <c r="I69" i="15"/>
  <c r="J48" i="15"/>
  <c r="M48" i="15"/>
  <c r="AB48" i="15"/>
  <c r="R48" i="15"/>
  <c r="AO69" i="15"/>
  <c r="J69" i="15"/>
  <c r="AO54" i="16"/>
  <c r="AO53" i="16"/>
  <c r="AO55" i="16"/>
  <c r="J54" i="16"/>
  <c r="J53" i="16"/>
  <c r="J55" i="16"/>
  <c r="I54" i="16"/>
  <c r="I53" i="16"/>
  <c r="I55" i="16"/>
  <c r="AK11" i="15"/>
  <c r="AK11" i="16"/>
  <c r="AK17" i="16" s="1"/>
  <c r="AH11" i="15"/>
  <c r="AH11" i="16"/>
  <c r="AH17" i="16" s="1"/>
  <c r="AM74" i="16"/>
  <c r="AM73" i="16"/>
  <c r="AM75" i="16"/>
  <c r="AK99" i="15"/>
  <c r="AK100" i="15"/>
  <c r="AK101" i="15"/>
  <c r="AH75" i="16"/>
  <c r="AH73" i="16"/>
  <c r="AH74" i="16"/>
  <c r="AI11" i="15"/>
  <c r="AI11" i="16"/>
  <c r="AI17" i="16" s="1"/>
  <c r="AC11" i="15"/>
  <c r="AC11" i="16"/>
  <c r="AC17" i="16" s="1"/>
  <c r="AN11" i="16"/>
  <c r="AN17" i="16" s="1"/>
  <c r="AN73" i="16"/>
  <c r="AN75" i="16"/>
  <c r="AN74" i="16"/>
  <c r="J212" i="15"/>
  <c r="AL11" i="15"/>
  <c r="AL11" i="16"/>
  <c r="AL17" i="16" s="1"/>
  <c r="AF11" i="15"/>
  <c r="AF11" i="16"/>
  <c r="AF17" i="16" s="1"/>
  <c r="AF100" i="15"/>
  <c r="AF101" i="15"/>
  <c r="AF99" i="15"/>
  <c r="AD75" i="16"/>
  <c r="AD74" i="16"/>
  <c r="AD73" i="16"/>
  <c r="AG11" i="15"/>
  <c r="AG11" i="16"/>
  <c r="AG17" i="16" s="1"/>
  <c r="AJ11" i="15"/>
  <c r="AJ11" i="16"/>
  <c r="AJ17" i="16" s="1"/>
  <c r="AE11" i="15"/>
  <c r="AE11" i="16"/>
  <c r="AE17" i="16" s="1"/>
  <c r="AL75" i="16"/>
  <c r="AL74" i="16"/>
  <c r="AL73" i="16"/>
  <c r="AC75" i="16"/>
  <c r="AC74" i="16"/>
  <c r="AC73" i="16"/>
  <c r="AH99" i="15"/>
  <c r="AH100" i="15"/>
  <c r="AH101" i="15"/>
  <c r="AE101" i="15"/>
  <c r="AE100" i="15"/>
  <c r="AE99" i="15"/>
  <c r="AG75" i="16"/>
  <c r="AG73" i="16"/>
  <c r="AG74" i="16"/>
  <c r="AM11" i="16"/>
  <c r="AM17" i="16" s="1"/>
  <c r="AD11" i="15"/>
  <c r="AD11" i="16"/>
  <c r="AD17" i="16" s="1"/>
  <c r="AL99" i="15"/>
  <c r="AL100" i="15"/>
  <c r="AL101" i="15"/>
  <c r="AD101" i="15"/>
  <c r="AD100" i="15"/>
  <c r="AD99" i="15"/>
  <c r="AK75" i="16"/>
  <c r="AK74" i="16"/>
  <c r="AK73" i="16"/>
  <c r="AO73" i="16"/>
  <c r="AO74" i="16"/>
  <c r="AO75" i="16"/>
  <c r="AI101" i="15"/>
  <c r="AI100" i="15"/>
  <c r="AI99" i="15"/>
  <c r="AG100" i="15"/>
  <c r="AG99" i="15"/>
  <c r="AG101" i="15"/>
  <c r="AE74" i="16"/>
  <c r="AE73" i="16"/>
  <c r="AE75" i="16"/>
  <c r="AC99" i="15"/>
  <c r="AC100" i="15"/>
  <c r="AC101" i="15"/>
  <c r="AI75" i="16"/>
  <c r="AI74" i="16"/>
  <c r="AI73" i="16"/>
  <c r="AJ100" i="15"/>
  <c r="AJ99" i="15"/>
  <c r="AJ101" i="15"/>
  <c r="AF73" i="16"/>
  <c r="AF74" i="16"/>
  <c r="AF75" i="16"/>
  <c r="AJ73" i="16"/>
  <c r="AJ75" i="16"/>
  <c r="AJ74" i="16"/>
  <c r="AO101" i="15"/>
  <c r="AO100" i="15"/>
  <c r="AO99" i="15"/>
  <c r="J82" i="15"/>
  <c r="J80" i="15"/>
  <c r="J81" i="15"/>
  <c r="I82" i="15"/>
  <c r="I81" i="15"/>
  <c r="AO82" i="15"/>
  <c r="AO80" i="15"/>
  <c r="AO81" i="15"/>
  <c r="N12" i="14"/>
  <c r="N13" i="14" s="1"/>
  <c r="N12" i="9"/>
  <c r="N13" i="9" s="1"/>
  <c r="AB12" i="14"/>
  <c r="AB12" i="9"/>
  <c r="AB13" i="9" s="1"/>
  <c r="AB57" i="9" s="1"/>
  <c r="M12" i="14"/>
  <c r="M13" i="14" s="1"/>
  <c r="M12" i="9"/>
  <c r="M13" i="9" s="1"/>
  <c r="O12" i="14"/>
  <c r="O13" i="14" s="1"/>
  <c r="O12" i="9"/>
  <c r="O13" i="9" s="1"/>
  <c r="S12" i="14"/>
  <c r="S13" i="14" s="1"/>
  <c r="S12" i="9"/>
  <c r="S13" i="9" s="1"/>
  <c r="X12" i="14"/>
  <c r="X12" i="9"/>
  <c r="X13" i="9" s="1"/>
  <c r="X57" i="9" s="1"/>
  <c r="K12" i="14"/>
  <c r="K13" i="14" s="1"/>
  <c r="K12" i="9"/>
  <c r="K13" i="9" s="1"/>
  <c r="W12" i="14"/>
  <c r="W12" i="9"/>
  <c r="W13" i="9" s="1"/>
  <c r="W57" i="9" s="1"/>
  <c r="AA12" i="14"/>
  <c r="AA12" i="9"/>
  <c r="AA13" i="9" s="1"/>
  <c r="AA57" i="9" s="1"/>
  <c r="Z12" i="14"/>
  <c r="Z12" i="9"/>
  <c r="Z13" i="9" s="1"/>
  <c r="Z57" i="9" s="1"/>
  <c r="Q12" i="14"/>
  <c r="Q13" i="14" s="1"/>
  <c r="Q12" i="9"/>
  <c r="Q13" i="9" s="1"/>
  <c r="J12" i="14"/>
  <c r="J13" i="14" s="1"/>
  <c r="J12" i="9"/>
  <c r="J13" i="9" s="1"/>
  <c r="J35" i="9" s="1"/>
  <c r="V12" i="14"/>
  <c r="V12" i="9"/>
  <c r="V13" i="9" s="1"/>
  <c r="V57" i="9" s="1"/>
  <c r="Y12" i="14"/>
  <c r="Y12" i="9"/>
  <c r="Y13" i="9" s="1"/>
  <c r="Y57" i="9" s="1"/>
  <c r="U12" i="14"/>
  <c r="U12" i="9"/>
  <c r="U13" i="9" s="1"/>
  <c r="U57" i="9" s="1"/>
  <c r="P12" i="14"/>
  <c r="P13" i="14" s="1"/>
  <c r="P12" i="9"/>
  <c r="P13" i="9" s="1"/>
  <c r="L12" i="14"/>
  <c r="L13" i="14" s="1"/>
  <c r="L12" i="9"/>
  <c r="L13" i="9" s="1"/>
  <c r="R12" i="14"/>
  <c r="R13" i="14" s="1"/>
  <c r="R12" i="9"/>
  <c r="R13" i="9" s="1"/>
  <c r="T12" i="14"/>
  <c r="T13" i="14" s="1"/>
  <c r="T12" i="9"/>
  <c r="T13" i="9" s="1"/>
  <c r="Y12" i="7"/>
  <c r="Y40" i="7" s="1"/>
  <c r="Y18" i="8"/>
  <c r="Y19" i="8" s="1"/>
  <c r="Y65" i="8" s="1"/>
  <c r="L18" i="8"/>
  <c r="L12" i="7"/>
  <c r="L38" i="7" s="1"/>
  <c r="R12" i="7"/>
  <c r="R39" i="7" s="1"/>
  <c r="R18" i="8"/>
  <c r="R19" i="8" s="1"/>
  <c r="R65" i="8" s="1"/>
  <c r="T18" i="8"/>
  <c r="T19" i="8" s="1"/>
  <c r="T65" i="8" s="1"/>
  <c r="T12" i="7"/>
  <c r="T40" i="7" s="1"/>
  <c r="M18" i="8"/>
  <c r="M12" i="7"/>
  <c r="M39" i="7" s="1"/>
  <c r="AB18" i="8"/>
  <c r="AB19" i="8" s="1"/>
  <c r="AB65" i="8" s="1"/>
  <c r="AB12" i="7"/>
  <c r="AB40" i="7" s="1"/>
  <c r="V18" i="8"/>
  <c r="V19" i="8" s="1"/>
  <c r="V65" i="8" s="1"/>
  <c r="V12" i="7"/>
  <c r="V40" i="7" s="1"/>
  <c r="K12" i="7"/>
  <c r="K39" i="7" s="1"/>
  <c r="K18" i="8"/>
  <c r="P12" i="7"/>
  <c r="P39" i="7" s="1"/>
  <c r="P18" i="8"/>
  <c r="P19" i="8" s="1"/>
  <c r="P65" i="8" s="1"/>
  <c r="U18" i="8"/>
  <c r="U19" i="8" s="1"/>
  <c r="U65" i="8" s="1"/>
  <c r="U12" i="7"/>
  <c r="U40" i="7" s="1"/>
  <c r="N18" i="8"/>
  <c r="N19" i="8" s="1"/>
  <c r="N65" i="8" s="1"/>
  <c r="N12" i="7"/>
  <c r="N39" i="7" s="1"/>
  <c r="S12" i="7"/>
  <c r="S18" i="8"/>
  <c r="S19" i="8" s="1"/>
  <c r="S65" i="8" s="1"/>
  <c r="X12" i="7"/>
  <c r="X40" i="7" s="1"/>
  <c r="X18" i="8"/>
  <c r="X19" i="8" s="1"/>
  <c r="X65" i="8" s="1"/>
  <c r="Z12" i="7"/>
  <c r="Z40" i="7" s="1"/>
  <c r="Z18" i="8"/>
  <c r="Z19" i="8" s="1"/>
  <c r="Z65" i="8" s="1"/>
  <c r="O18" i="8"/>
  <c r="O19" i="8" s="1"/>
  <c r="O65" i="8" s="1"/>
  <c r="O12" i="7"/>
  <c r="O39" i="7" s="1"/>
  <c r="W18" i="8"/>
  <c r="W19" i="8" s="1"/>
  <c r="W65" i="8" s="1"/>
  <c r="W12" i="7"/>
  <c r="W40" i="7" s="1"/>
  <c r="AA12" i="7"/>
  <c r="AA40" i="7" s="1"/>
  <c r="AA18" i="8"/>
  <c r="AA19" i="8" s="1"/>
  <c r="AA65" i="8" s="1"/>
  <c r="Q12" i="7"/>
  <c r="Q38" i="7" s="1"/>
  <c r="Q18" i="8"/>
  <c r="Q19" i="8" s="1"/>
  <c r="Q65" i="8" s="1"/>
  <c r="J12" i="7"/>
  <c r="J38" i="7" s="1"/>
  <c r="J18" i="8"/>
  <c r="H191" i="15"/>
  <c r="O212" i="15"/>
  <c r="P212" i="15"/>
  <c r="L212" i="15"/>
  <c r="S212" i="15"/>
  <c r="M212" i="15"/>
  <c r="R212" i="15"/>
  <c r="I212" i="15"/>
  <c r="T212" i="15"/>
  <c r="K212" i="15"/>
  <c r="Q212" i="15"/>
  <c r="N212" i="15"/>
  <c r="X11" i="15"/>
  <c r="X21" i="15" s="1"/>
  <c r="AA11" i="15"/>
  <c r="AA21" i="15" s="1"/>
  <c r="Y11" i="15"/>
  <c r="Y21" i="15" s="1"/>
  <c r="Z11" i="15"/>
  <c r="Z21" i="15" s="1"/>
  <c r="AB11" i="15"/>
  <c r="AB21" i="15" s="1"/>
  <c r="V11" i="15"/>
  <c r="V21" i="15" s="1"/>
  <c r="T11" i="15"/>
  <c r="T21" i="15" s="1"/>
  <c r="W11" i="15"/>
  <c r="W21" i="15" s="1"/>
  <c r="U11" i="15"/>
  <c r="U21" i="15" s="1"/>
  <c r="S11" i="15"/>
  <c r="Q11" i="15"/>
  <c r="J11" i="15"/>
  <c r="J16" i="15" s="1"/>
  <c r="M11" i="15"/>
  <c r="O11" i="15"/>
  <c r="R11" i="15"/>
  <c r="L11" i="15"/>
  <c r="N11" i="15"/>
  <c r="K11" i="15"/>
  <c r="P11" i="15"/>
  <c r="H834" i="15" l="1"/>
  <c r="AB338" i="16"/>
  <c r="I12" i="7"/>
  <c r="E39" i="16"/>
  <c r="D39" i="16"/>
  <c r="M579" i="16"/>
  <c r="M575" i="16" s="1"/>
  <c r="O579" i="16"/>
  <c r="O16" i="16"/>
  <c r="O222" i="16" s="1"/>
  <c r="O17" i="16"/>
  <c r="O18" i="16" s="1"/>
  <c r="O322" i="16" s="1"/>
  <c r="N16" i="16"/>
  <c r="N222" i="16" s="1"/>
  <c r="N17" i="16"/>
  <c r="P16" i="16"/>
  <c r="P222" i="16" s="1"/>
  <c r="P17" i="16"/>
  <c r="P18" i="16" s="1"/>
  <c r="P322" i="16" s="1"/>
  <c r="I11" i="15"/>
  <c r="I16" i="15" s="1"/>
  <c r="I95" i="15" s="1"/>
  <c r="I12" i="9"/>
  <c r="I13" i="9" s="1"/>
  <c r="I23" i="9" s="1"/>
  <c r="I12" i="14"/>
  <c r="I13" i="14" s="1"/>
  <c r="I52" i="14" s="1"/>
  <c r="I18" i="8"/>
  <c r="I19" i="8" s="1"/>
  <c r="T698" i="15"/>
  <c r="P691" i="15"/>
  <c r="P698" i="15" s="1"/>
  <c r="H38" i="14"/>
  <c r="Y13" i="14"/>
  <c r="Y52" i="14" s="1"/>
  <c r="Z13" i="14"/>
  <c r="Z60" i="14" s="1"/>
  <c r="X13" i="14"/>
  <c r="X61" i="14" s="1"/>
  <c r="AB13" i="14"/>
  <c r="AB83" i="14" s="1"/>
  <c r="AL206" i="7"/>
  <c r="AO604" i="16"/>
  <c r="R206" i="7"/>
  <c r="AE731" i="15"/>
  <c r="I604" i="16"/>
  <c r="AH731" i="15"/>
  <c r="AA13" i="14"/>
  <c r="AA61" i="14" s="1"/>
  <c r="Q731" i="15"/>
  <c r="M119" i="7"/>
  <c r="AE604" i="16"/>
  <c r="AN64" i="16"/>
  <c r="S119" i="7"/>
  <c r="AD731" i="15"/>
  <c r="L604" i="16"/>
  <c r="S29" i="7"/>
  <c r="O119" i="7"/>
  <c r="X604" i="16"/>
  <c r="AK64" i="16"/>
  <c r="U119" i="7"/>
  <c r="Y731" i="15"/>
  <c r="AO90" i="15"/>
  <c r="P413" i="15"/>
  <c r="AK604" i="16"/>
  <c r="E195" i="5"/>
  <c r="Q114" i="9" s="1"/>
  <c r="P731" i="15"/>
  <c r="AN731" i="15"/>
  <c r="V13" i="14"/>
  <c r="V61" i="14" s="1"/>
  <c r="W13" i="14"/>
  <c r="W53" i="14" s="1"/>
  <c r="U13" i="14"/>
  <c r="U60" i="14" s="1"/>
  <c r="N604" i="16"/>
  <c r="Q413" i="15"/>
  <c r="AC604" i="16"/>
  <c r="AJ90" i="15"/>
  <c r="X119" i="7"/>
  <c r="AM413" i="15"/>
  <c r="E119" i="5"/>
  <c r="E120" i="5" s="1"/>
  <c r="O338" i="16"/>
  <c r="AO206" i="7"/>
  <c r="Z604" i="16"/>
  <c r="AO64" i="16"/>
  <c r="V413" i="15"/>
  <c r="Z731" i="15"/>
  <c r="AC731" i="15"/>
  <c r="T413" i="15"/>
  <c r="Q206" i="7"/>
  <c r="AK413" i="15"/>
  <c r="AD64" i="16"/>
  <c r="K206" i="7"/>
  <c r="AD604" i="16"/>
  <c r="W338" i="16"/>
  <c r="V206" i="7"/>
  <c r="AM604" i="16"/>
  <c r="AI64" i="16"/>
  <c r="J119" i="7"/>
  <c r="AE206" i="7"/>
  <c r="AF731" i="15"/>
  <c r="T338" i="16"/>
  <c r="AM90" i="15"/>
  <c r="AE413" i="15"/>
  <c r="AH90" i="15"/>
  <c r="N731" i="15"/>
  <c r="AA731" i="15"/>
  <c r="AG90" i="15"/>
  <c r="Y119" i="7"/>
  <c r="U338" i="16"/>
  <c r="AA604" i="16"/>
  <c r="Q604" i="16"/>
  <c r="L206" i="7"/>
  <c r="AN413" i="15"/>
  <c r="W604" i="16"/>
  <c r="K413" i="15"/>
  <c r="AB119" i="7"/>
  <c r="AA338" i="16"/>
  <c r="Q338" i="16"/>
  <c r="T206" i="7"/>
  <c r="Y338" i="16"/>
  <c r="S413" i="15"/>
  <c r="O206" i="7"/>
  <c r="Z338" i="16"/>
  <c r="AD90" i="15"/>
  <c r="M731" i="15"/>
  <c r="AN206" i="7"/>
  <c r="AO338" i="16"/>
  <c r="R338" i="16"/>
  <c r="AB206" i="7"/>
  <c r="Y604" i="16"/>
  <c r="AG64" i="16"/>
  <c r="Z206" i="7"/>
  <c r="AL604" i="16"/>
  <c r="AI90" i="15"/>
  <c r="P119" i="7"/>
  <c r="AL413" i="15"/>
  <c r="AE338" i="16"/>
  <c r="M604" i="16"/>
  <c r="V731" i="15"/>
  <c r="AJ413" i="15"/>
  <c r="E151" i="5"/>
  <c r="AA32" i="8" s="1"/>
  <c r="K338" i="16"/>
  <c r="AF206" i="7"/>
  <c r="Y413" i="15"/>
  <c r="O731" i="15"/>
  <c r="N413" i="15"/>
  <c r="AG731" i="15"/>
  <c r="L413" i="15"/>
  <c r="R731" i="15"/>
  <c r="AI731" i="15"/>
  <c r="AJ64" i="16"/>
  <c r="V119" i="7"/>
  <c r="Z413" i="15"/>
  <c r="AA413" i="15"/>
  <c r="I29" i="7"/>
  <c r="I413" i="15"/>
  <c r="J206" i="7"/>
  <c r="AJ338" i="16"/>
  <c r="M338" i="16"/>
  <c r="Q119" i="7"/>
  <c r="AM731" i="15"/>
  <c r="AM64" i="16"/>
  <c r="N119" i="7"/>
  <c r="AB413" i="15"/>
  <c r="AC64" i="16"/>
  <c r="S731" i="15"/>
  <c r="R119" i="7"/>
  <c r="AH338" i="16"/>
  <c r="AL90" i="15"/>
  <c r="U206" i="7"/>
  <c r="AH206" i="7"/>
  <c r="AH413" i="15"/>
  <c r="J604" i="16"/>
  <c r="T119" i="7"/>
  <c r="V338" i="16"/>
  <c r="T731" i="15"/>
  <c r="U413" i="15"/>
  <c r="AC338" i="16"/>
  <c r="AL64" i="16"/>
  <c r="Y206" i="7"/>
  <c r="AI604" i="16"/>
  <c r="AF604" i="16"/>
  <c r="S206" i="7"/>
  <c r="AJ206" i="7"/>
  <c r="AI338" i="16"/>
  <c r="R604" i="16"/>
  <c r="I119" i="7"/>
  <c r="X338" i="16"/>
  <c r="K604" i="16"/>
  <c r="L119" i="7"/>
  <c r="AG338" i="16"/>
  <c r="AE90" i="15"/>
  <c r="L338" i="16"/>
  <c r="AA206" i="7"/>
  <c r="AB731" i="15"/>
  <c r="AH64" i="16"/>
  <c r="N206" i="7"/>
  <c r="V604" i="16"/>
  <c r="AN604" i="16"/>
  <c r="I731" i="15"/>
  <c r="K731" i="15"/>
  <c r="AO413" i="15"/>
  <c r="P338" i="16"/>
  <c r="M413" i="15"/>
  <c r="AF338" i="16"/>
  <c r="P604" i="16"/>
  <c r="L731" i="15"/>
  <c r="AC413" i="15"/>
  <c r="X731" i="15"/>
  <c r="J413" i="15"/>
  <c r="AC206" i="7"/>
  <c r="AN338" i="16"/>
  <c r="T604" i="16"/>
  <c r="W206" i="7"/>
  <c r="AL338" i="16"/>
  <c r="S338" i="16"/>
  <c r="O413" i="15"/>
  <c r="AO731" i="15"/>
  <c r="AE64" i="16"/>
  <c r="I338" i="16"/>
  <c r="AM206" i="7"/>
  <c r="AG604" i="16"/>
  <c r="AF64" i="16"/>
  <c r="J731" i="15"/>
  <c r="U604" i="16"/>
  <c r="AK90" i="15"/>
  <c r="P206" i="7"/>
  <c r="AD206" i="7"/>
  <c r="AJ731" i="15"/>
  <c r="AA119" i="7"/>
  <c r="AG206" i="7"/>
  <c r="X413" i="15"/>
  <c r="R413" i="15"/>
  <c r="Z119" i="7"/>
  <c r="AK338" i="16"/>
  <c r="X40" i="17"/>
  <c r="K119" i="7"/>
  <c r="AD413" i="15"/>
  <c r="AK731" i="15"/>
  <c r="J338" i="16"/>
  <c r="M206" i="7"/>
  <c r="AJ604" i="16"/>
  <c r="S604" i="16"/>
  <c r="W119" i="7"/>
  <c r="AB604" i="16"/>
  <c r="AC90" i="15"/>
  <c r="U731" i="15"/>
  <c r="AG413" i="15"/>
  <c r="AI413" i="15"/>
  <c r="O604" i="16"/>
  <c r="X206" i="7"/>
  <c r="AD338" i="16"/>
  <c r="AF90" i="15"/>
  <c r="I206" i="7"/>
  <c r="AK206" i="7"/>
  <c r="AL731" i="15"/>
  <c r="W413" i="15"/>
  <c r="AI206" i="7"/>
  <c r="AM338" i="16"/>
  <c r="N338" i="16"/>
  <c r="AN90" i="15"/>
  <c r="AF413" i="15"/>
  <c r="V40" i="17"/>
  <c r="AD40" i="17"/>
  <c r="AL40" i="17"/>
  <c r="AG40" i="17"/>
  <c r="T200" i="15"/>
  <c r="T208" i="15"/>
  <c r="V200" i="15"/>
  <c r="V208" i="15"/>
  <c r="AB200" i="15"/>
  <c r="AB208" i="15"/>
  <c r="W200" i="15"/>
  <c r="W208" i="15"/>
  <c r="Z200" i="15"/>
  <c r="Z208" i="15"/>
  <c r="Y200" i="15"/>
  <c r="Y208" i="15"/>
  <c r="AA200" i="15"/>
  <c r="AA208" i="15"/>
  <c r="U200" i="15"/>
  <c r="U208" i="15"/>
  <c r="X200" i="15"/>
  <c r="X208" i="15"/>
  <c r="I90" i="15"/>
  <c r="AC40" i="17"/>
  <c r="U40" i="17"/>
  <c r="AO40" i="17"/>
  <c r="Y40" i="17"/>
  <c r="AJ40" i="17"/>
  <c r="AH40" i="17"/>
  <c r="Z40" i="17"/>
  <c r="AI40" i="17"/>
  <c r="AK40" i="17"/>
  <c r="AM40" i="17"/>
  <c r="AB40" i="17"/>
  <c r="I38" i="7"/>
  <c r="W40" i="17"/>
  <c r="AE40" i="17"/>
  <c r="AJ334" i="14"/>
  <c r="E325" i="5"/>
  <c r="AA40" i="17"/>
  <c r="AF40" i="17"/>
  <c r="AC171" i="16"/>
  <c r="AL171" i="16"/>
  <c r="AL179" i="16" s="1"/>
  <c r="J706" i="16"/>
  <c r="J713" i="16" s="1"/>
  <c r="AK706" i="16"/>
  <c r="AK713" i="16" s="1"/>
  <c r="AE706" i="16"/>
  <c r="AE713" i="16" s="1"/>
  <c r="AC706" i="16"/>
  <c r="AC713" i="16" s="1"/>
  <c r="AH706" i="16"/>
  <c r="AH713" i="16" s="1"/>
  <c r="AE440" i="16"/>
  <c r="AE447" i="16" s="1"/>
  <c r="AG440" i="16"/>
  <c r="AG447" i="16" s="1"/>
  <c r="AF706" i="16"/>
  <c r="AF713" i="16" s="1"/>
  <c r="AN706" i="16"/>
  <c r="AN713" i="16" s="1"/>
  <c r="AJ706" i="16"/>
  <c r="AJ713" i="16" s="1"/>
  <c r="AO706" i="16"/>
  <c r="AO713" i="16" s="1"/>
  <c r="Z706" i="16"/>
  <c r="Z713" i="16" s="1"/>
  <c r="N706" i="16"/>
  <c r="N713" i="16" s="1"/>
  <c r="R706" i="16"/>
  <c r="R713" i="16" s="1"/>
  <c r="Y706" i="16"/>
  <c r="Y713" i="16" s="1"/>
  <c r="L440" i="16"/>
  <c r="L447" i="16" s="1"/>
  <c r="AL706" i="16"/>
  <c r="AL713" i="16" s="1"/>
  <c r="X706" i="16"/>
  <c r="X713" i="16" s="1"/>
  <c r="V706" i="16"/>
  <c r="V713" i="16" s="1"/>
  <c r="L706" i="16"/>
  <c r="L713" i="16" s="1"/>
  <c r="AB706" i="16"/>
  <c r="AB713" i="16" s="1"/>
  <c r="K706" i="16"/>
  <c r="K713" i="16" s="1"/>
  <c r="T706" i="16"/>
  <c r="T713" i="16" s="1"/>
  <c r="P706" i="16"/>
  <c r="P713" i="16" s="1"/>
  <c r="Q706" i="16"/>
  <c r="Q713" i="16" s="1"/>
  <c r="W706" i="16"/>
  <c r="W713" i="16" s="1"/>
  <c r="AD706" i="16"/>
  <c r="AD713" i="16" s="1"/>
  <c r="S706" i="16"/>
  <c r="S713" i="16" s="1"/>
  <c r="W440" i="16"/>
  <c r="W447" i="16" s="1"/>
  <c r="AK440" i="16"/>
  <c r="AK447" i="16" s="1"/>
  <c r="S440" i="16"/>
  <c r="S447" i="16" s="1"/>
  <c r="AB440" i="16"/>
  <c r="AB447" i="16" s="1"/>
  <c r="M706" i="16"/>
  <c r="M713" i="16" s="1"/>
  <c r="AG706" i="16"/>
  <c r="AG713" i="16" s="1"/>
  <c r="I706" i="16"/>
  <c r="I713" i="16" s="1"/>
  <c r="O706" i="16"/>
  <c r="O713" i="16" s="1"/>
  <c r="AA706" i="16"/>
  <c r="AA713" i="16" s="1"/>
  <c r="AI706" i="16"/>
  <c r="AI713" i="16" s="1"/>
  <c r="U706" i="16"/>
  <c r="U713" i="16" s="1"/>
  <c r="AM706" i="16"/>
  <c r="AM713" i="16" s="1"/>
  <c r="I440" i="16"/>
  <c r="I447" i="16" s="1"/>
  <c r="AM440" i="16"/>
  <c r="AM447" i="16" s="1"/>
  <c r="AG171" i="16"/>
  <c r="K440" i="16"/>
  <c r="K447" i="16" s="1"/>
  <c r="Y440" i="16"/>
  <c r="Y447" i="16" s="1"/>
  <c r="O440" i="16"/>
  <c r="O447" i="16" s="1"/>
  <c r="R440" i="16"/>
  <c r="R447" i="16" s="1"/>
  <c r="Q440" i="16"/>
  <c r="Q447" i="16" s="1"/>
  <c r="AC440" i="16"/>
  <c r="AC447" i="16" s="1"/>
  <c r="P440" i="16"/>
  <c r="P447" i="16" s="1"/>
  <c r="AF440" i="16"/>
  <c r="AF447" i="16" s="1"/>
  <c r="AH440" i="16"/>
  <c r="AH447" i="16" s="1"/>
  <c r="AO440" i="16"/>
  <c r="AO447" i="16" s="1"/>
  <c r="T440" i="16"/>
  <c r="T447" i="16" s="1"/>
  <c r="U440" i="16"/>
  <c r="U447" i="16" s="1"/>
  <c r="AI440" i="16"/>
  <c r="AI447" i="16" s="1"/>
  <c r="AD440" i="16"/>
  <c r="AD447" i="16" s="1"/>
  <c r="V440" i="16"/>
  <c r="V447" i="16" s="1"/>
  <c r="J440" i="16"/>
  <c r="J447" i="16" s="1"/>
  <c r="Z440" i="16"/>
  <c r="Z447" i="16" s="1"/>
  <c r="AA440" i="16"/>
  <c r="AA447" i="16" s="1"/>
  <c r="AL440" i="16"/>
  <c r="AL447" i="16" s="1"/>
  <c r="X440" i="16"/>
  <c r="X447" i="16" s="1"/>
  <c r="M440" i="16"/>
  <c r="M447" i="16" s="1"/>
  <c r="N440" i="16"/>
  <c r="N447" i="16" s="1"/>
  <c r="AJ440" i="16"/>
  <c r="AJ447" i="16" s="1"/>
  <c r="AN440" i="16"/>
  <c r="AN447" i="16" s="1"/>
  <c r="AF171" i="16"/>
  <c r="AI171" i="16"/>
  <c r="AI179" i="16" s="1"/>
  <c r="AD171" i="16"/>
  <c r="AK171" i="16"/>
  <c r="AK179" i="16" s="1"/>
  <c r="AJ171" i="16"/>
  <c r="AJ179" i="16" s="1"/>
  <c r="AM171" i="16"/>
  <c r="AM179" i="16" s="1"/>
  <c r="AH171" i="16"/>
  <c r="AH179" i="16" s="1"/>
  <c r="AO171" i="16"/>
  <c r="AO179" i="16" s="1"/>
  <c r="AE171" i="16"/>
  <c r="AN171" i="16"/>
  <c r="AN179" i="16" s="1"/>
  <c r="W216" i="15"/>
  <c r="V205" i="15"/>
  <c r="AB205" i="15"/>
  <c r="U205" i="15"/>
  <c r="X205" i="15"/>
  <c r="Y205" i="15"/>
  <c r="AA205" i="15"/>
  <c r="M57" i="9"/>
  <c r="M23" i="9"/>
  <c r="R57" i="9"/>
  <c r="R23" i="9"/>
  <c r="L57" i="9"/>
  <c r="L23" i="9"/>
  <c r="S57" i="9"/>
  <c r="S23" i="9"/>
  <c r="T57" i="9"/>
  <c r="T23" i="9"/>
  <c r="Q57" i="9"/>
  <c r="Q23" i="9"/>
  <c r="P57" i="9"/>
  <c r="P23" i="9"/>
  <c r="J57" i="9"/>
  <c r="J23" i="9"/>
  <c r="O57" i="9"/>
  <c r="O23" i="9"/>
  <c r="N57" i="9"/>
  <c r="N23" i="9"/>
  <c r="K57" i="9"/>
  <c r="K23" i="9"/>
  <c r="I21" i="16"/>
  <c r="I162" i="16" s="1"/>
  <c r="I16" i="16"/>
  <c r="I75" i="16" s="1"/>
  <c r="M55" i="14"/>
  <c r="M53" i="14"/>
  <c r="M52" i="14"/>
  <c r="T55" i="14"/>
  <c r="T53" i="14"/>
  <c r="T52" i="14"/>
  <c r="Q53" i="14"/>
  <c r="Q52" i="14"/>
  <c r="Q55" i="14"/>
  <c r="R53" i="14"/>
  <c r="R52" i="14"/>
  <c r="R55" i="14"/>
  <c r="Z52" i="14"/>
  <c r="L55" i="14"/>
  <c r="L53" i="14"/>
  <c r="L52" i="14"/>
  <c r="S55" i="14"/>
  <c r="S53" i="14"/>
  <c r="S52" i="14"/>
  <c r="K55" i="14"/>
  <c r="K52" i="14"/>
  <c r="K53" i="14"/>
  <c r="P53" i="14"/>
  <c r="P52" i="14"/>
  <c r="P55" i="14"/>
  <c r="J53" i="14"/>
  <c r="J52" i="14"/>
  <c r="O53" i="14"/>
  <c r="O52" i="14"/>
  <c r="O55" i="14"/>
  <c r="N53" i="14"/>
  <c r="N52" i="14"/>
  <c r="N55" i="14"/>
  <c r="H179" i="14"/>
  <c r="D182" i="14" s="1"/>
  <c r="H323" i="14"/>
  <c r="R16" i="16"/>
  <c r="R222" i="16" s="1"/>
  <c r="R17" i="16"/>
  <c r="R18" i="16" s="1"/>
  <c r="R322" i="16" s="1"/>
  <c r="Q16" i="16"/>
  <c r="Q222" i="16" s="1"/>
  <c r="Q17" i="16"/>
  <c r="Q18" i="16" s="1"/>
  <c r="Q322" i="16" s="1"/>
  <c r="R21" i="16"/>
  <c r="R162" i="16" s="1"/>
  <c r="P59" i="14"/>
  <c r="P109" i="14"/>
  <c r="O59" i="14"/>
  <c r="O109" i="14"/>
  <c r="T59" i="14"/>
  <c r="T109" i="14"/>
  <c r="Q109" i="14"/>
  <c r="M109" i="14"/>
  <c r="K59" i="14"/>
  <c r="K109" i="14"/>
  <c r="R109" i="14"/>
  <c r="S109" i="14"/>
  <c r="L59" i="14"/>
  <c r="L109" i="14"/>
  <c r="J109" i="14"/>
  <c r="N109" i="14"/>
  <c r="N21" i="16"/>
  <c r="N162" i="16" s="1"/>
  <c r="M21" i="16"/>
  <c r="M169" i="16" s="1"/>
  <c r="L29" i="7"/>
  <c r="O29" i="7"/>
  <c r="P21" i="16"/>
  <c r="P163" i="16" s="1"/>
  <c r="Q21" i="16"/>
  <c r="Q169" i="16" s="1"/>
  <c r="N59" i="14"/>
  <c r="J59" i="14"/>
  <c r="T60" i="14"/>
  <c r="Q60" i="14"/>
  <c r="K60" i="14"/>
  <c r="M59" i="14"/>
  <c r="Q59" i="14"/>
  <c r="R59" i="14"/>
  <c r="S59" i="14"/>
  <c r="K21" i="16"/>
  <c r="K169" i="16" s="1"/>
  <c r="T16" i="16"/>
  <c r="T222" i="16" s="1"/>
  <c r="T17" i="16"/>
  <c r="T18" i="16" s="1"/>
  <c r="T322" i="16" s="1"/>
  <c r="S16" i="16"/>
  <c r="S222" i="16" s="1"/>
  <c r="S17" i="16"/>
  <c r="S18" i="16" s="1"/>
  <c r="S322" i="16" s="1"/>
  <c r="T50" i="15"/>
  <c r="T57" i="15" s="1"/>
  <c r="AO331" i="16"/>
  <c r="AO597" i="16"/>
  <c r="AA21" i="16"/>
  <c r="AA162" i="16" s="1"/>
  <c r="AA17" i="16"/>
  <c r="AA18" i="16" s="1"/>
  <c r="AA322" i="16" s="1"/>
  <c r="I597" i="16"/>
  <c r="AO340" i="16"/>
  <c r="Y340" i="16"/>
  <c r="X340" i="16"/>
  <c r="AJ340" i="16"/>
  <c r="AI340" i="16"/>
  <c r="J340" i="16"/>
  <c r="W340" i="16"/>
  <c r="Z340" i="16"/>
  <c r="M340" i="16"/>
  <c r="W21" i="16"/>
  <c r="W17" i="16"/>
  <c r="W18" i="16" s="1"/>
  <c r="W322" i="16" s="1"/>
  <c r="X21" i="16"/>
  <c r="X17" i="16"/>
  <c r="X18" i="16" s="1"/>
  <c r="X322" i="16" s="1"/>
  <c r="H516" i="15"/>
  <c r="AB21" i="16"/>
  <c r="AB17" i="16"/>
  <c r="AB18" i="16" s="1"/>
  <c r="AB322" i="16" s="1"/>
  <c r="V21" i="16"/>
  <c r="V17" i="16"/>
  <c r="V18" i="16" s="1"/>
  <c r="V322" i="16" s="1"/>
  <c r="Z21" i="16"/>
  <c r="Z17" i="16"/>
  <c r="Z18" i="16" s="1"/>
  <c r="Z322" i="16" s="1"/>
  <c r="U21" i="16"/>
  <c r="U162" i="16" s="1"/>
  <c r="U17" i="16"/>
  <c r="U18" i="16" s="1"/>
  <c r="U322" i="16" s="1"/>
  <c r="Y21" i="16"/>
  <c r="Y169" i="16" s="1"/>
  <c r="Y17" i="16"/>
  <c r="Y18" i="16" s="1"/>
  <c r="Y322" i="16" s="1"/>
  <c r="I331" i="16"/>
  <c r="T162" i="16"/>
  <c r="S162" i="16"/>
  <c r="U216" i="15"/>
  <c r="Y216" i="15"/>
  <c r="X216" i="15"/>
  <c r="Z205" i="15"/>
  <c r="AB216" i="15"/>
  <c r="AA216" i="15"/>
  <c r="W205" i="15"/>
  <c r="V216" i="15"/>
  <c r="Z216" i="15"/>
  <c r="Y36" i="9"/>
  <c r="P60" i="14"/>
  <c r="Z36" i="9"/>
  <c r="O60" i="14"/>
  <c r="J61" i="14"/>
  <c r="N61" i="14"/>
  <c r="X36" i="9"/>
  <c r="N60" i="14"/>
  <c r="AA36" i="9"/>
  <c r="AB60" i="14"/>
  <c r="T61" i="14"/>
  <c r="Q61" i="14"/>
  <c r="K61" i="14"/>
  <c r="AB36" i="9"/>
  <c r="R60" i="14"/>
  <c r="J60" i="14"/>
  <c r="L60" i="14"/>
  <c r="Z61" i="14"/>
  <c r="S60" i="14"/>
  <c r="W60" i="14"/>
  <c r="M60" i="14"/>
  <c r="AD415" i="15"/>
  <c r="AL415" i="15"/>
  <c r="AF415" i="15"/>
  <c r="AN415" i="15"/>
  <c r="Z415" i="15"/>
  <c r="AH415" i="15"/>
  <c r="T415" i="15"/>
  <c r="AB415" i="15"/>
  <c r="Y206" i="15"/>
  <c r="AH27" i="15"/>
  <c r="AH28" i="15"/>
  <c r="V206" i="15"/>
  <c r="AH26" i="15"/>
  <c r="L83" i="14"/>
  <c r="S83" i="14"/>
  <c r="J21" i="16"/>
  <c r="J163" i="16" s="1"/>
  <c r="O21" i="16"/>
  <c r="P83" i="14"/>
  <c r="J83" i="14"/>
  <c r="O83" i="14"/>
  <c r="N83" i="14"/>
  <c r="S61" i="14"/>
  <c r="L61" i="14"/>
  <c r="R83" i="14"/>
  <c r="T83" i="14"/>
  <c r="Q83" i="14"/>
  <c r="K83" i="14"/>
  <c r="M83" i="14"/>
  <c r="L21" i="16"/>
  <c r="W61" i="14"/>
  <c r="AB61" i="14"/>
  <c r="M61" i="14"/>
  <c r="R61" i="14"/>
  <c r="O61" i="14"/>
  <c r="P61" i="14"/>
  <c r="O191" i="14"/>
  <c r="W191" i="14"/>
  <c r="AE191" i="14"/>
  <c r="AM191" i="14"/>
  <c r="P191" i="14"/>
  <c r="X191" i="14"/>
  <c r="AF191" i="14"/>
  <c r="AN191" i="14"/>
  <c r="Q191" i="14"/>
  <c r="Y191" i="14"/>
  <c r="AG191" i="14"/>
  <c r="AO191" i="14"/>
  <c r="J191" i="14"/>
  <c r="R191" i="14"/>
  <c r="Z191" i="14"/>
  <c r="AH191" i="14"/>
  <c r="L191" i="14"/>
  <c r="T191" i="14"/>
  <c r="AB191" i="14"/>
  <c r="AJ191" i="14"/>
  <c r="M191" i="14"/>
  <c r="U191" i="14"/>
  <c r="AC191" i="14"/>
  <c r="AK191" i="14"/>
  <c r="AI191" i="14"/>
  <c r="V191" i="14"/>
  <c r="AL191" i="14"/>
  <c r="K191" i="14"/>
  <c r="N191" i="14"/>
  <c r="S191" i="14"/>
  <c r="I191" i="14"/>
  <c r="AA191" i="14"/>
  <c r="AD191" i="14"/>
  <c r="R35" i="9"/>
  <c r="Y37" i="9"/>
  <c r="Z35" i="9"/>
  <c r="AB35" i="9"/>
  <c r="L35" i="9"/>
  <c r="V35" i="9"/>
  <c r="AA37" i="9"/>
  <c r="T35" i="9"/>
  <c r="U35" i="9"/>
  <c r="K35" i="9"/>
  <c r="M35" i="9"/>
  <c r="J121" i="7"/>
  <c r="P121" i="7"/>
  <c r="W121" i="7"/>
  <c r="Y121" i="7"/>
  <c r="R121" i="7"/>
  <c r="AB206" i="15"/>
  <c r="Z217" i="15"/>
  <c r="Y217" i="15"/>
  <c r="V217" i="15"/>
  <c r="W206" i="15"/>
  <c r="AA217" i="15"/>
  <c r="AB217" i="15"/>
  <c r="X217" i="15"/>
  <c r="U206" i="15"/>
  <c r="AA206" i="15"/>
  <c r="W217" i="15"/>
  <c r="U217" i="15"/>
  <c r="I63" i="7"/>
  <c r="X206" i="15"/>
  <c r="Z206" i="15"/>
  <c r="P29" i="7"/>
  <c r="J50" i="15"/>
  <c r="H195" i="15"/>
  <c r="Q29" i="7"/>
  <c r="M29" i="7"/>
  <c r="J29" i="7"/>
  <c r="Y204" i="15"/>
  <c r="V204" i="15"/>
  <c r="M50" i="15"/>
  <c r="M57" i="15" s="1"/>
  <c r="U244" i="15"/>
  <c r="U215" i="15"/>
  <c r="AA35" i="9"/>
  <c r="W244" i="15"/>
  <c r="W215" i="15"/>
  <c r="AB244" i="15"/>
  <c r="AB215" i="15"/>
  <c r="Z244" i="15"/>
  <c r="Z215" i="15"/>
  <c r="Y35" i="9"/>
  <c r="W204" i="15"/>
  <c r="Y244" i="15"/>
  <c r="Y215" i="15"/>
  <c r="AB204" i="15"/>
  <c r="AA244" i="15"/>
  <c r="AA204" i="15"/>
  <c r="AA215" i="15"/>
  <c r="U204" i="15"/>
  <c r="V244" i="15"/>
  <c r="V215" i="15"/>
  <c r="X244" i="15"/>
  <c r="X215" i="15"/>
  <c r="Z204" i="15"/>
  <c r="X35" i="9"/>
  <c r="X204" i="15"/>
  <c r="L18" i="16"/>
  <c r="L322" i="16" s="1"/>
  <c r="L17" i="15"/>
  <c r="L18" i="15" s="1"/>
  <c r="L73" i="15" s="1"/>
  <c r="N18" i="16"/>
  <c r="N322" i="16" s="1"/>
  <c r="N17" i="15"/>
  <c r="N18" i="15" s="1"/>
  <c r="N73" i="15" s="1"/>
  <c r="O17" i="15"/>
  <c r="O18" i="15" s="1"/>
  <c r="O73" i="15" s="1"/>
  <c r="K18" i="16"/>
  <c r="K322" i="16" s="1"/>
  <c r="K17" i="15"/>
  <c r="K18" i="15" s="1"/>
  <c r="K73" i="15" s="1"/>
  <c r="M18" i="16"/>
  <c r="M322" i="16" s="1"/>
  <c r="M17" i="15"/>
  <c r="M18" i="15" s="1"/>
  <c r="M73" i="15" s="1"/>
  <c r="P17" i="15"/>
  <c r="P18" i="15" s="1"/>
  <c r="P73" i="15" s="1"/>
  <c r="Q17" i="15"/>
  <c r="Q18" i="15" s="1"/>
  <c r="Q73" i="15" s="1"/>
  <c r="R50" i="15"/>
  <c r="R57" i="15" s="1"/>
  <c r="AB50" i="15"/>
  <c r="AB57" i="15" s="1"/>
  <c r="Y16" i="15"/>
  <c r="Y37" i="8"/>
  <c r="X16" i="15"/>
  <c r="T169" i="16"/>
  <c r="Z37" i="8"/>
  <c r="Y31" i="9"/>
  <c r="Z31" i="9"/>
  <c r="X31" i="9"/>
  <c r="AB31" i="9"/>
  <c r="Z37" i="9"/>
  <c r="T16" i="15"/>
  <c r="S16" i="15"/>
  <c r="R16" i="15"/>
  <c r="R101" i="15" s="1"/>
  <c r="U73" i="16"/>
  <c r="U16" i="15"/>
  <c r="U271" i="15" s="1"/>
  <c r="X37" i="9"/>
  <c r="AB37" i="9"/>
  <c r="AA16" i="15"/>
  <c r="V64" i="16"/>
  <c r="V16" i="15"/>
  <c r="V271" i="15" s="1"/>
  <c r="W16" i="15"/>
  <c r="AB16" i="15"/>
  <c r="AA37" i="8"/>
  <c r="X37" i="8"/>
  <c r="AA31" i="9"/>
  <c r="S169" i="16"/>
  <c r="Z16" i="15"/>
  <c r="AB37" i="8"/>
  <c r="AN18" i="16"/>
  <c r="AN322" i="16" s="1"/>
  <c r="AI17" i="15"/>
  <c r="AI18" i="15" s="1"/>
  <c r="AI73" i="15" s="1"/>
  <c r="AI18" i="16"/>
  <c r="AI322" i="16" s="1"/>
  <c r="AK17" i="15"/>
  <c r="AK18" i="15" s="1"/>
  <c r="AK73" i="15" s="1"/>
  <c r="AK18" i="16"/>
  <c r="AK322" i="16" s="1"/>
  <c r="X17" i="15"/>
  <c r="X18" i="15" s="1"/>
  <c r="X73" i="15" s="1"/>
  <c r="AM18" i="16"/>
  <c r="AM322" i="16" s="1"/>
  <c r="L16" i="15"/>
  <c r="L271" i="15" s="1"/>
  <c r="R17" i="15"/>
  <c r="R18" i="15" s="1"/>
  <c r="R73" i="15" s="1"/>
  <c r="AG18" i="16"/>
  <c r="AG322" i="16" s="1"/>
  <c r="AG17" i="15"/>
  <c r="AG18" i="15" s="1"/>
  <c r="AG73" i="15" s="1"/>
  <c r="K75" i="16"/>
  <c r="K16" i="15"/>
  <c r="K271" i="15" s="1"/>
  <c r="U17" i="15"/>
  <c r="U18" i="15" s="1"/>
  <c r="U73" i="15" s="1"/>
  <c r="O16" i="15"/>
  <c r="O271" i="15" s="1"/>
  <c r="W17" i="15"/>
  <c r="W18" i="15" s="1"/>
  <c r="W73" i="15" s="1"/>
  <c r="AB17" i="15"/>
  <c r="AB18" i="15" s="1"/>
  <c r="AB73" i="15" s="1"/>
  <c r="AC17" i="15"/>
  <c r="AC18" i="15" s="1"/>
  <c r="AC73" i="15" s="1"/>
  <c r="AC18" i="16"/>
  <c r="AC322" i="16" s="1"/>
  <c r="V17" i="15"/>
  <c r="V18" i="15" s="1"/>
  <c r="V73" i="15" s="1"/>
  <c r="AH18" i="16"/>
  <c r="AH322" i="16" s="1"/>
  <c r="AH17" i="15"/>
  <c r="AH18" i="15" s="1"/>
  <c r="AH73" i="15" s="1"/>
  <c r="N16" i="15"/>
  <c r="N271" i="15" s="1"/>
  <c r="Z17" i="15"/>
  <c r="Z18" i="15" s="1"/>
  <c r="Z73" i="15" s="1"/>
  <c r="AE18" i="16"/>
  <c r="AE322" i="16" s="1"/>
  <c r="AE17" i="15"/>
  <c r="AE18" i="15" s="1"/>
  <c r="AE73" i="15" s="1"/>
  <c r="J75" i="16"/>
  <c r="J271" i="15"/>
  <c r="T17" i="15"/>
  <c r="T18" i="15" s="1"/>
  <c r="T73" i="15" s="1"/>
  <c r="Y17" i="15"/>
  <c r="Y18" i="15" s="1"/>
  <c r="Y73" i="15" s="1"/>
  <c r="AD17" i="15"/>
  <c r="AD18" i="15" s="1"/>
  <c r="AD73" i="15" s="1"/>
  <c r="AD18" i="16"/>
  <c r="AD322" i="16" s="1"/>
  <c r="AF18" i="16"/>
  <c r="AF322" i="16" s="1"/>
  <c r="AF17" i="15"/>
  <c r="AF18" i="15" s="1"/>
  <c r="AF73" i="15" s="1"/>
  <c r="S17" i="15"/>
  <c r="S18" i="15" s="1"/>
  <c r="S73" i="15" s="1"/>
  <c r="AL17" i="15"/>
  <c r="AL18" i="15" s="1"/>
  <c r="AL73" i="15" s="1"/>
  <c r="AL18" i="16"/>
  <c r="AL322" i="16" s="1"/>
  <c r="M16" i="15"/>
  <c r="M271" i="15" s="1"/>
  <c r="M69" i="16"/>
  <c r="P16" i="15"/>
  <c r="P271" i="15" s="1"/>
  <c r="Q16" i="15"/>
  <c r="Q271" i="15" s="1"/>
  <c r="AA17" i="15"/>
  <c r="AA18" i="15" s="1"/>
  <c r="AA73" i="15" s="1"/>
  <c r="AJ17" i="15"/>
  <c r="AJ18" i="15" s="1"/>
  <c r="AJ73" i="15" s="1"/>
  <c r="AJ18" i="16"/>
  <c r="AJ322" i="16" s="1"/>
  <c r="G61" i="7"/>
  <c r="S39" i="7"/>
  <c r="J39" i="7"/>
  <c r="L21" i="15"/>
  <c r="L208" i="15" s="1"/>
  <c r="T204" i="15"/>
  <c r="S21" i="15"/>
  <c r="R21" i="15"/>
  <c r="U64" i="16"/>
  <c r="V50" i="15"/>
  <c r="V57" i="15" s="1"/>
  <c r="Q39" i="7"/>
  <c r="S168" i="16"/>
  <c r="T168" i="16"/>
  <c r="L39" i="7"/>
  <c r="N29" i="7"/>
  <c r="AA38" i="7"/>
  <c r="T215" i="15"/>
  <c r="M38" i="7"/>
  <c r="V38" i="7"/>
  <c r="L36" i="9"/>
  <c r="S37" i="9"/>
  <c r="S35" i="9"/>
  <c r="Z38" i="7"/>
  <c r="W38" i="7"/>
  <c r="K29" i="7"/>
  <c r="R29" i="7"/>
  <c r="P37" i="9"/>
  <c r="J36" i="9"/>
  <c r="W37" i="9"/>
  <c r="O37" i="9"/>
  <c r="N37" i="9"/>
  <c r="O35" i="9"/>
  <c r="U38" i="7"/>
  <c r="X38" i="7"/>
  <c r="N35" i="9"/>
  <c r="Y38" i="7"/>
  <c r="S38" i="7"/>
  <c r="O38" i="7"/>
  <c r="K38" i="7"/>
  <c r="T36" i="9"/>
  <c r="U37" i="9"/>
  <c r="K36" i="9"/>
  <c r="M36" i="9"/>
  <c r="Q35" i="9"/>
  <c r="P35" i="9"/>
  <c r="T38" i="7"/>
  <c r="P38" i="7"/>
  <c r="T167" i="16"/>
  <c r="T161" i="16"/>
  <c r="S161" i="16"/>
  <c r="S167" i="16"/>
  <c r="N38" i="7"/>
  <c r="R36" i="9"/>
  <c r="W35" i="9"/>
  <c r="AB38" i="7"/>
  <c r="R38" i="7"/>
  <c r="AO56" i="16"/>
  <c r="S163" i="16"/>
  <c r="T163" i="16"/>
  <c r="I56" i="16"/>
  <c r="H154" i="16"/>
  <c r="J56" i="16"/>
  <c r="U36" i="9"/>
  <c r="N36" i="9"/>
  <c r="AA39" i="7"/>
  <c r="T195" i="16"/>
  <c r="S36" i="9"/>
  <c r="P36" i="9"/>
  <c r="U39" i="7"/>
  <c r="Q36" i="9"/>
  <c r="Y39" i="7"/>
  <c r="W39" i="7"/>
  <c r="S195" i="16"/>
  <c r="V36" i="9"/>
  <c r="X39" i="7"/>
  <c r="T39" i="7"/>
  <c r="W36" i="9"/>
  <c r="O36" i="9"/>
  <c r="Z39" i="7"/>
  <c r="V39" i="7"/>
  <c r="AB39" i="7"/>
  <c r="V74" i="16"/>
  <c r="U74" i="16"/>
  <c r="O21" i="15"/>
  <c r="O208" i="15" s="1"/>
  <c r="J21" i="15"/>
  <c r="I21" i="15"/>
  <c r="Q21" i="15"/>
  <c r="Q208" i="15" s="1"/>
  <c r="N21" i="15"/>
  <c r="N208" i="15" s="1"/>
  <c r="M21" i="15"/>
  <c r="M208" i="15" s="1"/>
  <c r="P21" i="15"/>
  <c r="P208" i="15" s="1"/>
  <c r="K21" i="15"/>
  <c r="K208" i="15" s="1"/>
  <c r="V75" i="16"/>
  <c r="U75" i="16"/>
  <c r="R63" i="7"/>
  <c r="R40" i="7"/>
  <c r="J37" i="9"/>
  <c r="P63" i="7"/>
  <c r="P40" i="7"/>
  <c r="L63" i="7"/>
  <c r="L40" i="7"/>
  <c r="S63" i="7"/>
  <c r="S40" i="7"/>
  <c r="K63" i="7"/>
  <c r="K40" i="7"/>
  <c r="O63" i="7"/>
  <c r="O40" i="7"/>
  <c r="N63" i="7"/>
  <c r="N40" i="7"/>
  <c r="M63" i="7"/>
  <c r="M40" i="7"/>
  <c r="J63" i="7"/>
  <c r="J40" i="7"/>
  <c r="Q63" i="7"/>
  <c r="Q40" i="7"/>
  <c r="I40" i="7"/>
  <c r="O37" i="8"/>
  <c r="N37" i="8"/>
  <c r="V37" i="8"/>
  <c r="T31" i="9"/>
  <c r="U31" i="9"/>
  <c r="Q31" i="9"/>
  <c r="Q37" i="8"/>
  <c r="U37" i="8"/>
  <c r="T37" i="8"/>
  <c r="R31" i="9"/>
  <c r="T37" i="9"/>
  <c r="V31" i="9"/>
  <c r="S31" i="9"/>
  <c r="R37" i="9"/>
  <c r="L37" i="9"/>
  <c r="P37" i="8"/>
  <c r="S37" i="8"/>
  <c r="Q37" i="9"/>
  <c r="V37" i="9"/>
  <c r="K37" i="9"/>
  <c r="R37" i="8"/>
  <c r="W37" i="8"/>
  <c r="P31" i="9"/>
  <c r="W31" i="9"/>
  <c r="O31" i="9"/>
  <c r="N31" i="9"/>
  <c r="M37" i="9"/>
  <c r="I39" i="7"/>
  <c r="K31" i="9"/>
  <c r="M31" i="9"/>
  <c r="J31" i="9"/>
  <c r="L31" i="9"/>
  <c r="R34" i="7"/>
  <c r="P34" i="7"/>
  <c r="L34" i="7"/>
  <c r="Q34" i="7"/>
  <c r="M34" i="7"/>
  <c r="K34" i="7"/>
  <c r="O34" i="7"/>
  <c r="J34" i="7"/>
  <c r="S34" i="7"/>
  <c r="J19" i="8"/>
  <c r="J65" i="8" s="1"/>
  <c r="K19" i="8"/>
  <c r="K65" i="8" s="1"/>
  <c r="L19" i="8"/>
  <c r="L65" i="8" s="1"/>
  <c r="M19" i="8"/>
  <c r="M65" i="8" s="1"/>
  <c r="N34" i="7"/>
  <c r="V63" i="7"/>
  <c r="Y63" i="7"/>
  <c r="U63" i="7"/>
  <c r="AB63" i="7"/>
  <c r="AA63" i="7"/>
  <c r="W63" i="7"/>
  <c r="T63" i="7"/>
  <c r="Z63" i="7"/>
  <c r="X63" i="7"/>
  <c r="L50" i="15"/>
  <c r="L57" i="15" s="1"/>
  <c r="I34" i="7"/>
  <c r="AB34" i="7"/>
  <c r="AB29" i="7"/>
  <c r="AA34" i="7"/>
  <c r="AA29" i="7"/>
  <c r="Y34" i="7"/>
  <c r="Y29" i="7"/>
  <c r="X34" i="7"/>
  <c r="X29" i="7"/>
  <c r="Z34" i="7"/>
  <c r="Z29" i="7"/>
  <c r="T34" i="7"/>
  <c r="T29" i="7"/>
  <c r="V34" i="7"/>
  <c r="V29" i="7"/>
  <c r="W34" i="7"/>
  <c r="W29" i="7"/>
  <c r="U34" i="7"/>
  <c r="U29" i="7"/>
  <c r="I53" i="14" l="1"/>
  <c r="AH65" i="16"/>
  <c r="AH182" i="16"/>
  <c r="AM182" i="16"/>
  <c r="AJ182" i="16"/>
  <c r="AL182" i="16"/>
  <c r="AK182" i="16"/>
  <c r="AC182" i="16"/>
  <c r="AG182" i="16"/>
  <c r="AD182" i="16"/>
  <c r="AO182" i="16"/>
  <c r="AN182" i="16"/>
  <c r="AI182" i="16"/>
  <c r="AE182" i="16"/>
  <c r="AF182" i="16"/>
  <c r="I161" i="16"/>
  <c r="I167" i="16"/>
  <c r="AN334" i="14"/>
  <c r="AE189" i="14"/>
  <c r="T26" i="9"/>
  <c r="O202" i="9"/>
  <c r="L114" i="9"/>
  <c r="Z26" i="9"/>
  <c r="AO26" i="9"/>
  <c r="AB26" i="9"/>
  <c r="Q202" i="9"/>
  <c r="J26" i="9"/>
  <c r="W202" i="9"/>
  <c r="P26" i="9"/>
  <c r="V26" i="9"/>
  <c r="N114" i="9"/>
  <c r="N26" i="9"/>
  <c r="L26" i="9"/>
  <c r="AN114" i="9"/>
  <c r="S32" i="8"/>
  <c r="AE114" i="9"/>
  <c r="AF202" i="9"/>
  <c r="O26" i="9"/>
  <c r="U114" i="9"/>
  <c r="AF114" i="9"/>
  <c r="AI26" i="9"/>
  <c r="K26" i="9"/>
  <c r="AJ26" i="9"/>
  <c r="AD26" i="9"/>
  <c r="AJ114" i="9"/>
  <c r="K114" i="9"/>
  <c r="Q26" i="9"/>
  <c r="AI202" i="9"/>
  <c r="W114" i="9"/>
  <c r="I114" i="9"/>
  <c r="P202" i="9"/>
  <c r="N202" i="9"/>
  <c r="I202" i="9"/>
  <c r="AO202" i="9"/>
  <c r="AH26" i="9"/>
  <c r="Z202" i="9"/>
  <c r="W26" i="9"/>
  <c r="AA26" i="9"/>
  <c r="AG114" i="9"/>
  <c r="K202" i="9"/>
  <c r="S114" i="9"/>
  <c r="AG202" i="9"/>
  <c r="Y114" i="9"/>
  <c r="X202" i="9"/>
  <c r="AD202" i="9"/>
  <c r="Z114" i="9"/>
  <c r="AG26" i="9"/>
  <c r="R26" i="9"/>
  <c r="U26" i="9"/>
  <c r="R114" i="9"/>
  <c r="AE26" i="9"/>
  <c r="T114" i="9"/>
  <c r="AJ202" i="9"/>
  <c r="AF26" i="9"/>
  <c r="M202" i="9"/>
  <c r="AN202" i="9"/>
  <c r="X26" i="9"/>
  <c r="AB202" i="9"/>
  <c r="AD114" i="9"/>
  <c r="AK26" i="9"/>
  <c r="J202" i="9"/>
  <c r="AM114" i="9"/>
  <c r="O114" i="9"/>
  <c r="U202" i="9"/>
  <c r="V202" i="9"/>
  <c r="AA114" i="9"/>
  <c r="Y26" i="9"/>
  <c r="M26" i="9"/>
  <c r="S26" i="9"/>
  <c r="N47" i="14"/>
  <c r="S202" i="9"/>
  <c r="AH202" i="9"/>
  <c r="AC114" i="9"/>
  <c r="AC26" i="9"/>
  <c r="AO114" i="9"/>
  <c r="V114" i="9"/>
  <c r="P114" i="9"/>
  <c r="AL26" i="9"/>
  <c r="Z47" i="14"/>
  <c r="P47" i="14"/>
  <c r="AO47" i="14"/>
  <c r="R202" i="9"/>
  <c r="AL202" i="9"/>
  <c r="AE202" i="9"/>
  <c r="X114" i="9"/>
  <c r="J114" i="9"/>
  <c r="AK202" i="9"/>
  <c r="AB114" i="9"/>
  <c r="L202" i="9"/>
  <c r="T202" i="9"/>
  <c r="AL114" i="9"/>
  <c r="N167" i="16"/>
  <c r="N161" i="16"/>
  <c r="G313" i="15"/>
  <c r="Z32" i="8"/>
  <c r="AB32" i="8"/>
  <c r="AN47" i="14"/>
  <c r="Q32" i="8"/>
  <c r="J334" i="14"/>
  <c r="AA202" i="9"/>
  <c r="R32" i="8"/>
  <c r="Y32" i="8"/>
  <c r="X334" i="14"/>
  <c r="AH114" i="9"/>
  <c r="AM26" i="9"/>
  <c r="V32" i="8"/>
  <c r="W32" i="8"/>
  <c r="P32" i="8"/>
  <c r="T47" i="14"/>
  <c r="T334" i="14"/>
  <c r="Y202" i="9"/>
  <c r="U32" i="8"/>
  <c r="N32" i="8"/>
  <c r="X32" i="8"/>
  <c r="L47" i="14"/>
  <c r="L189" i="14"/>
  <c r="AM202" i="9"/>
  <c r="AN26" i="9"/>
  <c r="T32" i="8"/>
  <c r="O32" i="8"/>
  <c r="AD334" i="14"/>
  <c r="AK114" i="9"/>
  <c r="W109" i="14"/>
  <c r="N121" i="16"/>
  <c r="O121" i="16"/>
  <c r="R168" i="16"/>
  <c r="I168" i="16"/>
  <c r="Q163" i="16"/>
  <c r="R163" i="16"/>
  <c r="R169" i="16"/>
  <c r="V60" i="14"/>
  <c r="Y61" i="14"/>
  <c r="U61" i="14"/>
  <c r="J169" i="16"/>
  <c r="U845" i="15"/>
  <c r="V845" i="15"/>
  <c r="O845" i="15"/>
  <c r="AN71" i="15"/>
  <c r="AO71" i="15"/>
  <c r="AA845" i="15"/>
  <c r="J845" i="15"/>
  <c r="K845" i="15"/>
  <c r="L845" i="15"/>
  <c r="J71" i="15"/>
  <c r="X845" i="15"/>
  <c r="Y845" i="15"/>
  <c r="Z845" i="15"/>
  <c r="I71" i="15"/>
  <c r="Q845" i="15"/>
  <c r="R845" i="15"/>
  <c r="N845" i="15"/>
  <c r="M845" i="15"/>
  <c r="AB845" i="15"/>
  <c r="AO712" i="15"/>
  <c r="I845" i="15"/>
  <c r="W845" i="15"/>
  <c r="AM71" i="15"/>
  <c r="P845" i="15"/>
  <c r="S845" i="15"/>
  <c r="T845" i="15"/>
  <c r="Y60" i="14"/>
  <c r="Y30" i="7"/>
  <c r="E196" i="5"/>
  <c r="J115" i="9" s="1"/>
  <c r="AE65" i="16"/>
  <c r="AL91" i="15"/>
  <c r="I30" i="7"/>
  <c r="X30" i="7"/>
  <c r="P27" i="9"/>
  <c r="W27" i="9"/>
  <c r="V115" i="9"/>
  <c r="R115" i="9"/>
  <c r="M115" i="9"/>
  <c r="U203" i="9"/>
  <c r="V203" i="9"/>
  <c r="AG203" i="9"/>
  <c r="AN203" i="9"/>
  <c r="AO115" i="9"/>
  <c r="AK65" i="16"/>
  <c r="AG65" i="16"/>
  <c r="AD65" i="16"/>
  <c r="W30" i="7"/>
  <c r="J30" i="7"/>
  <c r="AA30" i="7"/>
  <c r="P30" i="7"/>
  <c r="U65" i="16"/>
  <c r="U115" i="9"/>
  <c r="L115" i="9"/>
  <c r="Y203" i="9"/>
  <c r="T203" i="9"/>
  <c r="S203" i="9"/>
  <c r="AF115" i="9"/>
  <c r="M30" i="7"/>
  <c r="AJ91" i="15"/>
  <c r="N208" i="7"/>
  <c r="U30" i="7"/>
  <c r="K30" i="7"/>
  <c r="K27" i="9"/>
  <c r="N30" i="7"/>
  <c r="V65" i="16"/>
  <c r="AB115" i="9"/>
  <c r="P115" i="9"/>
  <c r="W203" i="9"/>
  <c r="AH203" i="9"/>
  <c r="AE203" i="9"/>
  <c r="AE91" i="15"/>
  <c r="AF65" i="16"/>
  <c r="AO65" i="16"/>
  <c r="AC91" i="15"/>
  <c r="Z30" i="7"/>
  <c r="V30" i="7"/>
  <c r="O30" i="7"/>
  <c r="L30" i="7"/>
  <c r="AA115" i="9"/>
  <c r="J203" i="9"/>
  <c r="Q115" i="9"/>
  <c r="R203" i="9"/>
  <c r="K203" i="9"/>
  <c r="AF203" i="9"/>
  <c r="AC203" i="9"/>
  <c r="AE115" i="9"/>
  <c r="AI65" i="16"/>
  <c r="AK91" i="15"/>
  <c r="AC65" i="16"/>
  <c r="AN65" i="16"/>
  <c r="AB30" i="7"/>
  <c r="S30" i="7"/>
  <c r="Q30" i="7"/>
  <c r="X115" i="9"/>
  <c r="N115" i="9"/>
  <c r="Z203" i="9"/>
  <c r="Q203" i="9"/>
  <c r="AA203" i="9"/>
  <c r="AJ203" i="9"/>
  <c r="AD203" i="9"/>
  <c r="AN91" i="15"/>
  <c r="AL65" i="16"/>
  <c r="AH91" i="15"/>
  <c r="AM65" i="16"/>
  <c r="L203" i="9"/>
  <c r="O203" i="9"/>
  <c r="M203" i="9"/>
  <c r="AK115" i="9"/>
  <c r="AM203" i="9"/>
  <c r="AG115" i="9"/>
  <c r="AJ65" i="16"/>
  <c r="E152" i="5"/>
  <c r="J33" i="8" s="1"/>
  <c r="AG91" i="15"/>
  <c r="AO91" i="15"/>
  <c r="T30" i="7"/>
  <c r="R30" i="7"/>
  <c r="Z115" i="9"/>
  <c r="AI27" i="9"/>
  <c r="N203" i="9"/>
  <c r="X203" i="9"/>
  <c r="I203" i="9"/>
  <c r="AI203" i="9"/>
  <c r="AJ115" i="9"/>
  <c r="AI115" i="9"/>
  <c r="AD91" i="15"/>
  <c r="AM91" i="15"/>
  <c r="AF91" i="15"/>
  <c r="AO203" i="9"/>
  <c r="D327" i="14"/>
  <c r="L327" i="14"/>
  <c r="L330" i="14" s="1"/>
  <c r="X327" i="14"/>
  <c r="S327" i="14"/>
  <c r="V327" i="14"/>
  <c r="AA327" i="14"/>
  <c r="R327" i="14"/>
  <c r="R328" i="14" s="1"/>
  <c r="I327" i="14"/>
  <c r="I330" i="14" s="1"/>
  <c r="U327" i="14"/>
  <c r="U328" i="14" s="1"/>
  <c r="U330" i="14" s="1"/>
  <c r="T327" i="14"/>
  <c r="T328" i="14" s="1"/>
  <c r="T330" i="14" s="1"/>
  <c r="M327" i="14"/>
  <c r="M330" i="14" s="1"/>
  <c r="Y327" i="14"/>
  <c r="Z327" i="14"/>
  <c r="Z328" i="14" s="1"/>
  <c r="Z330" i="14" s="1"/>
  <c r="AB327" i="14"/>
  <c r="AB328" i="14" s="1"/>
  <c r="AB330" i="14" s="1"/>
  <c r="N327" i="14"/>
  <c r="N330" i="14" s="1"/>
  <c r="W327" i="14"/>
  <c r="K327" i="14"/>
  <c r="K330" i="14" s="1"/>
  <c r="P327" i="14"/>
  <c r="P330" i="14" s="1"/>
  <c r="Q327" i="14"/>
  <c r="Q330" i="14" s="1"/>
  <c r="J327" i="14"/>
  <c r="J330" i="14" s="1"/>
  <c r="O327" i="14"/>
  <c r="O330" i="14" s="1"/>
  <c r="AI91" i="15"/>
  <c r="AL605" i="16"/>
  <c r="X732" i="15"/>
  <c r="X605" i="16"/>
  <c r="AA732" i="15"/>
  <c r="Z605" i="16"/>
  <c r="AN339" i="16"/>
  <c r="Y414" i="15"/>
  <c r="AO605" i="16"/>
  <c r="AN414" i="15"/>
  <c r="AH605" i="16"/>
  <c r="AG207" i="7"/>
  <c r="AO207" i="7"/>
  <c r="V207" i="7"/>
  <c r="M732" i="15"/>
  <c r="O732" i="15"/>
  <c r="J732" i="15"/>
  <c r="P732" i="15"/>
  <c r="M414" i="15"/>
  <c r="I605" i="16"/>
  <c r="J339" i="16"/>
  <c r="R339" i="16"/>
  <c r="U120" i="7"/>
  <c r="Q120" i="7"/>
  <c r="AA120" i="7"/>
  <c r="AB605" i="16"/>
  <c r="AJ414" i="15"/>
  <c r="AD605" i="16"/>
  <c r="Y732" i="15"/>
  <c r="AL339" i="16"/>
  <c r="AI414" i="15"/>
  <c r="AA414" i="15"/>
  <c r="AE605" i="16"/>
  <c r="AL732" i="15"/>
  <c r="AM339" i="16"/>
  <c r="AJ207" i="7"/>
  <c r="AL207" i="7"/>
  <c r="I207" i="7"/>
  <c r="L414" i="15"/>
  <c r="AB207" i="7"/>
  <c r="K414" i="15"/>
  <c r="W414" i="15"/>
  <c r="U732" i="15"/>
  <c r="T339" i="16"/>
  <c r="L339" i="16"/>
  <c r="R605" i="16"/>
  <c r="V120" i="7"/>
  <c r="X120" i="7"/>
  <c r="K120" i="7"/>
  <c r="AE339" i="16"/>
  <c r="AH339" i="16"/>
  <c r="AB339" i="16"/>
  <c r="AB414" i="15"/>
  <c r="AH414" i="15"/>
  <c r="AH732" i="15"/>
  <c r="AB732" i="15"/>
  <c r="AK605" i="16"/>
  <c r="AC732" i="15"/>
  <c r="AE732" i="15"/>
  <c r="AN207" i="7"/>
  <c r="T207" i="7"/>
  <c r="W207" i="7"/>
  <c r="I732" i="15"/>
  <c r="P207" i="7"/>
  <c r="O414" i="15"/>
  <c r="N414" i="15"/>
  <c r="R414" i="15"/>
  <c r="L605" i="16"/>
  <c r="P605" i="16"/>
  <c r="N605" i="16"/>
  <c r="Y120" i="7"/>
  <c r="P120" i="7"/>
  <c r="S120" i="7"/>
  <c r="X414" i="15"/>
  <c r="AF339" i="16"/>
  <c r="AK339" i="16"/>
  <c r="AA339" i="16"/>
  <c r="V605" i="16"/>
  <c r="AM605" i="16"/>
  <c r="AN732" i="15"/>
  <c r="W339" i="16"/>
  <c r="AK414" i="15"/>
  <c r="Y605" i="16"/>
  <c r="AF207" i="7"/>
  <c r="S414" i="15"/>
  <c r="W732" i="15"/>
  <c r="T414" i="15"/>
  <c r="AA207" i="7"/>
  <c r="S207" i="7"/>
  <c r="Y207" i="7"/>
  <c r="X207" i="7"/>
  <c r="S605" i="16"/>
  <c r="K339" i="16"/>
  <c r="K605" i="16"/>
  <c r="J120" i="7"/>
  <c r="W120" i="7"/>
  <c r="AO414" i="15"/>
  <c r="AD732" i="15"/>
  <c r="AO339" i="16"/>
  <c r="Y339" i="16"/>
  <c r="AD339" i="16"/>
  <c r="AF414" i="15"/>
  <c r="AN605" i="16"/>
  <c r="AJ339" i="16"/>
  <c r="AG605" i="16"/>
  <c r="AC339" i="16"/>
  <c r="AC207" i="7"/>
  <c r="T732" i="15"/>
  <c r="Z207" i="7"/>
  <c r="P414" i="15"/>
  <c r="U414" i="15"/>
  <c r="S732" i="15"/>
  <c r="O207" i="7"/>
  <c r="P339" i="16"/>
  <c r="N339" i="16"/>
  <c r="Q339" i="16"/>
  <c r="Z120" i="7"/>
  <c r="O120" i="7"/>
  <c r="AL414" i="15"/>
  <c r="AM414" i="15"/>
  <c r="AE414" i="15"/>
  <c r="AK732" i="15"/>
  <c r="U339" i="16"/>
  <c r="AD414" i="15"/>
  <c r="AJ605" i="16"/>
  <c r="Z339" i="16"/>
  <c r="W605" i="16"/>
  <c r="AM207" i="7"/>
  <c r="AE207" i="7"/>
  <c r="Q414" i="15"/>
  <c r="V732" i="15"/>
  <c r="Q207" i="7"/>
  <c r="I414" i="15"/>
  <c r="K207" i="7"/>
  <c r="J207" i="7"/>
  <c r="J605" i="16"/>
  <c r="M605" i="16"/>
  <c r="T605" i="16"/>
  <c r="M120" i="7"/>
  <c r="AB120" i="7"/>
  <c r="AI732" i="15"/>
  <c r="AA605" i="16"/>
  <c r="AM732" i="15"/>
  <c r="Z732" i="15"/>
  <c r="AI339" i="16"/>
  <c r="AC414" i="15"/>
  <c r="V339" i="16"/>
  <c r="X339" i="16"/>
  <c r="AC605" i="16"/>
  <c r="AK207" i="7"/>
  <c r="AD207" i="7"/>
  <c r="L207" i="7"/>
  <c r="N207" i="7"/>
  <c r="K732" i="15"/>
  <c r="R732" i="15"/>
  <c r="U207" i="7"/>
  <c r="M207" i="7"/>
  <c r="Q605" i="16"/>
  <c r="S339" i="16"/>
  <c r="O605" i="16"/>
  <c r="I120" i="7"/>
  <c r="T120" i="7"/>
  <c r="AF605" i="16"/>
  <c r="AG732" i="15"/>
  <c r="AO732" i="15"/>
  <c r="Z414" i="15"/>
  <c r="AJ732" i="15"/>
  <c r="AG339" i="16"/>
  <c r="U605" i="16"/>
  <c r="AF732" i="15"/>
  <c r="AG414" i="15"/>
  <c r="AI605" i="16"/>
  <c r="AH207" i="7"/>
  <c r="AI207" i="7"/>
  <c r="R207" i="7"/>
  <c r="L732" i="15"/>
  <c r="Q732" i="15"/>
  <c r="V414" i="15"/>
  <c r="N732" i="15"/>
  <c r="J414" i="15"/>
  <c r="M339" i="16"/>
  <c r="O339" i="16"/>
  <c r="I339" i="16"/>
  <c r="R120" i="7"/>
  <c r="N120" i="7"/>
  <c r="L120" i="7"/>
  <c r="E261" i="5"/>
  <c r="U844" i="15"/>
  <c r="O844" i="15"/>
  <c r="X844" i="15"/>
  <c r="I844" i="15"/>
  <c r="W844" i="15"/>
  <c r="Z844" i="15"/>
  <c r="J844" i="15"/>
  <c r="J858" i="15" s="1"/>
  <c r="T844" i="15"/>
  <c r="M844" i="15"/>
  <c r="AA844" i="15"/>
  <c r="S844" i="15"/>
  <c r="P844" i="15"/>
  <c r="K844" i="15"/>
  <c r="Y844" i="15"/>
  <c r="AB844" i="15"/>
  <c r="Q844" i="15"/>
  <c r="L844" i="15"/>
  <c r="L858" i="15" s="1"/>
  <c r="V844" i="15"/>
  <c r="V858" i="15" s="1"/>
  <c r="R844" i="15"/>
  <c r="N844" i="15"/>
  <c r="O393" i="15"/>
  <c r="N393" i="15"/>
  <c r="AE393" i="15"/>
  <c r="AB393" i="15"/>
  <c r="AN393" i="15"/>
  <c r="AH393" i="15"/>
  <c r="S526" i="15"/>
  <c r="S540" i="15" s="1"/>
  <c r="AO70" i="15"/>
  <c r="AM70" i="15"/>
  <c r="L393" i="15"/>
  <c r="P393" i="15"/>
  <c r="P526" i="15"/>
  <c r="P540" i="15" s="1"/>
  <c r="X526" i="15"/>
  <c r="X540" i="15" s="1"/>
  <c r="AK393" i="15"/>
  <c r="AA526" i="15"/>
  <c r="AA540" i="15" s="1"/>
  <c r="J526" i="15"/>
  <c r="J540" i="15" s="1"/>
  <c r="J70" i="15"/>
  <c r="M393" i="15"/>
  <c r="AC393" i="15"/>
  <c r="AB526" i="15"/>
  <c r="AB540" i="15" s="1"/>
  <c r="AJ393" i="15"/>
  <c r="T393" i="15"/>
  <c r="M526" i="15"/>
  <c r="M540" i="15" s="1"/>
  <c r="O526" i="15"/>
  <c r="O540" i="15" s="1"/>
  <c r="I70" i="15"/>
  <c r="J393" i="15"/>
  <c r="R526" i="15"/>
  <c r="R540" i="15" s="1"/>
  <c r="AA393" i="15"/>
  <c r="I526" i="15"/>
  <c r="I540" i="15" s="1"/>
  <c r="AM393" i="15"/>
  <c r="Z393" i="15"/>
  <c r="Z526" i="15"/>
  <c r="Z540" i="15" s="1"/>
  <c r="R393" i="15"/>
  <c r="V526" i="15"/>
  <c r="V540" i="15" s="1"/>
  <c r="AG393" i="15"/>
  <c r="Y393" i="15"/>
  <c r="X393" i="15"/>
  <c r="V393" i="15"/>
  <c r="I393" i="15"/>
  <c r="Y526" i="15"/>
  <c r="Y540" i="15" s="1"/>
  <c r="K526" i="15"/>
  <c r="K540" i="15" s="1"/>
  <c r="U526" i="15"/>
  <c r="U540" i="15" s="1"/>
  <c r="AD393" i="15"/>
  <c r="AF393" i="15"/>
  <c r="AO393" i="15"/>
  <c r="AO406" i="15" s="1"/>
  <c r="Q393" i="15"/>
  <c r="L526" i="15"/>
  <c r="L540" i="15" s="1"/>
  <c r="U393" i="15"/>
  <c r="AL393" i="15"/>
  <c r="AI393" i="15"/>
  <c r="Q526" i="15"/>
  <c r="Q540" i="15" s="1"/>
  <c r="AN70" i="15"/>
  <c r="AO711" i="15"/>
  <c r="K393" i="15"/>
  <c r="W393" i="15"/>
  <c r="S393" i="15"/>
  <c r="W526" i="15"/>
  <c r="W540" i="15" s="1"/>
  <c r="T526" i="15"/>
  <c r="T540" i="15" s="1"/>
  <c r="N526" i="15"/>
  <c r="N540" i="15" s="1"/>
  <c r="Y162" i="16"/>
  <c r="I65" i="16"/>
  <c r="Q168" i="16"/>
  <c r="I182" i="14"/>
  <c r="I185" i="14" s="1"/>
  <c r="Y182" i="14"/>
  <c r="Y183" i="14" s="1"/>
  <c r="Y185" i="14" s="1"/>
  <c r="AA182" i="14"/>
  <c r="AA183" i="14" s="1"/>
  <c r="AA185" i="14" s="1"/>
  <c r="Z182" i="14"/>
  <c r="Z183" i="14" s="1"/>
  <c r="Z185" i="14" s="1"/>
  <c r="X182" i="14"/>
  <c r="X183" i="14" s="1"/>
  <c r="X185" i="14" s="1"/>
  <c r="AB182" i="14"/>
  <c r="AB183" i="14" s="1"/>
  <c r="AB185" i="14" s="1"/>
  <c r="W182" i="14"/>
  <c r="T182" i="14"/>
  <c r="V182" i="14"/>
  <c r="L182" i="14"/>
  <c r="L185" i="14" s="1"/>
  <c r="N182" i="14"/>
  <c r="N185" i="14" s="1"/>
  <c r="R182" i="14"/>
  <c r="O182" i="14"/>
  <c r="O185" i="14" s="1"/>
  <c r="J182" i="14"/>
  <c r="J185" i="14" s="1"/>
  <c r="U182" i="14"/>
  <c r="P182" i="14"/>
  <c r="P185" i="14" s="1"/>
  <c r="M182" i="14"/>
  <c r="M185" i="14" s="1"/>
  <c r="S182" i="14"/>
  <c r="K182" i="14"/>
  <c r="K185" i="14" s="1"/>
  <c r="Q182" i="14"/>
  <c r="Q185" i="14" s="1"/>
  <c r="X59" i="14"/>
  <c r="X60" i="14"/>
  <c r="AA60" i="14"/>
  <c r="W55" i="14"/>
  <c r="Z55" i="14"/>
  <c r="W83" i="14"/>
  <c r="Z53" i="14"/>
  <c r="Z109" i="14"/>
  <c r="Z83" i="14"/>
  <c r="Z59" i="14"/>
  <c r="W52" i="14"/>
  <c r="W59" i="14"/>
  <c r="X55" i="14"/>
  <c r="X109" i="14"/>
  <c r="X52" i="14"/>
  <c r="X53" i="14"/>
  <c r="X83" i="14"/>
  <c r="AA109" i="14"/>
  <c r="V109" i="14"/>
  <c r="Y109" i="14"/>
  <c r="Y83" i="14"/>
  <c r="V55" i="14"/>
  <c r="Y55" i="14"/>
  <c r="Y59" i="14"/>
  <c r="Y53" i="14"/>
  <c r="AB109" i="14"/>
  <c r="U55" i="14"/>
  <c r="AA55" i="14"/>
  <c r="V53" i="14"/>
  <c r="M47" i="14"/>
  <c r="J47" i="14"/>
  <c r="AK47" i="14"/>
  <c r="U189" i="14"/>
  <c r="P334" i="14"/>
  <c r="M189" i="14"/>
  <c r="I334" i="14"/>
  <c r="AA334" i="14"/>
  <c r="AL334" i="14"/>
  <c r="AI334" i="14"/>
  <c r="AM189" i="14"/>
  <c r="U83" i="14"/>
  <c r="Y47" i="14"/>
  <c r="AA47" i="14"/>
  <c r="AI47" i="14"/>
  <c r="AB334" i="14"/>
  <c r="Y334" i="14"/>
  <c r="O189" i="14"/>
  <c r="Q189" i="14"/>
  <c r="Z334" i="14"/>
  <c r="AN189" i="14"/>
  <c r="AM334" i="14"/>
  <c r="AD189" i="14"/>
  <c r="AA83" i="14"/>
  <c r="AA59" i="14"/>
  <c r="K47" i="14"/>
  <c r="X47" i="14"/>
  <c r="AC47" i="14"/>
  <c r="R189" i="14"/>
  <c r="Z189" i="14"/>
  <c r="P189" i="14"/>
  <c r="T189" i="14"/>
  <c r="S334" i="14"/>
  <c r="AI189" i="14"/>
  <c r="AJ189" i="14"/>
  <c r="AL189" i="14"/>
  <c r="R47" i="14"/>
  <c r="O47" i="14"/>
  <c r="AL47" i="14"/>
  <c r="AM47" i="14"/>
  <c r="J189" i="14"/>
  <c r="AB189" i="14"/>
  <c r="S189" i="14"/>
  <c r="V189" i="14"/>
  <c r="N189" i="14"/>
  <c r="AF189" i="14"/>
  <c r="AF334" i="14"/>
  <c r="AE334" i="14"/>
  <c r="AB52" i="14"/>
  <c r="S47" i="14"/>
  <c r="AB59" i="14"/>
  <c r="Q47" i="14"/>
  <c r="AD47" i="14"/>
  <c r="AG47" i="14"/>
  <c r="O334" i="14"/>
  <c r="M334" i="14"/>
  <c r="W334" i="14"/>
  <c r="K334" i="14"/>
  <c r="N334" i="14"/>
  <c r="AO334" i="14"/>
  <c r="AH189" i="14"/>
  <c r="U109" i="14"/>
  <c r="AA52" i="14"/>
  <c r="AB53" i="14"/>
  <c r="AC202" i="9"/>
  <c r="AI114" i="9"/>
  <c r="M114" i="9"/>
  <c r="AB47" i="14"/>
  <c r="W47" i="14"/>
  <c r="AH47" i="14"/>
  <c r="AE47" i="14"/>
  <c r="U334" i="14"/>
  <c r="Q334" i="14"/>
  <c r="L334" i="14"/>
  <c r="AA189" i="14"/>
  <c r="I189" i="14"/>
  <c r="AC334" i="14"/>
  <c r="AG189" i="14"/>
  <c r="AA53" i="14"/>
  <c r="AB55" i="14"/>
  <c r="AF47" i="14"/>
  <c r="AJ47" i="14"/>
  <c r="Y189" i="14"/>
  <c r="V334" i="14"/>
  <c r="W189" i="14"/>
  <c r="R334" i="14"/>
  <c r="AG334" i="14"/>
  <c r="AK189" i="14"/>
  <c r="AH334" i="14"/>
  <c r="V47" i="14"/>
  <c r="V83" i="14"/>
  <c r="V52" i="14"/>
  <c r="V59" i="14"/>
  <c r="U47" i="14"/>
  <c r="U52" i="14"/>
  <c r="G81" i="14"/>
  <c r="U53" i="14"/>
  <c r="U59" i="14"/>
  <c r="AJ213" i="8"/>
  <c r="AL213" i="8"/>
  <c r="AK123" i="8"/>
  <c r="X123" i="8"/>
  <c r="K123" i="8"/>
  <c r="S213" i="8"/>
  <c r="U213" i="8"/>
  <c r="N213" i="8"/>
  <c r="AO32" i="8"/>
  <c r="AL32" i="8"/>
  <c r="AF213" i="8"/>
  <c r="AJ123" i="8"/>
  <c r="AF123" i="8"/>
  <c r="X213" i="8"/>
  <c r="R123" i="8"/>
  <c r="M213" i="8"/>
  <c r="L123" i="8"/>
  <c r="Q213" i="8"/>
  <c r="AK32" i="8"/>
  <c r="AN32" i="8"/>
  <c r="AG213" i="8"/>
  <c r="AE123" i="8"/>
  <c r="AN123" i="8"/>
  <c r="O123" i="8"/>
  <c r="S123" i="8"/>
  <c r="AA213" i="8"/>
  <c r="V123" i="8"/>
  <c r="T123" i="8"/>
  <c r="AH32" i="8"/>
  <c r="AM32" i="8"/>
  <c r="AK213" i="8"/>
  <c r="Z123" i="8"/>
  <c r="Y123" i="8"/>
  <c r="AE213" i="8"/>
  <c r="AI123" i="8"/>
  <c r="AC123" i="8"/>
  <c r="W123" i="8"/>
  <c r="P123" i="8"/>
  <c r="K213" i="8"/>
  <c r="Z213" i="8"/>
  <c r="V213" i="8"/>
  <c r="AE32" i="8"/>
  <c r="AG123" i="8"/>
  <c r="Q123" i="8"/>
  <c r="AC32" i="8"/>
  <c r="AD213" i="8"/>
  <c r="AC213" i="8"/>
  <c r="AL123" i="8"/>
  <c r="AH123" i="8"/>
  <c r="AB123" i="8"/>
  <c r="U123" i="8"/>
  <c r="T213" i="8"/>
  <c r="O213" i="8"/>
  <c r="AB213" i="8"/>
  <c r="AI32" i="8"/>
  <c r="AI213" i="8"/>
  <c r="L213" i="8"/>
  <c r="AN213" i="8"/>
  <c r="AH213" i="8"/>
  <c r="AO123" i="8"/>
  <c r="AM123" i="8"/>
  <c r="P213" i="8"/>
  <c r="AA123" i="8"/>
  <c r="W213" i="8"/>
  <c r="R213" i="8"/>
  <c r="J123" i="8"/>
  <c r="AD32" i="8"/>
  <c r="AO213" i="8"/>
  <c r="AM213" i="8"/>
  <c r="AD123" i="8"/>
  <c r="J213" i="8"/>
  <c r="N123" i="8"/>
  <c r="I213" i="8"/>
  <c r="M123" i="8"/>
  <c r="I123" i="8"/>
  <c r="AG32" i="8"/>
  <c r="AJ32" i="8"/>
  <c r="Y213" i="8"/>
  <c r="AF32" i="8"/>
  <c r="AO189" i="14"/>
  <c r="X189" i="14"/>
  <c r="K189" i="14"/>
  <c r="AC189" i="14"/>
  <c r="AK334" i="14"/>
  <c r="R200" i="15"/>
  <c r="R208" i="15"/>
  <c r="S200" i="15"/>
  <c r="S208" i="15"/>
  <c r="V219" i="15"/>
  <c r="W219" i="15"/>
  <c r="Z219" i="15"/>
  <c r="AA219" i="15"/>
  <c r="Y219" i="15"/>
  <c r="AB219" i="15"/>
  <c r="X219" i="15"/>
  <c r="U219" i="15"/>
  <c r="AO39" i="16"/>
  <c r="AO42" i="16" s="1"/>
  <c r="AD39" i="16"/>
  <c r="O39" i="16"/>
  <c r="O42" i="16" s="1"/>
  <c r="AE39" i="16"/>
  <c r="AE42" i="16" s="1"/>
  <c r="R39" i="16"/>
  <c r="R42" i="16" s="1"/>
  <c r="T39" i="16"/>
  <c r="T42" i="16" s="1"/>
  <c r="AJ39" i="16"/>
  <c r="AJ42" i="16" s="1"/>
  <c r="Q39" i="16"/>
  <c r="Q42" i="16" s="1"/>
  <c r="AG39" i="16"/>
  <c r="AG42" i="16" s="1"/>
  <c r="AL39" i="16"/>
  <c r="AL42" i="16" s="1"/>
  <c r="AM39" i="16"/>
  <c r="AM42" i="16" s="1"/>
  <c r="AB39" i="16"/>
  <c r="AB42" i="16" s="1"/>
  <c r="Y39" i="16"/>
  <c r="Y42" i="16" s="1"/>
  <c r="Z39" i="16"/>
  <c r="Z42" i="16" s="1"/>
  <c r="AA39" i="16"/>
  <c r="AA42" i="16" s="1"/>
  <c r="AF39" i="16"/>
  <c r="AF42" i="16" s="1"/>
  <c r="AC39" i="16"/>
  <c r="AC42" i="16" s="1"/>
  <c r="N39" i="16"/>
  <c r="AH39" i="16"/>
  <c r="AH42" i="16" s="1"/>
  <c r="S39" i="16"/>
  <c r="S42" i="16" s="1"/>
  <c r="AI39" i="16"/>
  <c r="AI42" i="16" s="1"/>
  <c r="H39" i="16"/>
  <c r="H42" i="16" s="1"/>
  <c r="X39" i="16"/>
  <c r="X42" i="16" s="1"/>
  <c r="AN39" i="16"/>
  <c r="AN42" i="16" s="1"/>
  <c r="U39" i="16"/>
  <c r="U42" i="16" s="1"/>
  <c r="AK39" i="16"/>
  <c r="V39" i="16"/>
  <c r="V42" i="16" s="1"/>
  <c r="W39" i="16"/>
  <c r="W42" i="16" s="1"/>
  <c r="L39" i="16"/>
  <c r="L42" i="16" s="1"/>
  <c r="I39" i="16"/>
  <c r="I42" i="16" s="1"/>
  <c r="K39" i="16"/>
  <c r="K42" i="16" s="1"/>
  <c r="J39" i="16"/>
  <c r="J42" i="16" s="1"/>
  <c r="P39" i="16"/>
  <c r="P42" i="16" s="1"/>
  <c r="M39" i="16"/>
  <c r="M42" i="16" s="1"/>
  <c r="J57" i="15"/>
  <c r="G264" i="16"/>
  <c r="M163" i="16"/>
  <c r="P169" i="16"/>
  <c r="T171" i="16"/>
  <c r="S171" i="16"/>
  <c r="O169" i="16"/>
  <c r="K168" i="16"/>
  <c r="N195" i="16"/>
  <c r="N197" i="16" s="1"/>
  <c r="N205" i="16" s="1"/>
  <c r="K163" i="16"/>
  <c r="J168" i="16"/>
  <c r="Q195" i="16"/>
  <c r="Q199" i="16" s="1"/>
  <c r="Q207" i="16" s="1"/>
  <c r="I163" i="16"/>
  <c r="P167" i="16"/>
  <c r="Z168" i="16"/>
  <c r="AA168" i="16"/>
  <c r="N163" i="16"/>
  <c r="N169" i="16"/>
  <c r="Y168" i="16"/>
  <c r="X195" i="16"/>
  <c r="X199" i="16" s="1"/>
  <c r="X207" i="16" s="1"/>
  <c r="R167" i="16"/>
  <c r="I169" i="16"/>
  <c r="L195" i="16"/>
  <c r="L197" i="16" s="1"/>
  <c r="L205" i="16" s="1"/>
  <c r="I195" i="16"/>
  <c r="W168" i="16"/>
  <c r="M162" i="16"/>
  <c r="H155" i="16"/>
  <c r="K156" i="16" s="1"/>
  <c r="H835" i="15"/>
  <c r="H517" i="15"/>
  <c r="H196" i="15"/>
  <c r="I121" i="16"/>
  <c r="I222" i="16"/>
  <c r="AF76" i="15"/>
  <c r="O76" i="15"/>
  <c r="AB76" i="15"/>
  <c r="AI76" i="15"/>
  <c r="P76" i="15"/>
  <c r="AK76" i="15"/>
  <c r="R76" i="15"/>
  <c r="AJ76" i="15"/>
  <c r="T76" i="15"/>
  <c r="M76" i="15"/>
  <c r="L76" i="15"/>
  <c r="U76" i="15"/>
  <c r="S76" i="15"/>
  <c r="K76" i="15"/>
  <c r="T27" i="9"/>
  <c r="AO27" i="9"/>
  <c r="X27" i="9"/>
  <c r="AA27" i="9"/>
  <c r="Y27" i="9"/>
  <c r="M27" i="9"/>
  <c r="N27" i="9"/>
  <c r="L168" i="16"/>
  <c r="S27" i="9"/>
  <c r="Q121" i="7"/>
  <c r="S121" i="7"/>
  <c r="M121" i="7"/>
  <c r="L415" i="15"/>
  <c r="R415" i="15"/>
  <c r="X415" i="15"/>
  <c r="V415" i="15"/>
  <c r="I340" i="16"/>
  <c r="AA340" i="16"/>
  <c r="AL340" i="16"/>
  <c r="K340" i="16"/>
  <c r="AA121" i="7"/>
  <c r="Z121" i="7"/>
  <c r="X121" i="7"/>
  <c r="AK415" i="15"/>
  <c r="AI415" i="15"/>
  <c r="J415" i="15"/>
  <c r="P415" i="15"/>
  <c r="N415" i="15"/>
  <c r="AG340" i="16"/>
  <c r="AB340" i="16"/>
  <c r="AM340" i="16"/>
  <c r="L340" i="16"/>
  <c r="I121" i="7"/>
  <c r="K121" i="7"/>
  <c r="V121" i="7"/>
  <c r="AC415" i="15"/>
  <c r="AA415" i="15"/>
  <c r="AO415" i="15"/>
  <c r="AM415" i="15"/>
  <c r="S340" i="16"/>
  <c r="AD340" i="16"/>
  <c r="AF340" i="16"/>
  <c r="AC340" i="16"/>
  <c r="N168" i="16"/>
  <c r="AB121" i="7"/>
  <c r="O121" i="7"/>
  <c r="U415" i="15"/>
  <c r="S415" i="15"/>
  <c r="AG415" i="15"/>
  <c r="AE415" i="15"/>
  <c r="T340" i="16"/>
  <c r="AE340" i="16"/>
  <c r="AH340" i="16"/>
  <c r="N340" i="16"/>
  <c r="L121" i="7"/>
  <c r="T121" i="7"/>
  <c r="M415" i="15"/>
  <c r="K415" i="15"/>
  <c r="Y415" i="15"/>
  <c r="W415" i="15"/>
  <c r="AK340" i="16"/>
  <c r="P340" i="16"/>
  <c r="Q340" i="16"/>
  <c r="O340" i="16"/>
  <c r="N121" i="7"/>
  <c r="U121" i="7"/>
  <c r="AJ415" i="15"/>
  <c r="I415" i="15"/>
  <c r="Q415" i="15"/>
  <c r="O415" i="15"/>
  <c r="V340" i="16"/>
  <c r="R340" i="16"/>
  <c r="U340" i="16"/>
  <c r="AG27" i="9"/>
  <c r="M168" i="16"/>
  <c r="J27" i="9"/>
  <c r="R27" i="9"/>
  <c r="V27" i="9"/>
  <c r="U27" i="9"/>
  <c r="Z27" i="9"/>
  <c r="AK27" i="9"/>
  <c r="AN27" i="9"/>
  <c r="AE27" i="9"/>
  <c r="Q162" i="16"/>
  <c r="AF27" i="9"/>
  <c r="AJ27" i="9"/>
  <c r="AL27" i="9"/>
  <c r="AM27" i="9"/>
  <c r="L27" i="9"/>
  <c r="O27" i="9"/>
  <c r="AH27" i="9"/>
  <c r="AB27" i="9"/>
  <c r="AD27" i="9"/>
  <c r="Q27" i="9"/>
  <c r="P162" i="16"/>
  <c r="P168" i="16"/>
  <c r="X42" i="17"/>
  <c r="X51" i="17" s="1"/>
  <c r="X59" i="17" s="1"/>
  <c r="AB42" i="17"/>
  <c r="AB51" i="17" s="1"/>
  <c r="AB59" i="17" s="1"/>
  <c r="AC42" i="17"/>
  <c r="AC51" i="17" s="1"/>
  <c r="AC59" i="17" s="1"/>
  <c r="U42" i="17"/>
  <c r="U51" i="17" s="1"/>
  <c r="U59" i="17" s="1"/>
  <c r="AN42" i="17"/>
  <c r="AN51" i="17" s="1"/>
  <c r="AL42" i="17"/>
  <c r="AL51" i="17" s="1"/>
  <c r="AK42" i="17"/>
  <c r="AK51" i="17" s="1"/>
  <c r="V42" i="17"/>
  <c r="V51" i="17" s="1"/>
  <c r="V59" i="17" s="1"/>
  <c r="AI42" i="17"/>
  <c r="AI51" i="17" s="1"/>
  <c r="AE42" i="17"/>
  <c r="AE51" i="17" s="1"/>
  <c r="AE59" i="17" s="1"/>
  <c r="AM42" i="17"/>
  <c r="AM51" i="17" s="1"/>
  <c r="AO42" i="17"/>
  <c r="AO51" i="17" s="1"/>
  <c r="Y42" i="17"/>
  <c r="Y51" i="17" s="1"/>
  <c r="Y59" i="17" s="1"/>
  <c r="AD42" i="17"/>
  <c r="AD51" i="17" s="1"/>
  <c r="AD59" i="17" s="1"/>
  <c r="AJ42" i="17"/>
  <c r="AJ51" i="17" s="1"/>
  <c r="AG42" i="17"/>
  <c r="AG51" i="17" s="1"/>
  <c r="AG59" i="17" s="1"/>
  <c r="AH42" i="17"/>
  <c r="AH51" i="17" s="1"/>
  <c r="AA42" i="17"/>
  <c r="AA51" i="17" s="1"/>
  <c r="AA59" i="17" s="1"/>
  <c r="AF42" i="17"/>
  <c r="AF51" i="17" s="1"/>
  <c r="AF59" i="17" s="1"/>
  <c r="W42" i="17"/>
  <c r="W51" i="17" s="1"/>
  <c r="W59" i="17" s="1"/>
  <c r="Z42" i="17"/>
  <c r="Z51" i="17" s="1"/>
  <c r="Z59" i="17" s="1"/>
  <c r="O168" i="16"/>
  <c r="R195" i="16"/>
  <c r="R201" i="16" s="1"/>
  <c r="R209" i="16" s="1"/>
  <c r="R161" i="16"/>
  <c r="V81" i="15"/>
  <c r="V76" i="15"/>
  <c r="X81" i="15"/>
  <c r="X76" i="15"/>
  <c r="AE126" i="15"/>
  <c r="AE76" i="15"/>
  <c r="AL81" i="15"/>
  <c r="AL76" i="15"/>
  <c r="AC81" i="15"/>
  <c r="AC76" i="15"/>
  <c r="AG82" i="15"/>
  <c r="AG76" i="15"/>
  <c r="Q69" i="15"/>
  <c r="Q76" i="15"/>
  <c r="AD82" i="15"/>
  <c r="AD76" i="15"/>
  <c r="W81" i="15"/>
  <c r="W76" i="15"/>
  <c r="Z81" i="15"/>
  <c r="Z76" i="15"/>
  <c r="Y81" i="15"/>
  <c r="Y76" i="15"/>
  <c r="AA77" i="15"/>
  <c r="AA76" i="15"/>
  <c r="AH82" i="15"/>
  <c r="AH76" i="15"/>
  <c r="N69" i="15"/>
  <c r="N76" i="15"/>
  <c r="Q167" i="16"/>
  <c r="Q161" i="16"/>
  <c r="M161" i="16"/>
  <c r="M195" i="16"/>
  <c r="M198" i="16" s="1"/>
  <c r="M206" i="16" s="1"/>
  <c r="M167" i="16"/>
  <c r="I109" i="14"/>
  <c r="I35" i="9"/>
  <c r="L161" i="16"/>
  <c r="P195" i="16"/>
  <c r="P200" i="16" s="1"/>
  <c r="P208" i="16" s="1"/>
  <c r="L167" i="16"/>
  <c r="P161" i="16"/>
  <c r="O167" i="16"/>
  <c r="O161" i="16"/>
  <c r="AG69" i="15"/>
  <c r="J161" i="16"/>
  <c r="J167" i="16"/>
  <c r="Q46" i="16"/>
  <c r="I47" i="14"/>
  <c r="I59" i="14"/>
  <c r="U195" i="16"/>
  <c r="U200" i="16" s="1"/>
  <c r="U208" i="16" s="1"/>
  <c r="U167" i="16"/>
  <c r="U161" i="16"/>
  <c r="V168" i="16"/>
  <c r="V161" i="16"/>
  <c r="V167" i="16"/>
  <c r="AA167" i="16"/>
  <c r="AA161" i="16"/>
  <c r="K167" i="16"/>
  <c r="Z169" i="16"/>
  <c r="Z161" i="16"/>
  <c r="Z167" i="16"/>
  <c r="X168" i="16"/>
  <c r="X161" i="16"/>
  <c r="X167" i="16"/>
  <c r="K161" i="16"/>
  <c r="AB162" i="16"/>
  <c r="AB167" i="16"/>
  <c r="AB161" i="16"/>
  <c r="W162" i="16"/>
  <c r="W161" i="16"/>
  <c r="W167" i="16"/>
  <c r="Y161" i="16"/>
  <c r="Y167" i="16"/>
  <c r="U168" i="16"/>
  <c r="V162" i="16"/>
  <c r="AG81" i="15"/>
  <c r="K195" i="16"/>
  <c r="K162" i="16"/>
  <c r="Z162" i="16"/>
  <c r="AG70" i="15"/>
  <c r="AB168" i="16"/>
  <c r="J195" i="16"/>
  <c r="AH81" i="15"/>
  <c r="AH70" i="15"/>
  <c r="X162" i="16"/>
  <c r="Y195" i="16"/>
  <c r="Y199" i="16" s="1"/>
  <c r="Y207" i="16" s="1"/>
  <c r="I37" i="9"/>
  <c r="U163" i="16"/>
  <c r="Y163" i="16"/>
  <c r="L169" i="16"/>
  <c r="U169" i="16"/>
  <c r="AF81" i="15"/>
  <c r="AF70" i="15"/>
  <c r="I27" i="9"/>
  <c r="AE70" i="15"/>
  <c r="AE81" i="15"/>
  <c r="G55" i="9"/>
  <c r="I36" i="9"/>
  <c r="I31" i="9"/>
  <c r="L163" i="16"/>
  <c r="O195" i="16"/>
  <c r="O163" i="16"/>
  <c r="Z163" i="16"/>
  <c r="AB169" i="16"/>
  <c r="AB195" i="16"/>
  <c r="AB163" i="16"/>
  <c r="AA195" i="16"/>
  <c r="AA169" i="16"/>
  <c r="AA163" i="16"/>
  <c r="G192" i="16"/>
  <c r="V163" i="16"/>
  <c r="V169" i="16"/>
  <c r="V195" i="16"/>
  <c r="Z195" i="16"/>
  <c r="Z197" i="16" s="1"/>
  <c r="Z205" i="16" s="1"/>
  <c r="X169" i="16"/>
  <c r="X163" i="16"/>
  <c r="W195" i="16"/>
  <c r="W163" i="16"/>
  <c r="W169" i="16"/>
  <c r="Y323" i="16"/>
  <c r="Z323" i="16"/>
  <c r="AM323" i="16"/>
  <c r="K323" i="16"/>
  <c r="T323" i="16"/>
  <c r="AB323" i="16"/>
  <c r="Q323" i="16"/>
  <c r="S323" i="16"/>
  <c r="X323" i="16"/>
  <c r="O323" i="16"/>
  <c r="AK323" i="16"/>
  <c r="P323" i="16"/>
  <c r="AF323" i="16"/>
  <c r="AH323" i="16"/>
  <c r="W323" i="16"/>
  <c r="AG323" i="16"/>
  <c r="N323" i="16"/>
  <c r="AJ323" i="16"/>
  <c r="AD323" i="16"/>
  <c r="V323" i="16"/>
  <c r="AI323" i="16"/>
  <c r="AE323" i="16"/>
  <c r="R323" i="16"/>
  <c r="M323" i="16"/>
  <c r="L323" i="16"/>
  <c r="AA323" i="16"/>
  <c r="AL323" i="16"/>
  <c r="AC323" i="16"/>
  <c r="U323" i="16"/>
  <c r="AN323" i="16"/>
  <c r="V55" i="16"/>
  <c r="AE47" i="16"/>
  <c r="AC98" i="16"/>
  <c r="AC102" i="16" s="1"/>
  <c r="AC110" i="16" s="1"/>
  <c r="U55" i="16"/>
  <c r="J162" i="16"/>
  <c r="Q50" i="16"/>
  <c r="L162" i="16"/>
  <c r="AD98" i="16"/>
  <c r="AD105" i="16" s="1"/>
  <c r="AD113" i="16" s="1"/>
  <c r="O162" i="16"/>
  <c r="AF48" i="16"/>
  <c r="AH55" i="16"/>
  <c r="AG48" i="16"/>
  <c r="U82" i="15"/>
  <c r="U81" i="15"/>
  <c r="AD70" i="15"/>
  <c r="AD81" i="15"/>
  <c r="AL47" i="16"/>
  <c r="AL54" i="16"/>
  <c r="AI70" i="15"/>
  <c r="AI81" i="15"/>
  <c r="AA65" i="16"/>
  <c r="AA74" i="16"/>
  <c r="P47" i="16"/>
  <c r="P54" i="16"/>
  <c r="AL70" i="15"/>
  <c r="AN47" i="16"/>
  <c r="AN54" i="16"/>
  <c r="Z65" i="16"/>
  <c r="Z74" i="16"/>
  <c r="AB100" i="15"/>
  <c r="AB91" i="15"/>
  <c r="Y74" i="16"/>
  <c r="Y65" i="16"/>
  <c r="N47" i="16"/>
  <c r="N54" i="16"/>
  <c r="I60" i="14"/>
  <c r="AM47" i="16"/>
  <c r="AM54" i="16"/>
  <c r="Z100" i="15"/>
  <c r="Z91" i="15"/>
  <c r="AB74" i="16"/>
  <c r="AB65" i="16"/>
  <c r="Y91" i="15"/>
  <c r="Y100" i="15"/>
  <c r="W74" i="16"/>
  <c r="W65" i="16"/>
  <c r="M47" i="16"/>
  <c r="M54" i="16"/>
  <c r="L47" i="16"/>
  <c r="L54" i="16"/>
  <c r="W100" i="15"/>
  <c r="W91" i="15"/>
  <c r="K81" i="15"/>
  <c r="K70" i="15"/>
  <c r="AK47" i="16"/>
  <c r="AK54" i="16"/>
  <c r="X65" i="16"/>
  <c r="X74" i="16"/>
  <c r="K47" i="16"/>
  <c r="K54" i="16"/>
  <c r="AJ47" i="16"/>
  <c r="AJ54" i="16"/>
  <c r="AK70" i="15"/>
  <c r="AK81" i="15"/>
  <c r="X100" i="15"/>
  <c r="X91" i="15"/>
  <c r="AJ82" i="15"/>
  <c r="AJ81" i="15"/>
  <c r="AJ70" i="15"/>
  <c r="AE50" i="16"/>
  <c r="AE54" i="16"/>
  <c r="AI47" i="16"/>
  <c r="AI54" i="16"/>
  <c r="AA91" i="15"/>
  <c r="AA100" i="15"/>
  <c r="O47" i="16"/>
  <c r="O54" i="16"/>
  <c r="AC82" i="15"/>
  <c r="AC71" i="15"/>
  <c r="AI26" i="15"/>
  <c r="L204" i="15"/>
  <c r="R204" i="15"/>
  <c r="AI28" i="15"/>
  <c r="AI27" i="15"/>
  <c r="S204" i="15"/>
  <c r="I83" i="14"/>
  <c r="I61" i="14"/>
  <c r="AC55" i="16"/>
  <c r="I49" i="14"/>
  <c r="AD69" i="15"/>
  <c r="I57" i="9"/>
  <c r="I26" i="9"/>
  <c r="X116" i="9"/>
  <c r="AG116" i="9"/>
  <c r="J125" i="8"/>
  <c r="AB125" i="8"/>
  <c r="K125" i="8"/>
  <c r="AH125" i="8"/>
  <c r="L125" i="8"/>
  <c r="AI125" i="8"/>
  <c r="R125" i="8"/>
  <c r="AJ125" i="8"/>
  <c r="S125" i="8"/>
  <c r="T125" i="8"/>
  <c r="AA125" i="8"/>
  <c r="Z125" i="8"/>
  <c r="AN125" i="8"/>
  <c r="AL125" i="8"/>
  <c r="AF125" i="8"/>
  <c r="AD125" i="8"/>
  <c r="M125" i="8"/>
  <c r="X125" i="8"/>
  <c r="P125" i="8"/>
  <c r="N125" i="8"/>
  <c r="AO125" i="8"/>
  <c r="AM125" i="8"/>
  <c r="AK125" i="8"/>
  <c r="O125" i="8"/>
  <c r="AG125" i="8"/>
  <c r="AE125" i="8"/>
  <c r="AC125" i="8"/>
  <c r="Y125" i="8"/>
  <c r="W125" i="8"/>
  <c r="U125" i="8"/>
  <c r="Q125" i="8"/>
  <c r="V125" i="8"/>
  <c r="G94" i="16"/>
  <c r="AD46" i="16"/>
  <c r="AF46" i="16"/>
  <c r="Q53" i="16"/>
  <c r="AD80" i="15"/>
  <c r="AC53" i="16"/>
  <c r="AE46" i="16"/>
  <c r="AE53" i="16"/>
  <c r="AC46" i="16"/>
  <c r="AE80" i="15"/>
  <c r="AH80" i="15"/>
  <c r="AE69" i="15"/>
  <c r="AG80" i="15"/>
  <c r="AH69" i="15"/>
  <c r="AF80" i="15"/>
  <c r="AF69" i="15"/>
  <c r="L215" i="15"/>
  <c r="R215" i="15"/>
  <c r="V69" i="16"/>
  <c r="V121" i="16"/>
  <c r="V73" i="16"/>
  <c r="AC80" i="15"/>
  <c r="AC69" i="15"/>
  <c r="AM46" i="16"/>
  <c r="AM53" i="16"/>
  <c r="AA64" i="16"/>
  <c r="AA73" i="16"/>
  <c r="Y271" i="15"/>
  <c r="Y90" i="15"/>
  <c r="Y99" i="15"/>
  <c r="AN46" i="16"/>
  <c r="AN53" i="16"/>
  <c r="AB90" i="15"/>
  <c r="AB99" i="15"/>
  <c r="M46" i="16"/>
  <c r="M53" i="16"/>
  <c r="L46" i="16"/>
  <c r="L53" i="16"/>
  <c r="AB64" i="16"/>
  <c r="AB73" i="16"/>
  <c r="X64" i="16"/>
  <c r="X73" i="16"/>
  <c r="K69" i="15"/>
  <c r="K80" i="15"/>
  <c r="AJ46" i="16"/>
  <c r="AJ53" i="16"/>
  <c r="W64" i="16"/>
  <c r="W73" i="16"/>
  <c r="X90" i="15"/>
  <c r="X99" i="15"/>
  <c r="K46" i="16"/>
  <c r="K53" i="16"/>
  <c r="AJ80" i="15"/>
  <c r="AJ69" i="15"/>
  <c r="AK46" i="16"/>
  <c r="AK53" i="16"/>
  <c r="W90" i="15"/>
  <c r="W99" i="15"/>
  <c r="AL46" i="16"/>
  <c r="AL53" i="16"/>
  <c r="AK80" i="15"/>
  <c r="AK69" i="15"/>
  <c r="O46" i="16"/>
  <c r="O53" i="16"/>
  <c r="I204" i="15"/>
  <c r="AL69" i="15"/>
  <c r="AL80" i="15"/>
  <c r="Z64" i="16"/>
  <c r="Z73" i="16"/>
  <c r="P46" i="16"/>
  <c r="P53" i="16"/>
  <c r="Z90" i="15"/>
  <c r="Z99" i="15"/>
  <c r="AA90" i="15"/>
  <c r="AA99" i="15"/>
  <c r="Y64" i="16"/>
  <c r="Y73" i="16"/>
  <c r="N46" i="16"/>
  <c r="N53" i="16"/>
  <c r="I149" i="15"/>
  <c r="I271" i="15"/>
  <c r="T271" i="15"/>
  <c r="X271" i="15"/>
  <c r="W271" i="15"/>
  <c r="Z271" i="15"/>
  <c r="AA271" i="15"/>
  <c r="R149" i="15"/>
  <c r="R271" i="15"/>
  <c r="AB271" i="15"/>
  <c r="S101" i="15"/>
  <c r="S271" i="15"/>
  <c r="AC48" i="16"/>
  <c r="AE98" i="16"/>
  <c r="AH98" i="16"/>
  <c r="AD77" i="15"/>
  <c r="K126" i="15"/>
  <c r="K77" i="15"/>
  <c r="K82" i="15"/>
  <c r="K71" i="15"/>
  <c r="K98" i="16"/>
  <c r="K50" i="16"/>
  <c r="K48" i="16"/>
  <c r="K55" i="16"/>
  <c r="Q48" i="16"/>
  <c r="Q55" i="16"/>
  <c r="O50" i="16"/>
  <c r="O98" i="16"/>
  <c r="O48" i="16"/>
  <c r="O55" i="16"/>
  <c r="P98" i="16"/>
  <c r="P50" i="16"/>
  <c r="P48" i="16"/>
  <c r="P55" i="16"/>
  <c r="N98" i="16"/>
  <c r="N50" i="16"/>
  <c r="N48" i="16"/>
  <c r="N55" i="16"/>
  <c r="M98" i="16"/>
  <c r="M50" i="16"/>
  <c r="M48" i="16"/>
  <c r="M55" i="16"/>
  <c r="L98" i="16"/>
  <c r="L50" i="16"/>
  <c r="L48" i="16"/>
  <c r="L55" i="16"/>
  <c r="I101" i="15"/>
  <c r="AH126" i="15"/>
  <c r="AG126" i="15"/>
  <c r="O75" i="16"/>
  <c r="AG77" i="15"/>
  <c r="AF126" i="15"/>
  <c r="S149" i="15"/>
  <c r="AF77" i="15"/>
  <c r="T95" i="15"/>
  <c r="AG71" i="15"/>
  <c r="AH71" i="15"/>
  <c r="AD55" i="16"/>
  <c r="AE71" i="15"/>
  <c r="AE77" i="15"/>
  <c r="AH77" i="15"/>
  <c r="AE82" i="15"/>
  <c r="AB149" i="15"/>
  <c r="AB95" i="15"/>
  <c r="AB101" i="15"/>
  <c r="AB121" i="16"/>
  <c r="AB69" i="16"/>
  <c r="AB75" i="16"/>
  <c r="X121" i="16"/>
  <c r="X69" i="16"/>
  <c r="X75" i="16"/>
  <c r="W121" i="16"/>
  <c r="W69" i="16"/>
  <c r="W75" i="16"/>
  <c r="W149" i="15"/>
  <c r="W95" i="15"/>
  <c r="W101" i="15"/>
  <c r="X149" i="15"/>
  <c r="X95" i="15"/>
  <c r="X101" i="15"/>
  <c r="AD71" i="15"/>
  <c r="AE48" i="16"/>
  <c r="Z121" i="16"/>
  <c r="Z69" i="16"/>
  <c r="Z75" i="16"/>
  <c r="AE55" i="16"/>
  <c r="Z95" i="15"/>
  <c r="Z149" i="15"/>
  <c r="Z101" i="15"/>
  <c r="AA149" i="15"/>
  <c r="AA95" i="15"/>
  <c r="AA101" i="15"/>
  <c r="Y69" i="16"/>
  <c r="Y121" i="16"/>
  <c r="Y75" i="16"/>
  <c r="AD126" i="15"/>
  <c r="AA121" i="16"/>
  <c r="AA69" i="16"/>
  <c r="AA75" i="16"/>
  <c r="Y149" i="15"/>
  <c r="Y95" i="15"/>
  <c r="Y101" i="15"/>
  <c r="AF82" i="15"/>
  <c r="AF71" i="15"/>
  <c r="AN48" i="16"/>
  <c r="AN98" i="16"/>
  <c r="AN50" i="16"/>
  <c r="AN55" i="16"/>
  <c r="S48" i="16"/>
  <c r="S55" i="16"/>
  <c r="AJ50" i="16"/>
  <c r="AJ48" i="16"/>
  <c r="AJ98" i="16"/>
  <c r="AJ55" i="16"/>
  <c r="AM48" i="16"/>
  <c r="AM98" i="16"/>
  <c r="AM50" i="16"/>
  <c r="AM55" i="16"/>
  <c r="AJ126" i="15"/>
  <c r="AJ71" i="15"/>
  <c r="AJ77" i="15"/>
  <c r="AK50" i="16"/>
  <c r="AK48" i="16"/>
  <c r="AK98" i="16"/>
  <c r="AK55" i="16"/>
  <c r="AL48" i="16"/>
  <c r="AL98" i="16"/>
  <c r="AL50" i="16"/>
  <c r="AL55" i="16"/>
  <c r="R47" i="16"/>
  <c r="R55" i="16"/>
  <c r="AK126" i="15"/>
  <c r="AK77" i="15"/>
  <c r="AK82" i="15"/>
  <c r="AK71" i="15"/>
  <c r="AL126" i="15"/>
  <c r="AL71" i="15"/>
  <c r="AL82" i="15"/>
  <c r="AL77" i="15"/>
  <c r="AI48" i="16"/>
  <c r="AI55" i="16"/>
  <c r="T48" i="16"/>
  <c r="T55" i="16"/>
  <c r="AI82" i="15"/>
  <c r="AI71" i="15"/>
  <c r="AI50" i="16"/>
  <c r="AI46" i="16"/>
  <c r="AI98" i="16"/>
  <c r="AI53" i="16"/>
  <c r="AI126" i="15"/>
  <c r="AI77" i="15"/>
  <c r="AI80" i="15"/>
  <c r="AI69" i="15"/>
  <c r="AC47" i="16"/>
  <c r="AC126" i="15"/>
  <c r="AC70" i="15"/>
  <c r="AC50" i="16"/>
  <c r="AC54" i="16"/>
  <c r="AC77" i="15"/>
  <c r="U47" i="16"/>
  <c r="U54" i="16"/>
  <c r="S47" i="16"/>
  <c r="S54" i="16"/>
  <c r="V47" i="16"/>
  <c r="V54" i="16"/>
  <c r="R54" i="16"/>
  <c r="Q98" i="16"/>
  <c r="T47" i="16"/>
  <c r="T54" i="16"/>
  <c r="Q47" i="16"/>
  <c r="Q54" i="16"/>
  <c r="AA81" i="15"/>
  <c r="R48" i="16"/>
  <c r="R46" i="16"/>
  <c r="R50" i="16"/>
  <c r="R98" i="16"/>
  <c r="R53" i="16"/>
  <c r="V48" i="16"/>
  <c r="V46" i="16"/>
  <c r="V50" i="16"/>
  <c r="V98" i="16"/>
  <c r="V53" i="16"/>
  <c r="U69" i="16"/>
  <c r="AG98" i="16"/>
  <c r="U121" i="16"/>
  <c r="AG46" i="16"/>
  <c r="S215" i="15"/>
  <c r="T98" i="16"/>
  <c r="T50" i="16"/>
  <c r="T46" i="16"/>
  <c r="T53" i="16"/>
  <c r="U48" i="16"/>
  <c r="U50" i="16"/>
  <c r="U46" i="16"/>
  <c r="U98" i="16"/>
  <c r="U53" i="16"/>
  <c r="S50" i="16"/>
  <c r="S98" i="16"/>
  <c r="S46" i="16"/>
  <c r="S53" i="16"/>
  <c r="AG50" i="16"/>
  <c r="AG55" i="16"/>
  <c r="T101" i="15"/>
  <c r="AD48" i="16"/>
  <c r="R95" i="15"/>
  <c r="K66" i="16"/>
  <c r="AD50" i="16"/>
  <c r="AF55" i="16"/>
  <c r="AH48" i="16"/>
  <c r="AF53" i="16"/>
  <c r="AF47" i="16"/>
  <c r="AF54" i="16"/>
  <c r="X53" i="16"/>
  <c r="X47" i="16"/>
  <c r="X54" i="16"/>
  <c r="AF98" i="16"/>
  <c r="Y53" i="16"/>
  <c r="Y47" i="16"/>
  <c r="Y54" i="16"/>
  <c r="Z53" i="16"/>
  <c r="Z47" i="16"/>
  <c r="Z54" i="16"/>
  <c r="AA53" i="16"/>
  <c r="AA47" i="16"/>
  <c r="AA54" i="16"/>
  <c r="AG53" i="16"/>
  <c r="AG47" i="16"/>
  <c r="AG54" i="16"/>
  <c r="W53" i="16"/>
  <c r="W47" i="16"/>
  <c r="W54" i="16"/>
  <c r="AF50" i="16"/>
  <c r="AB53" i="16"/>
  <c r="AB47" i="16"/>
  <c r="AB54" i="16"/>
  <c r="AH53" i="16"/>
  <c r="AH47" i="16"/>
  <c r="AH54" i="16"/>
  <c r="AD53" i="16"/>
  <c r="AD47" i="16"/>
  <c r="AD54" i="16"/>
  <c r="T149" i="15"/>
  <c r="Q90" i="15"/>
  <c r="Q99" i="15"/>
  <c r="J90" i="15"/>
  <c r="J99" i="15"/>
  <c r="R90" i="15"/>
  <c r="R99" i="15"/>
  <c r="P204" i="15"/>
  <c r="P215" i="15"/>
  <c r="Q204" i="15"/>
  <c r="Q215" i="15"/>
  <c r="I32" i="8"/>
  <c r="V90" i="15"/>
  <c r="V99" i="15"/>
  <c r="N90" i="15"/>
  <c r="N99" i="15"/>
  <c r="M90" i="15"/>
  <c r="M99" i="15"/>
  <c r="M32" i="8"/>
  <c r="S90" i="15"/>
  <c r="S99" i="15"/>
  <c r="J204" i="15"/>
  <c r="J215" i="15"/>
  <c r="K204" i="15"/>
  <c r="K215" i="15"/>
  <c r="AH46" i="16"/>
  <c r="L32" i="8"/>
  <c r="M204" i="15"/>
  <c r="M215" i="15"/>
  <c r="I215" i="15"/>
  <c r="O204" i="15"/>
  <c r="O215" i="15"/>
  <c r="AH50" i="16"/>
  <c r="T90" i="15"/>
  <c r="T99" i="15"/>
  <c r="K32" i="8"/>
  <c r="U90" i="15"/>
  <c r="U99" i="15"/>
  <c r="N69" i="16"/>
  <c r="I64" i="16"/>
  <c r="K90" i="15"/>
  <c r="K99" i="15"/>
  <c r="L90" i="15"/>
  <c r="L99" i="15"/>
  <c r="P90" i="15"/>
  <c r="P99" i="15"/>
  <c r="O90" i="15"/>
  <c r="O99" i="15"/>
  <c r="J32" i="8"/>
  <c r="N204" i="15"/>
  <c r="N215" i="15"/>
  <c r="Q75" i="16"/>
  <c r="X48" i="16"/>
  <c r="X55" i="16"/>
  <c r="AB55" i="16"/>
  <c r="AB48" i="16"/>
  <c r="Y48" i="16"/>
  <c r="Y55" i="16"/>
  <c r="M75" i="16"/>
  <c r="W55" i="16"/>
  <c r="W48" i="16"/>
  <c r="AA48" i="16"/>
  <c r="AA55" i="16"/>
  <c r="Z55" i="16"/>
  <c r="Z48" i="16"/>
  <c r="P75" i="16"/>
  <c r="Y46" i="16"/>
  <c r="W46" i="16"/>
  <c r="AA46" i="16"/>
  <c r="Z46" i="16"/>
  <c r="X46" i="16"/>
  <c r="AB46" i="16"/>
  <c r="L70" i="15"/>
  <c r="L69" i="15"/>
  <c r="L80" i="15"/>
  <c r="Z69" i="15"/>
  <c r="Z80" i="15"/>
  <c r="O69" i="16"/>
  <c r="Y70" i="15"/>
  <c r="Y69" i="15"/>
  <c r="Y80" i="15"/>
  <c r="N64" i="16"/>
  <c r="N73" i="16"/>
  <c r="Y50" i="16"/>
  <c r="Q70" i="15"/>
  <c r="Q80" i="15"/>
  <c r="M70" i="15"/>
  <c r="M69" i="15"/>
  <c r="M80" i="15"/>
  <c r="X69" i="15"/>
  <c r="X80" i="15"/>
  <c r="L64" i="16"/>
  <c r="L73" i="16"/>
  <c r="AB50" i="16"/>
  <c r="T64" i="16"/>
  <c r="T73" i="16"/>
  <c r="J64" i="16"/>
  <c r="J73" i="16"/>
  <c r="M64" i="16"/>
  <c r="M73" i="16"/>
  <c r="N70" i="15"/>
  <c r="N80" i="15"/>
  <c r="AA69" i="15"/>
  <c r="AA80" i="15"/>
  <c r="X50" i="16"/>
  <c r="R64" i="16"/>
  <c r="R73" i="16"/>
  <c r="M121" i="16"/>
  <c r="AB81" i="15"/>
  <c r="AB69" i="15"/>
  <c r="AB80" i="15"/>
  <c r="K121" i="16"/>
  <c r="K64" i="16"/>
  <c r="K73" i="16"/>
  <c r="T70" i="15"/>
  <c r="T69" i="15"/>
  <c r="T80" i="15"/>
  <c r="AA50" i="16"/>
  <c r="R70" i="15"/>
  <c r="R69" i="15"/>
  <c r="R80" i="15"/>
  <c r="Z50" i="16"/>
  <c r="S64" i="16"/>
  <c r="S73" i="16"/>
  <c r="P70" i="15"/>
  <c r="P69" i="15"/>
  <c r="P80" i="15"/>
  <c r="O70" i="15"/>
  <c r="O69" i="15"/>
  <c r="O80" i="15"/>
  <c r="W50" i="16"/>
  <c r="P121" i="16"/>
  <c r="P64" i="16"/>
  <c r="P73" i="16"/>
  <c r="Q64" i="16"/>
  <c r="Q73" i="16"/>
  <c r="W69" i="15"/>
  <c r="W80" i="15"/>
  <c r="I73" i="16"/>
  <c r="O64" i="16"/>
  <c r="O73" i="16"/>
  <c r="K91" i="15"/>
  <c r="K100" i="15"/>
  <c r="R100" i="15"/>
  <c r="R91" i="15"/>
  <c r="T91" i="15"/>
  <c r="T100" i="15"/>
  <c r="S95" i="15"/>
  <c r="S100" i="15"/>
  <c r="S91" i="15"/>
  <c r="S202" i="16"/>
  <c r="S210" i="16" s="1"/>
  <c r="S198" i="16"/>
  <c r="S206" i="16" s="1"/>
  <c r="S199" i="16"/>
  <c r="S207" i="16" s="1"/>
  <c r="S200" i="16"/>
  <c r="S208" i="16" s="1"/>
  <c r="S197" i="16"/>
  <c r="S205" i="16" s="1"/>
  <c r="S201" i="16"/>
  <c r="S209" i="16" s="1"/>
  <c r="S203" i="16"/>
  <c r="S211" i="16" s="1"/>
  <c r="Q91" i="15"/>
  <c r="Q100" i="15"/>
  <c r="J91" i="15"/>
  <c r="J100" i="15"/>
  <c r="Z126" i="15"/>
  <c r="Z70" i="15"/>
  <c r="W126" i="15"/>
  <c r="W70" i="15"/>
  <c r="T201" i="16"/>
  <c r="T209" i="16" s="1"/>
  <c r="T197" i="16"/>
  <c r="T205" i="16" s="1"/>
  <c r="T203" i="16"/>
  <c r="T211" i="16" s="1"/>
  <c r="T198" i="16"/>
  <c r="T206" i="16" s="1"/>
  <c r="T202" i="16"/>
  <c r="T210" i="16" s="1"/>
  <c r="T199" i="16"/>
  <c r="T207" i="16" s="1"/>
  <c r="T200" i="16"/>
  <c r="T208" i="16" s="1"/>
  <c r="L91" i="15"/>
  <c r="L100" i="15"/>
  <c r="N100" i="15"/>
  <c r="N91" i="15"/>
  <c r="M100" i="15"/>
  <c r="M91" i="15"/>
  <c r="X126" i="15"/>
  <c r="X70" i="15"/>
  <c r="U100" i="15"/>
  <c r="U91" i="15"/>
  <c r="AA126" i="15"/>
  <c r="AA70" i="15"/>
  <c r="I91" i="15"/>
  <c r="I100" i="15"/>
  <c r="AB126" i="15"/>
  <c r="AB70" i="15"/>
  <c r="P100" i="15"/>
  <c r="P91" i="15"/>
  <c r="O100" i="15"/>
  <c r="O91" i="15"/>
  <c r="V100" i="15"/>
  <c r="V91" i="15"/>
  <c r="P69" i="16"/>
  <c r="J121" i="16"/>
  <c r="J65" i="16"/>
  <c r="J74" i="16"/>
  <c r="K65" i="16"/>
  <c r="K74" i="16"/>
  <c r="L65" i="16"/>
  <c r="L74" i="16"/>
  <c r="T65" i="16"/>
  <c r="T74" i="16"/>
  <c r="K69" i="16"/>
  <c r="P65" i="16"/>
  <c r="P74" i="16"/>
  <c r="Q65" i="16"/>
  <c r="Q74" i="16"/>
  <c r="R65" i="16"/>
  <c r="R74" i="16"/>
  <c r="M65" i="16"/>
  <c r="M74" i="16"/>
  <c r="I74" i="16"/>
  <c r="O65" i="16"/>
  <c r="O74" i="16"/>
  <c r="Q121" i="16"/>
  <c r="I69" i="16"/>
  <c r="S65" i="16"/>
  <c r="S74" i="16"/>
  <c r="Q69" i="16"/>
  <c r="N65" i="16"/>
  <c r="N74" i="16"/>
  <c r="Y126" i="15"/>
  <c r="Y77" i="15"/>
  <c r="J69" i="16"/>
  <c r="N75" i="16"/>
  <c r="AA98" i="16"/>
  <c r="J244" i="15"/>
  <c r="T244" i="15"/>
  <c r="AB98" i="16"/>
  <c r="Y98" i="16"/>
  <c r="O244" i="15"/>
  <c r="Q244" i="15"/>
  <c r="R244" i="15"/>
  <c r="S121" i="16"/>
  <c r="S69" i="16"/>
  <c r="S75" i="16"/>
  <c r="K244" i="15"/>
  <c r="N244" i="15"/>
  <c r="P244" i="15"/>
  <c r="L244" i="15"/>
  <c r="X98" i="16"/>
  <c r="R121" i="16"/>
  <c r="R69" i="16"/>
  <c r="R75" i="16"/>
  <c r="L121" i="16"/>
  <c r="L69" i="16"/>
  <c r="L75" i="16"/>
  <c r="M244" i="15"/>
  <c r="S244" i="15"/>
  <c r="W98" i="16"/>
  <c r="Z98" i="16"/>
  <c r="T121" i="16"/>
  <c r="T69" i="16"/>
  <c r="T75" i="16"/>
  <c r="P71" i="15"/>
  <c r="P126" i="15"/>
  <c r="T71" i="15"/>
  <c r="T126" i="15"/>
  <c r="O71" i="15"/>
  <c r="O126" i="15"/>
  <c r="X77" i="15"/>
  <c r="L71" i="15"/>
  <c r="L126" i="15"/>
  <c r="Q71" i="15"/>
  <c r="Q126" i="15"/>
  <c r="M71" i="15"/>
  <c r="M126" i="15"/>
  <c r="N71" i="15"/>
  <c r="N126" i="15"/>
  <c r="R71" i="15"/>
  <c r="R126" i="15"/>
  <c r="AB82" i="15"/>
  <c r="AB71" i="15"/>
  <c r="Y82" i="15"/>
  <c r="Y71" i="15"/>
  <c r="Z71" i="15"/>
  <c r="AB77" i="15"/>
  <c r="W82" i="15"/>
  <c r="W77" i="15"/>
  <c r="W71" i="15"/>
  <c r="X82" i="15"/>
  <c r="X71" i="15"/>
  <c r="AA82" i="15"/>
  <c r="AA71" i="15"/>
  <c r="Z82" i="15"/>
  <c r="Z77" i="15"/>
  <c r="J149" i="15"/>
  <c r="J95" i="15"/>
  <c r="J101" i="15"/>
  <c r="N149" i="15"/>
  <c r="N95" i="15"/>
  <c r="N101" i="15"/>
  <c r="U149" i="15"/>
  <c r="U95" i="15"/>
  <c r="U101" i="15"/>
  <c r="Q149" i="15"/>
  <c r="Q95" i="15"/>
  <c r="Q101" i="15"/>
  <c r="L149" i="15"/>
  <c r="L95" i="15"/>
  <c r="L101" i="15"/>
  <c r="M149" i="15"/>
  <c r="M95" i="15"/>
  <c r="M101" i="15"/>
  <c r="P149" i="15"/>
  <c r="P95" i="15"/>
  <c r="P101" i="15"/>
  <c r="O149" i="15"/>
  <c r="O95" i="15"/>
  <c r="O101" i="15"/>
  <c r="V149" i="15"/>
  <c r="V95" i="15"/>
  <c r="V101" i="15"/>
  <c r="K149" i="15"/>
  <c r="K95" i="15"/>
  <c r="K101" i="15"/>
  <c r="I244" i="15"/>
  <c r="S216" i="15"/>
  <c r="S217" i="15"/>
  <c r="O216" i="15"/>
  <c r="O217" i="15"/>
  <c r="J216" i="15"/>
  <c r="J217" i="15"/>
  <c r="Q81" i="15"/>
  <c r="Q82" i="15"/>
  <c r="O81" i="15"/>
  <c r="O82" i="15"/>
  <c r="K216" i="15"/>
  <c r="K217" i="15"/>
  <c r="I216" i="15"/>
  <c r="I217" i="15"/>
  <c r="T216" i="15"/>
  <c r="T217" i="15"/>
  <c r="T81" i="15"/>
  <c r="T82" i="15"/>
  <c r="Q216" i="15"/>
  <c r="Q217" i="15"/>
  <c r="R81" i="15"/>
  <c r="R82" i="15"/>
  <c r="N216" i="15"/>
  <c r="N217" i="15"/>
  <c r="R216" i="15"/>
  <c r="R217" i="15"/>
  <c r="L81" i="15"/>
  <c r="L82" i="15"/>
  <c r="P81" i="15"/>
  <c r="P82" i="15"/>
  <c r="N81" i="15"/>
  <c r="N82" i="15"/>
  <c r="M216" i="15"/>
  <c r="M217" i="15"/>
  <c r="P216" i="15"/>
  <c r="P217" i="15"/>
  <c r="L216" i="15"/>
  <c r="L217" i="15"/>
  <c r="M81" i="15"/>
  <c r="M82" i="15"/>
  <c r="S81" i="15"/>
  <c r="K33" i="8"/>
  <c r="L33" i="8"/>
  <c r="I65" i="8"/>
  <c r="G63" i="8"/>
  <c r="M37" i="8"/>
  <c r="L37" i="8"/>
  <c r="K37" i="8"/>
  <c r="J37" i="8"/>
  <c r="I37" i="8"/>
  <c r="K205" i="15"/>
  <c r="O205" i="15"/>
  <c r="J205" i="15"/>
  <c r="I205" i="15"/>
  <c r="T205" i="15"/>
  <c r="M205" i="15"/>
  <c r="Q205" i="15"/>
  <c r="N205" i="15"/>
  <c r="R205" i="15"/>
  <c r="P205" i="15"/>
  <c r="L205" i="15"/>
  <c r="R77" i="15"/>
  <c r="S205" i="15"/>
  <c r="Q77" i="15"/>
  <c r="P77" i="15"/>
  <c r="N77" i="15"/>
  <c r="O206" i="15"/>
  <c r="I206" i="15"/>
  <c r="T206" i="15"/>
  <c r="K206" i="15"/>
  <c r="J206" i="15"/>
  <c r="M206" i="15"/>
  <c r="Q206" i="15"/>
  <c r="R206" i="15"/>
  <c r="N206" i="15"/>
  <c r="P206" i="15"/>
  <c r="L206" i="15"/>
  <c r="O77" i="15"/>
  <c r="S206" i="15"/>
  <c r="T77" i="15"/>
  <c r="M77" i="15"/>
  <c r="L77" i="15"/>
  <c r="V58" i="15" l="1"/>
  <c r="U58" i="15"/>
  <c r="T58" i="15"/>
  <c r="I39" i="9"/>
  <c r="I203" i="16"/>
  <c r="I211" i="16" s="1"/>
  <c r="AJ59" i="17"/>
  <c r="AJ60" i="17" s="1"/>
  <c r="AK59" i="17"/>
  <c r="AK60" i="17" s="1"/>
  <c r="AL59" i="17"/>
  <c r="AL60" i="17" s="1"/>
  <c r="AN59" i="17"/>
  <c r="AN60" i="17" s="1"/>
  <c r="AO59" i="17"/>
  <c r="AO60" i="17" s="1"/>
  <c r="AM59" i="17"/>
  <c r="AM60" i="17" s="1"/>
  <c r="U48" i="14"/>
  <c r="AH59" i="17"/>
  <c r="AH60" i="17" s="1"/>
  <c r="AI59" i="17"/>
  <c r="AI60" i="17" s="1"/>
  <c r="K858" i="15"/>
  <c r="P858" i="15"/>
  <c r="R858" i="15"/>
  <c r="U858" i="15"/>
  <c r="AO83" i="15"/>
  <c r="I858" i="15"/>
  <c r="O858" i="15"/>
  <c r="Q858" i="15"/>
  <c r="AM83" i="15"/>
  <c r="W92" i="15"/>
  <c r="W102" i="15" s="1"/>
  <c r="AB208" i="7"/>
  <c r="AB219" i="7" s="1"/>
  <c r="AB227" i="7" s="1"/>
  <c r="N858" i="15"/>
  <c r="E153" i="5"/>
  <c r="Q215" i="8" s="1"/>
  <c r="S858" i="15"/>
  <c r="P606" i="16"/>
  <c r="P616" i="16" s="1"/>
  <c r="X208" i="7"/>
  <c r="X219" i="7" s="1"/>
  <c r="X227" i="7" s="1"/>
  <c r="T858" i="15"/>
  <c r="M858" i="15"/>
  <c r="AB92" i="15"/>
  <c r="AB102" i="15" s="1"/>
  <c r="U606" i="16"/>
  <c r="U616" i="16" s="1"/>
  <c r="M733" i="15"/>
  <c r="AF606" i="16"/>
  <c r="AF616" i="16" s="1"/>
  <c r="P733" i="15"/>
  <c r="AL606" i="16"/>
  <c r="AL616" i="16" s="1"/>
  <c r="AD733" i="15"/>
  <c r="J83" i="15"/>
  <c r="T66" i="16"/>
  <c r="T76" i="16" s="1"/>
  <c r="L66" i="16"/>
  <c r="L76" i="16" s="1"/>
  <c r="AH34" i="8"/>
  <c r="Z215" i="8"/>
  <c r="AC215" i="8"/>
  <c r="N606" i="16"/>
  <c r="N616" i="16" s="1"/>
  <c r="AM606" i="16"/>
  <c r="AM616" i="16" s="1"/>
  <c r="V606" i="16"/>
  <c r="V616" i="16" s="1"/>
  <c r="AG606" i="16"/>
  <c r="AG616" i="16" s="1"/>
  <c r="Q733" i="15"/>
  <c r="E197" i="5"/>
  <c r="K208" i="7"/>
  <c r="K219" i="7" s="1"/>
  <c r="K227" i="7" s="1"/>
  <c r="T733" i="15"/>
  <c r="I208" i="7"/>
  <c r="I219" i="7" s="1"/>
  <c r="I227" i="7" s="1"/>
  <c r="AA733" i="15"/>
  <c r="P208" i="7"/>
  <c r="P219" i="7" s="1"/>
  <c r="P227" i="7" s="1"/>
  <c r="AF733" i="15"/>
  <c r="Q66" i="16"/>
  <c r="Q76" i="16" s="1"/>
  <c r="X858" i="15"/>
  <c r="W34" i="8"/>
  <c r="Y34" i="8"/>
  <c r="AA858" i="15"/>
  <c r="R34" i="8"/>
  <c r="N66" i="16"/>
  <c r="N76" i="16" s="1"/>
  <c r="T215" i="8"/>
  <c r="M606" i="16"/>
  <c r="M616" i="16" s="1"/>
  <c r="AC606" i="16"/>
  <c r="AC616" i="16" s="1"/>
  <c r="AE606" i="16"/>
  <c r="AE616" i="16" s="1"/>
  <c r="W208" i="7"/>
  <c r="W219" i="7" s="1"/>
  <c r="W227" i="7" s="1"/>
  <c r="AO208" i="7"/>
  <c r="AO219" i="7" s="1"/>
  <c r="AO227" i="7" s="1"/>
  <c r="AO228" i="7" s="1"/>
  <c r="J34" i="8"/>
  <c r="V34" i="8"/>
  <c r="K34" i="8"/>
  <c r="V92" i="15"/>
  <c r="V102" i="15" s="1"/>
  <c r="U92" i="15"/>
  <c r="U102" i="15" s="1"/>
  <c r="J92" i="15"/>
  <c r="J102" i="15" s="1"/>
  <c r="O66" i="16"/>
  <c r="O76" i="16" s="1"/>
  <c r="AA92" i="15"/>
  <c r="AA102" i="15" s="1"/>
  <c r="T92" i="15"/>
  <c r="T102" i="15" s="1"/>
  <c r="AL34" i="8"/>
  <c r="AO34" i="8"/>
  <c r="AH215" i="8"/>
  <c r="P215" i="8"/>
  <c r="AG215" i="8"/>
  <c r="AN215" i="8"/>
  <c r="S606" i="16"/>
  <c r="S616" i="16" s="1"/>
  <c r="X606" i="16"/>
  <c r="X616" i="16" s="1"/>
  <c r="Z606" i="16"/>
  <c r="Z616" i="16" s="1"/>
  <c r="AO606" i="16"/>
  <c r="AO616" i="16" s="1"/>
  <c r="AM208" i="7"/>
  <c r="AM219" i="7" s="1"/>
  <c r="AM227" i="7" s="1"/>
  <c r="AM228" i="7" s="1"/>
  <c r="AM733" i="15"/>
  <c r="K733" i="15"/>
  <c r="AE208" i="7"/>
  <c r="AE219" i="7" s="1"/>
  <c r="AE227" i="7" s="1"/>
  <c r="AF208" i="7"/>
  <c r="AF219" i="7" s="1"/>
  <c r="AF227" i="7" s="1"/>
  <c r="U733" i="15"/>
  <c r="AN83" i="15"/>
  <c r="AN115" i="9"/>
  <c r="AL115" i="9"/>
  <c r="AN340" i="16"/>
  <c r="AO733" i="15"/>
  <c r="AO743" i="15" s="1"/>
  <c r="AJ208" i="7"/>
  <c r="AJ219" i="7" s="1"/>
  <c r="AJ227" i="7" s="1"/>
  <c r="AJ228" i="7" s="1"/>
  <c r="AD66" i="16"/>
  <c r="AD76" i="16" s="1"/>
  <c r="AM66" i="16"/>
  <c r="AM76" i="16" s="1"/>
  <c r="AI92" i="15"/>
  <c r="AI102" i="15" s="1"/>
  <c r="AB31" i="7"/>
  <c r="AB42" i="7" s="1"/>
  <c r="AB50" i="7" s="1"/>
  <c r="X31" i="7"/>
  <c r="X42" i="7" s="1"/>
  <c r="X50" i="7" s="1"/>
  <c r="U31" i="7"/>
  <c r="U42" i="7" s="1"/>
  <c r="U50" i="7" s="1"/>
  <c r="M208" i="7"/>
  <c r="M219" i="7" s="1"/>
  <c r="M227" i="7" s="1"/>
  <c r="AH66" i="16"/>
  <c r="AH76" i="16" s="1"/>
  <c r="AC92" i="15"/>
  <c r="AC102" i="15" s="1"/>
  <c r="J31" i="7"/>
  <c r="J42" i="7" s="1"/>
  <c r="J50" i="7" s="1"/>
  <c r="AA31" i="7"/>
  <c r="AA42" i="7" s="1"/>
  <c r="AA50" i="7" s="1"/>
  <c r="AH92" i="15"/>
  <c r="AH102" i="15" s="1"/>
  <c r="W31" i="7"/>
  <c r="W42" i="7" s="1"/>
  <c r="W50" i="7" s="1"/>
  <c r="AL92" i="15"/>
  <c r="AL102" i="15" s="1"/>
  <c r="AK733" i="15"/>
  <c r="AK208" i="7"/>
  <c r="AK219" i="7" s="1"/>
  <c r="AK227" i="7" s="1"/>
  <c r="AK228" i="7" s="1"/>
  <c r="AI66" i="16"/>
  <c r="AI76" i="16" s="1"/>
  <c r="AF92" i="15"/>
  <c r="AF102" i="15" s="1"/>
  <c r="AE92" i="15"/>
  <c r="AE102" i="15" s="1"/>
  <c r="K31" i="7"/>
  <c r="K42" i="7" s="1"/>
  <c r="K50" i="7" s="1"/>
  <c r="L31" i="7"/>
  <c r="L42" i="7" s="1"/>
  <c r="L50" i="7" s="1"/>
  <c r="N733" i="15"/>
  <c r="AD92" i="15"/>
  <c r="AD102" i="15" s="1"/>
  <c r="V66" i="16"/>
  <c r="V76" i="16" s="1"/>
  <c r="Q31" i="7"/>
  <c r="Q42" i="7" s="1"/>
  <c r="Q50" i="7" s="1"/>
  <c r="N31" i="7"/>
  <c r="N42" i="7" s="1"/>
  <c r="N50" i="7" s="1"/>
  <c r="T31" i="7"/>
  <c r="T42" i="7" s="1"/>
  <c r="T50" i="7" s="1"/>
  <c r="V733" i="15"/>
  <c r="AM92" i="15"/>
  <c r="AM102" i="15" s="1"/>
  <c r="O208" i="7"/>
  <c r="O219" i="7" s="1"/>
  <c r="O227" i="7" s="1"/>
  <c r="AO66" i="16"/>
  <c r="AO76" i="16" s="1"/>
  <c r="AJ66" i="16"/>
  <c r="AJ76" i="16" s="1"/>
  <c r="AK92" i="15"/>
  <c r="AK102" i="15" s="1"/>
  <c r="R31" i="7"/>
  <c r="R42" i="7" s="1"/>
  <c r="R50" i="7" s="1"/>
  <c r="O31" i="7"/>
  <c r="O42" i="7" s="1"/>
  <c r="O50" i="7" s="1"/>
  <c r="I31" i="7"/>
  <c r="I42" i="7" s="1"/>
  <c r="I50" i="7" s="1"/>
  <c r="AF66" i="16"/>
  <c r="AF76" i="16" s="1"/>
  <c r="O733" i="15"/>
  <c r="AN92" i="15"/>
  <c r="AN102" i="15" s="1"/>
  <c r="Q208" i="7"/>
  <c r="Q219" i="7" s="1"/>
  <c r="Q227" i="7" s="1"/>
  <c r="P66" i="16"/>
  <c r="P76" i="16" s="1"/>
  <c r="AN66" i="16"/>
  <c r="AN76" i="16" s="1"/>
  <c r="AC66" i="16"/>
  <c r="AC76" i="16" s="1"/>
  <c r="AJ92" i="15"/>
  <c r="AJ102" i="15" s="1"/>
  <c r="U66" i="16"/>
  <c r="U76" i="16" s="1"/>
  <c r="P31" i="7"/>
  <c r="P42" i="7" s="1"/>
  <c r="P50" i="7" s="1"/>
  <c r="AI733" i="15"/>
  <c r="AG208" i="7"/>
  <c r="AG219" i="7" s="1"/>
  <c r="AG227" i="7" s="1"/>
  <c r="AK66" i="16"/>
  <c r="AK76" i="16" s="1"/>
  <c r="M31" i="7"/>
  <c r="M42" i="7" s="1"/>
  <c r="M50" i="7" s="1"/>
  <c r="U208" i="7"/>
  <c r="U219" i="7" s="1"/>
  <c r="U227" i="7" s="1"/>
  <c r="L733" i="15"/>
  <c r="AL208" i="7"/>
  <c r="AL219" i="7" s="1"/>
  <c r="AL227" i="7" s="1"/>
  <c r="AL228" i="7" s="1"/>
  <c r="AG66" i="16"/>
  <c r="AG76" i="16" s="1"/>
  <c r="AE66" i="16"/>
  <c r="AE76" i="16" s="1"/>
  <c r="AG92" i="15"/>
  <c r="AG102" i="15" s="1"/>
  <c r="Y31" i="7"/>
  <c r="Y42" i="7" s="1"/>
  <c r="Y50" i="7" s="1"/>
  <c r="V31" i="7"/>
  <c r="V42" i="7" s="1"/>
  <c r="V50" i="7" s="1"/>
  <c r="AL66" i="16"/>
  <c r="AL76" i="16" s="1"/>
  <c r="Z31" i="7"/>
  <c r="Z42" i="7" s="1"/>
  <c r="Z50" i="7" s="1"/>
  <c r="Z733" i="15"/>
  <c r="AO92" i="15"/>
  <c r="AO102" i="15" s="1"/>
  <c r="S31" i="7"/>
  <c r="S42" i="7" s="1"/>
  <c r="S50" i="7" s="1"/>
  <c r="U215" i="8"/>
  <c r="AH208" i="7"/>
  <c r="AH219" i="7" s="1"/>
  <c r="AH227" i="7" s="1"/>
  <c r="AH228" i="7" s="1"/>
  <c r="AJ733" i="15"/>
  <c r="U34" i="8"/>
  <c r="Y66" i="16"/>
  <c r="Y76" i="16" s="1"/>
  <c r="AJ34" i="8"/>
  <c r="X215" i="8"/>
  <c r="AB733" i="15"/>
  <c r="S733" i="15"/>
  <c r="AC208" i="7"/>
  <c r="AC219" i="7" s="1"/>
  <c r="AC227" i="7" s="1"/>
  <c r="Z34" i="8"/>
  <c r="AB858" i="15"/>
  <c r="O115" i="9"/>
  <c r="I115" i="9"/>
  <c r="AD115" i="9"/>
  <c r="AM115" i="9"/>
  <c r="AH115" i="9"/>
  <c r="AB66" i="16"/>
  <c r="AB76" i="16" s="1"/>
  <c r="AF34" i="8"/>
  <c r="O215" i="8"/>
  <c r="AM215" i="8"/>
  <c r="L606" i="16"/>
  <c r="L616" i="16" s="1"/>
  <c r="AN606" i="16"/>
  <c r="AN616" i="16" s="1"/>
  <c r="AE733" i="15"/>
  <c r="AC733" i="15"/>
  <c r="T34" i="8"/>
  <c r="L92" i="15"/>
  <c r="L102" i="15" s="1"/>
  <c r="S215" i="8"/>
  <c r="AO724" i="15"/>
  <c r="P34" i="8"/>
  <c r="R66" i="16"/>
  <c r="R76" i="16" s="1"/>
  <c r="J66" i="16"/>
  <c r="J76" i="16" s="1"/>
  <c r="S92" i="15"/>
  <c r="S102" i="15" s="1"/>
  <c r="AD34" i="8"/>
  <c r="AG34" i="8"/>
  <c r="AD215" i="8"/>
  <c r="L215" i="8"/>
  <c r="R606" i="16"/>
  <c r="R616" i="16" s="1"/>
  <c r="AD606" i="16"/>
  <c r="AD616" i="16" s="1"/>
  <c r="W733" i="15"/>
  <c r="AL733" i="15"/>
  <c r="L34" i="8"/>
  <c r="Q34" i="8"/>
  <c r="S66" i="16"/>
  <c r="S76" i="16" s="1"/>
  <c r="M66" i="16"/>
  <c r="M76" i="16" s="1"/>
  <c r="Z92" i="15"/>
  <c r="Z102" i="15" s="1"/>
  <c r="AI34" i="8"/>
  <c r="AA215" i="8"/>
  <c r="W215" i="8"/>
  <c r="V215" i="8"/>
  <c r="AK215" i="8"/>
  <c r="K215" i="8"/>
  <c r="Q606" i="16"/>
  <c r="Q616" i="16" s="1"/>
  <c r="J606" i="16"/>
  <c r="J616" i="16" s="1"/>
  <c r="AJ606" i="16"/>
  <c r="AJ616" i="16" s="1"/>
  <c r="Y606" i="16"/>
  <c r="Y616" i="16" s="1"/>
  <c r="AH733" i="15"/>
  <c r="I606" i="16"/>
  <c r="I616" i="16" s="1"/>
  <c r="J208" i="7"/>
  <c r="J219" i="7" s="1"/>
  <c r="J227" i="7" s="1"/>
  <c r="X733" i="15"/>
  <c r="L208" i="7"/>
  <c r="L219" i="7" s="1"/>
  <c r="L227" i="7" s="1"/>
  <c r="AG733" i="15"/>
  <c r="Y208" i="7"/>
  <c r="Y219" i="7" s="1"/>
  <c r="Y227" i="7" s="1"/>
  <c r="Y858" i="15"/>
  <c r="Z858" i="15"/>
  <c r="S115" i="9"/>
  <c r="AJ336" i="14"/>
  <c r="N336" i="14"/>
  <c r="AM336" i="14"/>
  <c r="Q336" i="14"/>
  <c r="Z49" i="14"/>
  <c r="AD336" i="14"/>
  <c r="AG336" i="14"/>
  <c r="L49" i="14"/>
  <c r="N49" i="14"/>
  <c r="Q49" i="14"/>
  <c r="AE336" i="14"/>
  <c r="AH336" i="14"/>
  <c r="V336" i="14"/>
  <c r="K336" i="14"/>
  <c r="Y336" i="14"/>
  <c r="M336" i="14"/>
  <c r="P336" i="14"/>
  <c r="K49" i="14"/>
  <c r="M49" i="14"/>
  <c r="P49" i="14"/>
  <c r="O49" i="14"/>
  <c r="J49" i="14"/>
  <c r="U336" i="14"/>
  <c r="AL336" i="14"/>
  <c r="X336" i="14"/>
  <c r="AO336" i="14"/>
  <c r="S49" i="14"/>
  <c r="T49" i="14"/>
  <c r="U49" i="14"/>
  <c r="V49" i="14"/>
  <c r="X49" i="14"/>
  <c r="Y49" i="14"/>
  <c r="AH49" i="14"/>
  <c r="W336" i="14"/>
  <c r="AM49" i="14"/>
  <c r="AC336" i="14"/>
  <c r="I336" i="14"/>
  <c r="AF336" i="14"/>
  <c r="Z336" i="14"/>
  <c r="AA49" i="14"/>
  <c r="AB49" i="14"/>
  <c r="AC49" i="14"/>
  <c r="AD49" i="14"/>
  <c r="AF49" i="14"/>
  <c r="AG49" i="14"/>
  <c r="R49" i="14"/>
  <c r="AE49" i="14"/>
  <c r="R336" i="14"/>
  <c r="J336" i="14"/>
  <c r="W49" i="14"/>
  <c r="AB336" i="14"/>
  <c r="L336" i="14"/>
  <c r="AK336" i="14"/>
  <c r="O336" i="14"/>
  <c r="AN336" i="14"/>
  <c r="AI336" i="14"/>
  <c r="AI49" i="14"/>
  <c r="AJ49" i="14"/>
  <c r="AK49" i="14"/>
  <c r="AL49" i="14"/>
  <c r="AN49" i="14"/>
  <c r="AO49" i="14"/>
  <c r="T336" i="14"/>
  <c r="S336" i="14"/>
  <c r="AA336" i="14"/>
  <c r="X34" i="8"/>
  <c r="X92" i="15"/>
  <c r="X102" i="15" s="1"/>
  <c r="AO215" i="8"/>
  <c r="AI606" i="16"/>
  <c r="AI616" i="16" s="1"/>
  <c r="AB606" i="16"/>
  <c r="AB616" i="16" s="1"/>
  <c r="J733" i="15"/>
  <c r="AD208" i="7"/>
  <c r="AD219" i="7" s="1"/>
  <c r="AD227" i="7" s="1"/>
  <c r="S208" i="7"/>
  <c r="S219" i="7" s="1"/>
  <c r="S227" i="7" s="1"/>
  <c r="P92" i="15"/>
  <c r="P102" i="15" s="1"/>
  <c r="R92" i="15"/>
  <c r="R102" i="15" s="1"/>
  <c r="AE215" i="8"/>
  <c r="W606" i="16"/>
  <c r="W616" i="16" s="1"/>
  <c r="I733" i="15"/>
  <c r="I743" i="15" s="1"/>
  <c r="AA34" i="8"/>
  <c r="AN34" i="8"/>
  <c r="M215" i="8"/>
  <c r="N215" i="8"/>
  <c r="K606" i="16"/>
  <c r="K616" i="16" s="1"/>
  <c r="AA606" i="16"/>
  <c r="AA616" i="16" s="1"/>
  <c r="R208" i="7"/>
  <c r="R219" i="7" s="1"/>
  <c r="R227" i="7" s="1"/>
  <c r="AI208" i="7"/>
  <c r="AI219" i="7" s="1"/>
  <c r="AI227" i="7" s="1"/>
  <c r="AI228" i="7" s="1"/>
  <c r="T208" i="7"/>
  <c r="T219" i="7" s="1"/>
  <c r="T227" i="7" s="1"/>
  <c r="AN208" i="7"/>
  <c r="AN219" i="7" s="1"/>
  <c r="AN227" i="7" s="1"/>
  <c r="AN228" i="7" s="1"/>
  <c r="I34" i="8"/>
  <c r="O34" i="8"/>
  <c r="M34" i="8"/>
  <c r="K92" i="15"/>
  <c r="K102" i="15" s="1"/>
  <c r="O92" i="15"/>
  <c r="M92" i="15"/>
  <c r="M102" i="15" s="1"/>
  <c r="Q92" i="15"/>
  <c r="Q102" i="15" s="1"/>
  <c r="N92" i="15"/>
  <c r="N102" i="15" s="1"/>
  <c r="I92" i="15"/>
  <c r="I66" i="16"/>
  <c r="I76" i="16" s="1"/>
  <c r="W66" i="16"/>
  <c r="W76" i="16" s="1"/>
  <c r="X66" i="16"/>
  <c r="X76" i="16" s="1"/>
  <c r="AM34" i="8"/>
  <c r="AK34" i="8"/>
  <c r="R215" i="8"/>
  <c r="AL215" i="8"/>
  <c r="AB215" i="8"/>
  <c r="AF215" i="8"/>
  <c r="Y92" i="15"/>
  <c r="Y102" i="15" s="1"/>
  <c r="Z66" i="16"/>
  <c r="Z76" i="16" s="1"/>
  <c r="AA66" i="16"/>
  <c r="O606" i="16"/>
  <c r="O616" i="16" s="1"/>
  <c r="T606" i="16"/>
  <c r="T616" i="16" s="1"/>
  <c r="AK606" i="16"/>
  <c r="AK616" i="16" s="1"/>
  <c r="AH606" i="16"/>
  <c r="AH616" i="16" s="1"/>
  <c r="AN733" i="15"/>
  <c r="Z208" i="7"/>
  <c r="Z219" i="7" s="1"/>
  <c r="Z227" i="7" s="1"/>
  <c r="Y733" i="15"/>
  <c r="AA208" i="7"/>
  <c r="AA219" i="7" s="1"/>
  <c r="AA227" i="7" s="1"/>
  <c r="R733" i="15"/>
  <c r="V208" i="7"/>
  <c r="V219" i="7" s="1"/>
  <c r="V227" i="7" s="1"/>
  <c r="I83" i="15"/>
  <c r="I107" i="15" s="1"/>
  <c r="W858" i="15"/>
  <c r="W115" i="9"/>
  <c r="N219" i="7"/>
  <c r="N227" i="7" s="1"/>
  <c r="M33" i="8"/>
  <c r="I33" i="8"/>
  <c r="AC27" i="9"/>
  <c r="AC115" i="9"/>
  <c r="T115" i="9"/>
  <c r="P203" i="9"/>
  <c r="AB203" i="9"/>
  <c r="Y115" i="9"/>
  <c r="K115" i="9"/>
  <c r="AK203" i="9"/>
  <c r="AL203" i="9"/>
  <c r="I48" i="14"/>
  <c r="I63" i="14" s="1"/>
  <c r="R330" i="14"/>
  <c r="I124" i="8"/>
  <c r="AF214" i="8"/>
  <c r="AM124" i="8"/>
  <c r="AF124" i="8"/>
  <c r="Y124" i="8"/>
  <c r="Z124" i="8"/>
  <c r="Q124" i="8"/>
  <c r="X214" i="8"/>
  <c r="O124" i="8"/>
  <c r="AJ33" i="8"/>
  <c r="Y33" i="8"/>
  <c r="AB33" i="8"/>
  <c r="N33" i="8"/>
  <c r="AN214" i="8"/>
  <c r="L124" i="8"/>
  <c r="AE214" i="8"/>
  <c r="AL214" i="8"/>
  <c r="AO124" i="8"/>
  <c r="AE124" i="8"/>
  <c r="V124" i="8"/>
  <c r="N214" i="8"/>
  <c r="AB214" i="8"/>
  <c r="I214" i="8"/>
  <c r="Q214" i="8"/>
  <c r="AL33" i="8"/>
  <c r="AM214" i="8"/>
  <c r="AO214" i="8"/>
  <c r="AH214" i="8"/>
  <c r="AJ124" i="8"/>
  <c r="AL124" i="8"/>
  <c r="U124" i="8"/>
  <c r="R124" i="8"/>
  <c r="O214" i="8"/>
  <c r="T214" i="8"/>
  <c r="AI33" i="8"/>
  <c r="AE33" i="8"/>
  <c r="Z33" i="8"/>
  <c r="U33" i="8"/>
  <c r="K214" i="8"/>
  <c r="AK33" i="8"/>
  <c r="P33" i="8"/>
  <c r="AK214" i="8"/>
  <c r="AC214" i="8"/>
  <c r="AG124" i="8"/>
  <c r="S124" i="8"/>
  <c r="M124" i="8"/>
  <c r="AA124" i="8"/>
  <c r="L214" i="8"/>
  <c r="N124" i="8"/>
  <c r="AM33" i="8"/>
  <c r="AC33" i="8"/>
  <c r="V33" i="8"/>
  <c r="O33" i="8"/>
  <c r="AB124" i="8"/>
  <c r="AD214" i="8"/>
  <c r="AI214" i="8"/>
  <c r="AK124" i="8"/>
  <c r="P124" i="8"/>
  <c r="V214" i="8"/>
  <c r="M214" i="8"/>
  <c r="R214" i="8"/>
  <c r="AA214" i="8"/>
  <c r="AN33" i="8"/>
  <c r="AG33" i="8"/>
  <c r="S33" i="8"/>
  <c r="W124" i="8"/>
  <c r="AD33" i="8"/>
  <c r="AG214" i="8"/>
  <c r="AH124" i="8"/>
  <c r="AC124" i="8"/>
  <c r="Z214" i="8"/>
  <c r="K124" i="8"/>
  <c r="Y214" i="8"/>
  <c r="U214" i="8"/>
  <c r="S214" i="8"/>
  <c r="AF33" i="8"/>
  <c r="AO33" i="8"/>
  <c r="X33" i="8"/>
  <c r="W33" i="8"/>
  <c r="P214" i="8"/>
  <c r="AA33" i="8"/>
  <c r="AJ214" i="8"/>
  <c r="AD124" i="8"/>
  <c r="AI124" i="8"/>
  <c r="X124" i="8"/>
  <c r="W214" i="8"/>
  <c r="J124" i="8"/>
  <c r="J214" i="8"/>
  <c r="T124" i="8"/>
  <c r="AH33" i="8"/>
  <c r="Q33" i="8"/>
  <c r="T33" i="8"/>
  <c r="R33" i="8"/>
  <c r="AN124" i="8"/>
  <c r="X48" i="14"/>
  <c r="AD335" i="14"/>
  <c r="AE190" i="14"/>
  <c r="AE205" i="14" s="1"/>
  <c r="AE213" i="14" s="1"/>
  <c r="AJ335" i="14"/>
  <c r="AC335" i="14"/>
  <c r="Q190" i="14"/>
  <c r="Q205" i="14" s="1"/>
  <c r="Q213" i="14" s="1"/>
  <c r="Y190" i="14"/>
  <c r="Y205" i="14" s="1"/>
  <c r="Y213" i="14" s="1"/>
  <c r="T335" i="14"/>
  <c r="S335" i="14"/>
  <c r="X335" i="14"/>
  <c r="AL48" i="14"/>
  <c r="W48" i="14"/>
  <c r="AB48" i="14"/>
  <c r="AL190" i="14"/>
  <c r="AL205" i="14" s="1"/>
  <c r="AJ190" i="14"/>
  <c r="AJ205" i="14" s="1"/>
  <c r="AF335" i="14"/>
  <c r="AL335" i="14"/>
  <c r="W335" i="14"/>
  <c r="U335" i="14"/>
  <c r="AB190" i="14"/>
  <c r="AB205" i="14" s="1"/>
  <c r="AB213" i="14" s="1"/>
  <c r="Z335" i="14"/>
  <c r="O190" i="14"/>
  <c r="O205" i="14" s="1"/>
  <c r="O213" i="14" s="1"/>
  <c r="AE48" i="14"/>
  <c r="J48" i="14"/>
  <c r="K48" i="14"/>
  <c r="O48" i="14"/>
  <c r="M48" i="14"/>
  <c r="AI190" i="14"/>
  <c r="AI205" i="14" s="1"/>
  <c r="AE335" i="14"/>
  <c r="AK190" i="14"/>
  <c r="AK205" i="14" s="1"/>
  <c r="I190" i="14"/>
  <c r="I205" i="14" s="1"/>
  <c r="I213" i="14" s="1"/>
  <c r="X190" i="14"/>
  <c r="X205" i="14" s="1"/>
  <c r="X213" i="14" s="1"/>
  <c r="N190" i="14"/>
  <c r="N205" i="14" s="1"/>
  <c r="N213" i="14" s="1"/>
  <c r="P335" i="14"/>
  <c r="K190" i="14"/>
  <c r="K205" i="14" s="1"/>
  <c r="K213" i="14" s="1"/>
  <c r="AK48" i="14"/>
  <c r="AM48" i="14"/>
  <c r="L48" i="14"/>
  <c r="AO335" i="14"/>
  <c r="AH335" i="14"/>
  <c r="AO190" i="14"/>
  <c r="AO205" i="14" s="1"/>
  <c r="V335" i="14"/>
  <c r="S190" i="14"/>
  <c r="S205" i="14" s="1"/>
  <c r="AA190" i="14"/>
  <c r="AA205" i="14" s="1"/>
  <c r="AA213" i="14" s="1"/>
  <c r="U190" i="14"/>
  <c r="U205" i="14" s="1"/>
  <c r="AB335" i="14"/>
  <c r="AI48" i="14"/>
  <c r="AJ48" i="14"/>
  <c r="N48" i="14"/>
  <c r="Z48" i="14"/>
  <c r="AN190" i="14"/>
  <c r="AN205" i="14" s="1"/>
  <c r="AC190" i="14"/>
  <c r="AC205" i="14" s="1"/>
  <c r="AC213" i="14" s="1"/>
  <c r="AF190" i="14"/>
  <c r="AF205" i="14" s="1"/>
  <c r="AF213" i="14" s="1"/>
  <c r="I335" i="14"/>
  <c r="M335" i="14"/>
  <c r="Z190" i="14"/>
  <c r="Z205" i="14" s="1"/>
  <c r="Z213" i="14" s="1"/>
  <c r="L335" i="14"/>
  <c r="Q335" i="14"/>
  <c r="AF48" i="14"/>
  <c r="AN48" i="14"/>
  <c r="AA48" i="14"/>
  <c r="T48" i="14"/>
  <c r="R48" i="14"/>
  <c r="V48" i="14"/>
  <c r="AI335" i="14"/>
  <c r="AN335" i="14"/>
  <c r="AK335" i="14"/>
  <c r="W190" i="14"/>
  <c r="W205" i="14" s="1"/>
  <c r="J335" i="14"/>
  <c r="L190" i="14"/>
  <c r="L205" i="14" s="1"/>
  <c r="L213" i="14" s="1"/>
  <c r="O335" i="14"/>
  <c r="K335" i="14"/>
  <c r="AH48" i="14"/>
  <c r="AC48" i="14"/>
  <c r="Y48" i="14"/>
  <c r="S48" i="14"/>
  <c r="AM190" i="14"/>
  <c r="AM205" i="14" s="1"/>
  <c r="AM335" i="14"/>
  <c r="AG190" i="14"/>
  <c r="AG205" i="14" s="1"/>
  <c r="AG213" i="14" s="1"/>
  <c r="AA335" i="14"/>
  <c r="P190" i="14"/>
  <c r="P205" i="14" s="1"/>
  <c r="P213" i="14" s="1"/>
  <c r="R190" i="14"/>
  <c r="R205" i="14" s="1"/>
  <c r="N335" i="14"/>
  <c r="V190" i="14"/>
  <c r="V205" i="14" s="1"/>
  <c r="AD48" i="14"/>
  <c r="AG48" i="14"/>
  <c r="AG63" i="14" s="1"/>
  <c r="P48" i="14"/>
  <c r="AD190" i="14"/>
  <c r="AD205" i="14" s="1"/>
  <c r="AD213" i="14" s="1"/>
  <c r="AH190" i="14"/>
  <c r="AH205" i="14" s="1"/>
  <c r="AG335" i="14"/>
  <c r="M190" i="14"/>
  <c r="M205" i="14" s="1"/>
  <c r="M213" i="14" s="1"/>
  <c r="J190" i="14"/>
  <c r="J205" i="14" s="1"/>
  <c r="J213" i="14" s="1"/>
  <c r="Y335" i="14"/>
  <c r="R335" i="14"/>
  <c r="T190" i="14"/>
  <c r="T205" i="14" s="1"/>
  <c r="AO48" i="14"/>
  <c r="Q48" i="14"/>
  <c r="L201" i="16"/>
  <c r="L209" i="16" s="1"/>
  <c r="P197" i="15"/>
  <c r="AA328" i="14"/>
  <c r="AA330" i="14" s="1"/>
  <c r="Y328" i="14"/>
  <c r="Y330" i="14" s="1"/>
  <c r="W328" i="14"/>
  <c r="W330" i="14" s="1"/>
  <c r="X328" i="14"/>
  <c r="X330" i="14" s="1"/>
  <c r="S328" i="14"/>
  <c r="S330" i="14" s="1"/>
  <c r="V328" i="14"/>
  <c r="V330" i="14" s="1"/>
  <c r="R183" i="14"/>
  <c r="R185" i="14" s="1"/>
  <c r="S183" i="14"/>
  <c r="S185" i="14" s="1"/>
  <c r="V183" i="14"/>
  <c r="V185" i="14" s="1"/>
  <c r="T183" i="14"/>
  <c r="T185" i="14" s="1"/>
  <c r="U183" i="14"/>
  <c r="U185" i="14" s="1"/>
  <c r="W183" i="14"/>
  <c r="W185" i="14" s="1"/>
  <c r="T219" i="15"/>
  <c r="Q219" i="15"/>
  <c r="R219" i="15"/>
  <c r="K219" i="15"/>
  <c r="P219" i="15"/>
  <c r="L219" i="15"/>
  <c r="N219" i="15"/>
  <c r="O219" i="15"/>
  <c r="J219" i="15"/>
  <c r="S219" i="15"/>
  <c r="M219" i="15"/>
  <c r="AI83" i="15"/>
  <c r="AJ83" i="15"/>
  <c r="AH83" i="15"/>
  <c r="AH107" i="15" s="1"/>
  <c r="T83" i="15"/>
  <c r="Z83" i="15"/>
  <c r="AE83" i="15"/>
  <c r="AD83" i="15"/>
  <c r="AG83" i="15"/>
  <c r="Q83" i="15"/>
  <c r="AK83" i="15"/>
  <c r="K83" i="15"/>
  <c r="P83" i="15"/>
  <c r="X83" i="15"/>
  <c r="L83" i="15"/>
  <c r="AL83" i="15"/>
  <c r="N83" i="15"/>
  <c r="W83" i="15"/>
  <c r="O83" i="15"/>
  <c r="AC83" i="15"/>
  <c r="AB83" i="15"/>
  <c r="R83" i="15"/>
  <c r="M83" i="15"/>
  <c r="Y83" i="15"/>
  <c r="AF83" i="15"/>
  <c r="AA83" i="15"/>
  <c r="L198" i="16"/>
  <c r="L206" i="16" s="1"/>
  <c r="N203" i="16"/>
  <c r="N211" i="16" s="1"/>
  <c r="I202" i="16"/>
  <c r="I210" i="16" s="1"/>
  <c r="V35" i="16"/>
  <c r="U35" i="16"/>
  <c r="AK35" i="16"/>
  <c r="AK42" i="16"/>
  <c r="N35" i="16"/>
  <c r="N42" i="16"/>
  <c r="AD35" i="16"/>
  <c r="AD42" i="16"/>
  <c r="R171" i="16"/>
  <c r="L199" i="16"/>
  <c r="L207" i="16" s="1"/>
  <c r="J58" i="15"/>
  <c r="AA58" i="15"/>
  <c r="O58" i="15"/>
  <c r="S58" i="15"/>
  <c r="AE58" i="15"/>
  <c r="AF58" i="15"/>
  <c r="N58" i="15"/>
  <c r="AK58" i="15"/>
  <c r="AL58" i="15"/>
  <c r="AH58" i="15"/>
  <c r="K58" i="15"/>
  <c r="Z58" i="15"/>
  <c r="AM58" i="15"/>
  <c r="AJ58" i="15"/>
  <c r="W58" i="15"/>
  <c r="AD58" i="15"/>
  <c r="AN58" i="15"/>
  <c r="AI58" i="15"/>
  <c r="Q58" i="15"/>
  <c r="X58" i="15"/>
  <c r="AO58" i="15"/>
  <c r="AG58" i="15"/>
  <c r="Y58" i="15"/>
  <c r="AC58" i="15"/>
  <c r="P58" i="15"/>
  <c r="O35" i="16"/>
  <c r="AE35" i="16"/>
  <c r="Z35" i="16"/>
  <c r="T35" i="16"/>
  <c r="AJ35" i="16"/>
  <c r="I35" i="16"/>
  <c r="Y35" i="16"/>
  <c r="AO35" i="16"/>
  <c r="K35" i="16"/>
  <c r="J35" i="16"/>
  <c r="AF35" i="16"/>
  <c r="L202" i="16"/>
  <c r="L210" i="16" s="1"/>
  <c r="L200" i="16"/>
  <c r="L208" i="16" s="1"/>
  <c r="L203" i="16"/>
  <c r="L211" i="16" s="1"/>
  <c r="M58" i="15"/>
  <c r="AH35" i="16"/>
  <c r="S35" i="16"/>
  <c r="AI35" i="16"/>
  <c r="AL35" i="16"/>
  <c r="X35" i="16"/>
  <c r="AN35" i="16"/>
  <c r="M35" i="16"/>
  <c r="AC35" i="16"/>
  <c r="L58" i="15"/>
  <c r="AA35" i="16"/>
  <c r="P35" i="16"/>
  <c r="AB58" i="15"/>
  <c r="W35" i="16"/>
  <c r="AM35" i="16"/>
  <c r="L35" i="16"/>
  <c r="AB35" i="16"/>
  <c r="R35" i="16"/>
  <c r="Q35" i="16"/>
  <c r="AG35" i="16"/>
  <c r="R58" i="15"/>
  <c r="Q197" i="16"/>
  <c r="Q205" i="16" s="1"/>
  <c r="X200" i="16"/>
  <c r="X208" i="16" s="1"/>
  <c r="Q203" i="16"/>
  <c r="Q211" i="16" s="1"/>
  <c r="Q201" i="16"/>
  <c r="Q209" i="16" s="1"/>
  <c r="X198" i="16"/>
  <c r="X206" i="16" s="1"/>
  <c r="Q200" i="16"/>
  <c r="Q208" i="16" s="1"/>
  <c r="Q198" i="16"/>
  <c r="Q206" i="16" s="1"/>
  <c r="Q202" i="16"/>
  <c r="Q210" i="16" s="1"/>
  <c r="X197" i="16"/>
  <c r="X205" i="16" s="1"/>
  <c r="X202" i="16"/>
  <c r="X210" i="16" s="1"/>
  <c r="X203" i="16"/>
  <c r="X211" i="16" s="1"/>
  <c r="X201" i="16"/>
  <c r="X209" i="16" s="1"/>
  <c r="P171" i="16"/>
  <c r="M202" i="16"/>
  <c r="M210" i="16" s="1"/>
  <c r="L156" i="16"/>
  <c r="N200" i="16"/>
  <c r="N208" i="16" s="1"/>
  <c r="N199" i="16"/>
  <c r="N207" i="16" s="1"/>
  <c r="N198" i="16"/>
  <c r="N206" i="16" s="1"/>
  <c r="N202" i="16"/>
  <c r="N210" i="16" s="1"/>
  <c r="N201" i="16"/>
  <c r="N209" i="16" s="1"/>
  <c r="Q197" i="15"/>
  <c r="I199" i="16"/>
  <c r="I207" i="16" s="1"/>
  <c r="M171" i="16"/>
  <c r="I198" i="16"/>
  <c r="I206" i="16" s="1"/>
  <c r="Q171" i="16"/>
  <c r="I197" i="16"/>
  <c r="I205" i="16" s="1"/>
  <c r="I201" i="16"/>
  <c r="I209" i="16" s="1"/>
  <c r="I200" i="16"/>
  <c r="I208" i="16" s="1"/>
  <c r="N171" i="16"/>
  <c r="N156" i="16"/>
  <c r="P156" i="16"/>
  <c r="Y156" i="16"/>
  <c r="I171" i="16"/>
  <c r="K171" i="16"/>
  <c r="AA171" i="16"/>
  <c r="AB156" i="16"/>
  <c r="Y171" i="16"/>
  <c r="X171" i="16"/>
  <c r="W171" i="16"/>
  <c r="V171" i="16"/>
  <c r="L171" i="16"/>
  <c r="Q156" i="16"/>
  <c r="O156" i="16"/>
  <c r="J171" i="16"/>
  <c r="AB171" i="16"/>
  <c r="Z171" i="16"/>
  <c r="U171" i="16"/>
  <c r="O171" i="16"/>
  <c r="W156" i="16"/>
  <c r="Z156" i="16"/>
  <c r="X156" i="16"/>
  <c r="I156" i="16"/>
  <c r="R156" i="16"/>
  <c r="AA156" i="16"/>
  <c r="J156" i="16"/>
  <c r="T156" i="16"/>
  <c r="T182" i="16" s="1"/>
  <c r="S156" i="16"/>
  <c r="S182" i="16" s="1"/>
  <c r="V156" i="16"/>
  <c r="U156" i="16"/>
  <c r="M156" i="16"/>
  <c r="O197" i="15"/>
  <c r="S197" i="15"/>
  <c r="O836" i="15"/>
  <c r="W836" i="15"/>
  <c r="I836" i="15"/>
  <c r="Z836" i="15"/>
  <c r="U836" i="15"/>
  <c r="X836" i="15"/>
  <c r="P836" i="15"/>
  <c r="R836" i="15"/>
  <c r="T836" i="15"/>
  <c r="Q836" i="15"/>
  <c r="N836" i="15"/>
  <c r="S836" i="15"/>
  <c r="M836" i="15"/>
  <c r="K836" i="15"/>
  <c r="Y836" i="15"/>
  <c r="J836" i="15"/>
  <c r="J865" i="15" s="1"/>
  <c r="V836" i="15"/>
  <c r="V865" i="15" s="1"/>
  <c r="AB836" i="15"/>
  <c r="L836" i="15"/>
  <c r="L865" i="15" s="1"/>
  <c r="AA836" i="15"/>
  <c r="U518" i="15"/>
  <c r="U547" i="15" s="1"/>
  <c r="K518" i="15"/>
  <c r="K547" i="15" s="1"/>
  <c r="L518" i="15"/>
  <c r="L547" i="15" s="1"/>
  <c r="I518" i="15"/>
  <c r="I547" i="15" s="1"/>
  <c r="O518" i="15"/>
  <c r="O547" i="15" s="1"/>
  <c r="Q518" i="15"/>
  <c r="Q547" i="15" s="1"/>
  <c r="S518" i="15"/>
  <c r="S547" i="15" s="1"/>
  <c r="N518" i="15"/>
  <c r="N547" i="15" s="1"/>
  <c r="AA518" i="15"/>
  <c r="AA547" i="15" s="1"/>
  <c r="Y518" i="15"/>
  <c r="Y547" i="15" s="1"/>
  <c r="P518" i="15"/>
  <c r="P547" i="15" s="1"/>
  <c r="T518" i="15"/>
  <c r="T547" i="15" s="1"/>
  <c r="X518" i="15"/>
  <c r="X547" i="15" s="1"/>
  <c r="J518" i="15"/>
  <c r="J547" i="15" s="1"/>
  <c r="R518" i="15"/>
  <c r="R547" i="15" s="1"/>
  <c r="V518" i="15"/>
  <c r="V547" i="15" s="1"/>
  <c r="W518" i="15"/>
  <c r="W547" i="15" s="1"/>
  <c r="M518" i="15"/>
  <c r="M547" i="15" s="1"/>
  <c r="Z518" i="15"/>
  <c r="Z547" i="15" s="1"/>
  <c r="AB518" i="15"/>
  <c r="AB547" i="15" s="1"/>
  <c r="J197" i="15"/>
  <c r="M197" i="15"/>
  <c r="I197" i="15"/>
  <c r="U197" i="15"/>
  <c r="U228" i="15" s="1"/>
  <c r="W197" i="15"/>
  <c r="W228" i="15" s="1"/>
  <c r="Z197" i="15"/>
  <c r="Z228" i="15" s="1"/>
  <c r="T197" i="15"/>
  <c r="X197" i="15"/>
  <c r="X228" i="15" s="1"/>
  <c r="V197" i="15"/>
  <c r="V228" i="15" s="1"/>
  <c r="Y197" i="15"/>
  <c r="Y228" i="15" s="1"/>
  <c r="AB197" i="15"/>
  <c r="AB228" i="15" s="1"/>
  <c r="AA197" i="15"/>
  <c r="AA228" i="15" s="1"/>
  <c r="K197" i="15"/>
  <c r="R197" i="15"/>
  <c r="N197" i="15"/>
  <c r="L197" i="15"/>
  <c r="AN28" i="9"/>
  <c r="AN39" i="9" s="1"/>
  <c r="AL28" i="9"/>
  <c r="AL39" i="9" s="1"/>
  <c r="K116" i="9"/>
  <c r="Z204" i="9"/>
  <c r="Z215" i="9" s="1"/>
  <c r="Z221" i="9" s="1"/>
  <c r="J28" i="9"/>
  <c r="AI28" i="9"/>
  <c r="AI39" i="9" s="1"/>
  <c r="AE28" i="9"/>
  <c r="AE39" i="9" s="1"/>
  <c r="AE45" i="9" s="1"/>
  <c r="M116" i="9"/>
  <c r="L204" i="9"/>
  <c r="L215" i="9" s="1"/>
  <c r="L221" i="9" s="1"/>
  <c r="T28" i="9"/>
  <c r="Z28" i="9"/>
  <c r="AG28" i="9"/>
  <c r="AG39" i="9" s="1"/>
  <c r="AG45" i="9" s="1"/>
  <c r="Q116" i="9"/>
  <c r="AO204" i="9"/>
  <c r="L28" i="9"/>
  <c r="K28" i="9"/>
  <c r="N28" i="9"/>
  <c r="U28" i="9"/>
  <c r="AK28" i="9"/>
  <c r="AK39" i="9" s="1"/>
  <c r="AM28" i="9"/>
  <c r="AM39" i="9" s="1"/>
  <c r="AE204" i="9"/>
  <c r="X28" i="9"/>
  <c r="R28" i="9"/>
  <c r="AH28" i="9"/>
  <c r="AH39" i="9" s="1"/>
  <c r="AE116" i="9"/>
  <c r="AF204" i="9"/>
  <c r="V28" i="9"/>
  <c r="Y28" i="9"/>
  <c r="AF28" i="9"/>
  <c r="AF39" i="9" s="1"/>
  <c r="AF45" i="9" s="1"/>
  <c r="AD28" i="9"/>
  <c r="AD39" i="9" s="1"/>
  <c r="AD45" i="9" s="1"/>
  <c r="O116" i="9"/>
  <c r="AN204" i="9"/>
  <c r="AB28" i="9"/>
  <c r="I28" i="9"/>
  <c r="AJ28" i="9"/>
  <c r="AJ39" i="9" s="1"/>
  <c r="AO28" i="9"/>
  <c r="AO39" i="9" s="1"/>
  <c r="V116" i="9"/>
  <c r="AA204" i="9"/>
  <c r="AA215" i="9" s="1"/>
  <c r="AA221" i="9" s="1"/>
  <c r="S28" i="9"/>
  <c r="W28" i="9"/>
  <c r="M28" i="9"/>
  <c r="AA28" i="9"/>
  <c r="M201" i="16"/>
  <c r="M209" i="16" s="1"/>
  <c r="M197" i="16"/>
  <c r="M205" i="16" s="1"/>
  <c r="M203" i="16"/>
  <c r="M211" i="16" s="1"/>
  <c r="M200" i="16"/>
  <c r="M208" i="16" s="1"/>
  <c r="M199" i="16"/>
  <c r="M207" i="16" s="1"/>
  <c r="P116" i="9"/>
  <c r="AL116" i="9"/>
  <c r="AC116" i="9"/>
  <c r="L116" i="9"/>
  <c r="Q204" i="9"/>
  <c r="Q215" i="9" s="1"/>
  <c r="Q221" i="9" s="1"/>
  <c r="Y204" i="9"/>
  <c r="Y215" i="9" s="1"/>
  <c r="Y221" i="9" s="1"/>
  <c r="I204" i="9"/>
  <c r="I215" i="9" s="1"/>
  <c r="I221" i="9" s="1"/>
  <c r="AI204" i="9"/>
  <c r="I116" i="9"/>
  <c r="AM116" i="9"/>
  <c r="AD116" i="9"/>
  <c r="U116" i="9"/>
  <c r="P204" i="9"/>
  <c r="AB204" i="9"/>
  <c r="AH204" i="9"/>
  <c r="AL204" i="9"/>
  <c r="Y116" i="9"/>
  <c r="W116" i="9"/>
  <c r="N116" i="9"/>
  <c r="AI116" i="9"/>
  <c r="O204" i="9"/>
  <c r="O215" i="9" s="1"/>
  <c r="O221" i="9" s="1"/>
  <c r="S204" i="9"/>
  <c r="S215" i="9" s="1"/>
  <c r="S221" i="9" s="1"/>
  <c r="AC204" i="9"/>
  <c r="AJ204" i="9"/>
  <c r="AO116" i="9"/>
  <c r="AA116" i="9"/>
  <c r="Z116" i="9"/>
  <c r="AJ116" i="9"/>
  <c r="J204" i="9"/>
  <c r="J215" i="9" s="1"/>
  <c r="J221" i="9" s="1"/>
  <c r="W204" i="9"/>
  <c r="W215" i="9" s="1"/>
  <c r="W221" i="9" s="1"/>
  <c r="K204" i="9"/>
  <c r="K215" i="9" s="1"/>
  <c r="K221" i="9" s="1"/>
  <c r="AK204" i="9"/>
  <c r="AG204" i="9"/>
  <c r="S116" i="9"/>
  <c r="AH116" i="9"/>
  <c r="AF116" i="9"/>
  <c r="AB116" i="9"/>
  <c r="U204" i="9"/>
  <c r="U215" i="9" s="1"/>
  <c r="U221" i="9" s="1"/>
  <c r="R204" i="9"/>
  <c r="R215" i="9" s="1"/>
  <c r="R221" i="9" s="1"/>
  <c r="X204" i="9"/>
  <c r="X215" i="9" s="1"/>
  <c r="X221" i="9" s="1"/>
  <c r="AM204" i="9"/>
  <c r="J116" i="9"/>
  <c r="R116" i="9"/>
  <c r="AN116" i="9"/>
  <c r="AK116" i="9"/>
  <c r="T116" i="9"/>
  <c r="N204" i="9"/>
  <c r="N215" i="9" s="1"/>
  <c r="N221" i="9" s="1"/>
  <c r="M204" i="9"/>
  <c r="M215" i="9" s="1"/>
  <c r="M221" i="9" s="1"/>
  <c r="V204" i="9"/>
  <c r="V215" i="9" s="1"/>
  <c r="V221" i="9" s="1"/>
  <c r="AD204" i="9"/>
  <c r="R203" i="16"/>
  <c r="R211" i="16" s="1"/>
  <c r="R199" i="16"/>
  <c r="R207" i="16" s="1"/>
  <c r="R198" i="16"/>
  <c r="R206" i="16" s="1"/>
  <c r="R200" i="16"/>
  <c r="R208" i="16" s="1"/>
  <c r="R202" i="16"/>
  <c r="R210" i="16" s="1"/>
  <c r="R197" i="16"/>
  <c r="R205" i="16" s="1"/>
  <c r="Z225" i="14"/>
  <c r="P198" i="16"/>
  <c r="P206" i="16" s="1"/>
  <c r="P197" i="16"/>
  <c r="P205" i="16" s="1"/>
  <c r="P202" i="16"/>
  <c r="P210" i="16" s="1"/>
  <c r="P201" i="16"/>
  <c r="P209" i="16" s="1"/>
  <c r="P203" i="16"/>
  <c r="P211" i="16" s="1"/>
  <c r="P199" i="16"/>
  <c r="P207" i="16" s="1"/>
  <c r="K199" i="16"/>
  <c r="K207" i="16" s="1"/>
  <c r="U197" i="16"/>
  <c r="U205" i="16" s="1"/>
  <c r="U202" i="16"/>
  <c r="U210" i="16" s="1"/>
  <c r="K200" i="16"/>
  <c r="K208" i="16" s="1"/>
  <c r="K198" i="16"/>
  <c r="K206" i="16" s="1"/>
  <c r="K202" i="16"/>
  <c r="K210" i="16" s="1"/>
  <c r="K203" i="16"/>
  <c r="K211" i="16" s="1"/>
  <c r="K197" i="16"/>
  <c r="K205" i="16" s="1"/>
  <c r="K201" i="16"/>
  <c r="K209" i="16" s="1"/>
  <c r="J202" i="16"/>
  <c r="J210" i="16" s="1"/>
  <c r="J199" i="16"/>
  <c r="J207" i="16" s="1"/>
  <c r="J197" i="16"/>
  <c r="J205" i="16" s="1"/>
  <c r="U198" i="16"/>
  <c r="U206" i="16" s="1"/>
  <c r="J200" i="16"/>
  <c r="J208" i="16" s="1"/>
  <c r="J203" i="16"/>
  <c r="J211" i="16" s="1"/>
  <c r="O200" i="16"/>
  <c r="O208" i="16" s="1"/>
  <c r="J198" i="16"/>
  <c r="J206" i="16" s="1"/>
  <c r="U199" i="16"/>
  <c r="U207" i="16" s="1"/>
  <c r="U203" i="16"/>
  <c r="U211" i="16" s="1"/>
  <c r="O199" i="16"/>
  <c r="O207" i="16" s="1"/>
  <c r="J201" i="16"/>
  <c r="J209" i="16" s="1"/>
  <c r="U201" i="16"/>
  <c r="U209" i="16" s="1"/>
  <c r="Y203" i="16"/>
  <c r="Y211" i="16" s="1"/>
  <c r="Y202" i="16"/>
  <c r="Y210" i="16" s="1"/>
  <c r="Y201" i="16"/>
  <c r="Y209" i="16" s="1"/>
  <c r="AD102" i="16"/>
  <c r="AD110" i="16" s="1"/>
  <c r="Y198" i="16"/>
  <c r="Y206" i="16" s="1"/>
  <c r="Y200" i="16"/>
  <c r="Y208" i="16" s="1"/>
  <c r="Y197" i="16"/>
  <c r="Y205" i="16" s="1"/>
  <c r="O201" i="16"/>
  <c r="O209" i="16" s="1"/>
  <c r="O203" i="16"/>
  <c r="O211" i="16" s="1"/>
  <c r="O198" i="16"/>
  <c r="O206" i="16" s="1"/>
  <c r="Z200" i="16"/>
  <c r="Z208" i="16" s="1"/>
  <c r="O202" i="16"/>
  <c r="O210" i="16" s="1"/>
  <c r="AC106" i="16"/>
  <c r="AC114" i="16" s="1"/>
  <c r="O197" i="16"/>
  <c r="O205" i="16" s="1"/>
  <c r="AC103" i="16"/>
  <c r="AC111" i="16" s="1"/>
  <c r="AC100" i="16"/>
  <c r="AC108" i="16" s="1"/>
  <c r="AC104" i="16"/>
  <c r="AC112" i="16" s="1"/>
  <c r="AC101" i="16"/>
  <c r="AC109" i="16" s="1"/>
  <c r="AC105" i="16"/>
  <c r="AC113" i="16" s="1"/>
  <c r="AD106" i="16"/>
  <c r="AD114" i="16" s="1"/>
  <c r="Z202" i="16"/>
  <c r="Z210" i="16" s="1"/>
  <c r="V203" i="16"/>
  <c r="V211" i="16" s="1"/>
  <c r="V198" i="16"/>
  <c r="V206" i="16" s="1"/>
  <c r="V197" i="16"/>
  <c r="V205" i="16" s="1"/>
  <c r="V202" i="16"/>
  <c r="V210" i="16" s="1"/>
  <c r="V201" i="16"/>
  <c r="V209" i="16" s="1"/>
  <c r="V199" i="16"/>
  <c r="V207" i="16" s="1"/>
  <c r="V200" i="16"/>
  <c r="V208" i="16" s="1"/>
  <c r="AB202" i="16"/>
  <c r="AB210" i="16" s="1"/>
  <c r="AB203" i="16"/>
  <c r="AB211" i="16" s="1"/>
  <c r="AB199" i="16"/>
  <c r="AB207" i="16" s="1"/>
  <c r="AB198" i="16"/>
  <c r="AB206" i="16" s="1"/>
  <c r="AB200" i="16"/>
  <c r="AB208" i="16" s="1"/>
  <c r="AB201" i="16"/>
  <c r="AB209" i="16" s="1"/>
  <c r="AB197" i="16"/>
  <c r="AB205" i="16" s="1"/>
  <c r="W201" i="16"/>
  <c r="W209" i="16" s="1"/>
  <c r="W199" i="16"/>
  <c r="W207" i="16" s="1"/>
  <c r="W200" i="16"/>
  <c r="W208" i="16" s="1"/>
  <c r="W203" i="16"/>
  <c r="W211" i="16" s="1"/>
  <c r="W197" i="16"/>
  <c r="W205" i="16" s="1"/>
  <c r="W202" i="16"/>
  <c r="W210" i="16" s="1"/>
  <c r="W198" i="16"/>
  <c r="W206" i="16" s="1"/>
  <c r="Z198" i="16"/>
  <c r="Z206" i="16" s="1"/>
  <c r="Z201" i="16"/>
  <c r="Z209" i="16" s="1"/>
  <c r="AA200" i="16"/>
  <c r="AA208" i="16" s="1"/>
  <c r="AA203" i="16"/>
  <c r="AA211" i="16" s="1"/>
  <c r="AA199" i="16"/>
  <c r="AA207" i="16" s="1"/>
  <c r="AA201" i="16"/>
  <c r="AA209" i="16" s="1"/>
  <c r="AA202" i="16"/>
  <c r="AA210" i="16" s="1"/>
  <c r="AA198" i="16"/>
  <c r="AA206" i="16" s="1"/>
  <c r="AA197" i="16"/>
  <c r="AA205" i="16" s="1"/>
  <c r="Z199" i="16"/>
  <c r="Z207" i="16" s="1"/>
  <c r="Z203" i="16"/>
  <c r="Z211" i="16" s="1"/>
  <c r="AD103" i="16"/>
  <c r="AD111" i="16" s="1"/>
  <c r="AD100" i="16"/>
  <c r="AD108" i="16" s="1"/>
  <c r="AD104" i="16"/>
  <c r="AD112" i="16" s="1"/>
  <c r="AD101" i="16"/>
  <c r="AD109" i="16" s="1"/>
  <c r="AH104" i="16"/>
  <c r="AH112" i="16" s="1"/>
  <c r="AE103" i="16"/>
  <c r="AE111" i="16" s="1"/>
  <c r="AF105" i="16"/>
  <c r="AF113" i="16" s="1"/>
  <c r="AG100" i="16"/>
  <c r="AG108" i="16" s="1"/>
  <c r="Q103" i="16"/>
  <c r="Q111" i="16" s="1"/>
  <c r="AJ26" i="15"/>
  <c r="AJ27" i="15"/>
  <c r="AJ28" i="15"/>
  <c r="AH101" i="16"/>
  <c r="AH109" i="16" s="1"/>
  <c r="AH105" i="16"/>
  <c r="AH113" i="16" s="1"/>
  <c r="AH102" i="16"/>
  <c r="AH110" i="16" s="1"/>
  <c r="AH106" i="16"/>
  <c r="AH114" i="16" s="1"/>
  <c r="AH103" i="16"/>
  <c r="AH111" i="16" s="1"/>
  <c r="AH100" i="16"/>
  <c r="AH108" i="16" s="1"/>
  <c r="AE100" i="16"/>
  <c r="AE108" i="16" s="1"/>
  <c r="AE101" i="16"/>
  <c r="AE109" i="16" s="1"/>
  <c r="AE104" i="16"/>
  <c r="AE112" i="16" s="1"/>
  <c r="AE105" i="16"/>
  <c r="AE113" i="16" s="1"/>
  <c r="AE102" i="16"/>
  <c r="AE110" i="16" s="1"/>
  <c r="AE106" i="16"/>
  <c r="AE114" i="16" s="1"/>
  <c r="M56" i="16"/>
  <c r="L56" i="16"/>
  <c r="N56" i="16"/>
  <c r="O56" i="16"/>
  <c r="K102" i="16"/>
  <c r="K110" i="16" s="1"/>
  <c r="K105" i="16"/>
  <c r="K113" i="16" s="1"/>
  <c r="K106" i="16"/>
  <c r="K114" i="16" s="1"/>
  <c r="K104" i="16"/>
  <c r="K112" i="16" s="1"/>
  <c r="K100" i="16"/>
  <c r="K108" i="16" s="1"/>
  <c r="K103" i="16"/>
  <c r="K111" i="16" s="1"/>
  <c r="K101" i="16"/>
  <c r="K109" i="16" s="1"/>
  <c r="L100" i="16"/>
  <c r="L108" i="16" s="1"/>
  <c r="L106" i="16"/>
  <c r="L114" i="16" s="1"/>
  <c r="L102" i="16"/>
  <c r="L110" i="16" s="1"/>
  <c r="L103" i="16"/>
  <c r="L111" i="16" s="1"/>
  <c r="L105" i="16"/>
  <c r="L113" i="16" s="1"/>
  <c r="L104" i="16"/>
  <c r="L112" i="16" s="1"/>
  <c r="L101" i="16"/>
  <c r="L109" i="16" s="1"/>
  <c r="O103" i="16"/>
  <c r="O111" i="16" s="1"/>
  <c r="O106" i="16"/>
  <c r="O114" i="16" s="1"/>
  <c r="O104" i="16"/>
  <c r="O112" i="16" s="1"/>
  <c r="O102" i="16"/>
  <c r="O110" i="16" s="1"/>
  <c r="O105" i="16"/>
  <c r="O113" i="16" s="1"/>
  <c r="O100" i="16"/>
  <c r="O108" i="16" s="1"/>
  <c r="O101" i="16"/>
  <c r="O109" i="16" s="1"/>
  <c r="N100" i="16"/>
  <c r="N108" i="16" s="1"/>
  <c r="N103" i="16"/>
  <c r="N111" i="16" s="1"/>
  <c r="N105" i="16"/>
  <c r="N113" i="16" s="1"/>
  <c r="N106" i="16"/>
  <c r="N114" i="16" s="1"/>
  <c r="N102" i="16"/>
  <c r="N110" i="16" s="1"/>
  <c r="N104" i="16"/>
  <c r="N112" i="16" s="1"/>
  <c r="N101" i="16"/>
  <c r="N109" i="16" s="1"/>
  <c r="P56" i="16"/>
  <c r="M100" i="16"/>
  <c r="M108" i="16" s="1"/>
  <c r="M103" i="16"/>
  <c r="M111" i="16" s="1"/>
  <c r="M106" i="16"/>
  <c r="M114" i="16" s="1"/>
  <c r="M102" i="16"/>
  <c r="M110" i="16" s="1"/>
  <c r="M105" i="16"/>
  <c r="M113" i="16" s="1"/>
  <c r="M104" i="16"/>
  <c r="M112" i="16" s="1"/>
  <c r="M101" i="16"/>
  <c r="M109" i="16" s="1"/>
  <c r="P104" i="16"/>
  <c r="P112" i="16" s="1"/>
  <c r="P102" i="16"/>
  <c r="P110" i="16" s="1"/>
  <c r="P100" i="16"/>
  <c r="P108" i="16" s="1"/>
  <c r="P103" i="16"/>
  <c r="P111" i="16" s="1"/>
  <c r="P106" i="16"/>
  <c r="P114" i="16" s="1"/>
  <c r="P105" i="16"/>
  <c r="P113" i="16" s="1"/>
  <c r="P101" i="16"/>
  <c r="P109" i="16" s="1"/>
  <c r="K56" i="16"/>
  <c r="AE56" i="16"/>
  <c r="AA76" i="16"/>
  <c r="AM56" i="16"/>
  <c r="AN106" i="16"/>
  <c r="AN114" i="16" s="1"/>
  <c r="AN102" i="16"/>
  <c r="AN110" i="16" s="1"/>
  <c r="AN104" i="16"/>
  <c r="AN112" i="16" s="1"/>
  <c r="AN100" i="16"/>
  <c r="AN108" i="16" s="1"/>
  <c r="AN105" i="16"/>
  <c r="AN113" i="16" s="1"/>
  <c r="AN103" i="16"/>
  <c r="AN111" i="16" s="1"/>
  <c r="AN101" i="16"/>
  <c r="AN109" i="16" s="1"/>
  <c r="AL104" i="16"/>
  <c r="AL112" i="16" s="1"/>
  <c r="AL102" i="16"/>
  <c r="AL110" i="16" s="1"/>
  <c r="AL105" i="16"/>
  <c r="AL113" i="16" s="1"/>
  <c r="AL100" i="16"/>
  <c r="AL108" i="16" s="1"/>
  <c r="AL103" i="16"/>
  <c r="AL111" i="16" s="1"/>
  <c r="AL106" i="16"/>
  <c r="AL114" i="16" s="1"/>
  <c r="AL101" i="16"/>
  <c r="AL109" i="16" s="1"/>
  <c r="AJ106" i="16"/>
  <c r="AJ114" i="16" s="1"/>
  <c r="AJ103" i="16"/>
  <c r="AJ111" i="16" s="1"/>
  <c r="AJ104" i="16"/>
  <c r="AJ112" i="16" s="1"/>
  <c r="AJ100" i="16"/>
  <c r="AJ108" i="16" s="1"/>
  <c r="AJ105" i="16"/>
  <c r="AJ113" i="16" s="1"/>
  <c r="AJ102" i="16"/>
  <c r="AJ110" i="16" s="1"/>
  <c r="AJ101" i="16"/>
  <c r="AJ109" i="16" s="1"/>
  <c r="AN56" i="16"/>
  <c r="AL56" i="16"/>
  <c r="AJ56" i="16"/>
  <c r="AM102" i="16"/>
  <c r="AM110" i="16" s="1"/>
  <c r="AM103" i="16"/>
  <c r="AM111" i="16" s="1"/>
  <c r="AM104" i="16"/>
  <c r="AM112" i="16" s="1"/>
  <c r="AM106" i="16"/>
  <c r="AM114" i="16" s="1"/>
  <c r="AM100" i="16"/>
  <c r="AM108" i="16" s="1"/>
  <c r="AM105" i="16"/>
  <c r="AM113" i="16" s="1"/>
  <c r="AM101" i="16"/>
  <c r="AM109" i="16" s="1"/>
  <c r="AK105" i="16"/>
  <c r="AK113" i="16" s="1"/>
  <c r="AK103" i="16"/>
  <c r="AK111" i="16" s="1"/>
  <c r="AK104" i="16"/>
  <c r="AK112" i="16" s="1"/>
  <c r="AK100" i="16"/>
  <c r="AK108" i="16" s="1"/>
  <c r="AK102" i="16"/>
  <c r="AK110" i="16" s="1"/>
  <c r="AK106" i="16"/>
  <c r="AK114" i="16" s="1"/>
  <c r="AK101" i="16"/>
  <c r="AK109" i="16" s="1"/>
  <c r="Q102" i="16"/>
  <c r="Q110" i="16" s="1"/>
  <c r="AC56" i="16"/>
  <c r="AK56" i="16"/>
  <c r="AI102" i="16"/>
  <c r="AI110" i="16" s="1"/>
  <c r="AI105" i="16"/>
  <c r="AI113" i="16" s="1"/>
  <c r="AI104" i="16"/>
  <c r="AI112" i="16" s="1"/>
  <c r="AI100" i="16"/>
  <c r="AI108" i="16" s="1"/>
  <c r="AI103" i="16"/>
  <c r="AI111" i="16" s="1"/>
  <c r="AI106" i="16"/>
  <c r="AI114" i="16" s="1"/>
  <c r="AI101" i="16"/>
  <c r="AI109" i="16" s="1"/>
  <c r="AI56" i="16"/>
  <c r="AF102" i="16"/>
  <c r="AF110" i="16" s="1"/>
  <c r="AF106" i="16"/>
  <c r="AF114" i="16" s="1"/>
  <c r="AF103" i="16"/>
  <c r="AF111" i="16" s="1"/>
  <c r="AF100" i="16"/>
  <c r="AF108" i="16" s="1"/>
  <c r="AF104" i="16"/>
  <c r="AF112" i="16" s="1"/>
  <c r="AF101" i="16"/>
  <c r="AF109" i="16" s="1"/>
  <c r="Q101" i="16"/>
  <c r="Q109" i="16" s="1"/>
  <c r="Q104" i="16"/>
  <c r="Q112" i="16" s="1"/>
  <c r="Q105" i="16"/>
  <c r="Q113" i="16" s="1"/>
  <c r="Q100" i="16"/>
  <c r="Q108" i="16" s="1"/>
  <c r="Q106" i="16"/>
  <c r="Q114" i="16" s="1"/>
  <c r="Q56" i="16"/>
  <c r="AG104" i="16"/>
  <c r="AG112" i="16" s="1"/>
  <c r="AG105" i="16"/>
  <c r="AG113" i="16" s="1"/>
  <c r="AG101" i="16"/>
  <c r="AG109" i="16" s="1"/>
  <c r="AG102" i="16"/>
  <c r="AG110" i="16" s="1"/>
  <c r="AG106" i="16"/>
  <c r="AG114" i="16" s="1"/>
  <c r="AG103" i="16"/>
  <c r="AG111" i="16" s="1"/>
  <c r="S56" i="16"/>
  <c r="U56" i="16"/>
  <c r="R56" i="16"/>
  <c r="V56" i="16"/>
  <c r="S106" i="16"/>
  <c r="S114" i="16" s="1"/>
  <c r="S105" i="16"/>
  <c r="S113" i="16" s="1"/>
  <c r="S102" i="16"/>
  <c r="S110" i="16" s="1"/>
  <c r="S104" i="16"/>
  <c r="S112" i="16" s="1"/>
  <c r="S100" i="16"/>
  <c r="S108" i="16" s="1"/>
  <c r="S103" i="16"/>
  <c r="S111" i="16" s="1"/>
  <c r="S101" i="16"/>
  <c r="S109" i="16" s="1"/>
  <c r="T56" i="16"/>
  <c r="R103" i="16"/>
  <c r="R111" i="16" s="1"/>
  <c r="R105" i="16"/>
  <c r="R113" i="16" s="1"/>
  <c r="R106" i="16"/>
  <c r="R114" i="16" s="1"/>
  <c r="R102" i="16"/>
  <c r="R110" i="16" s="1"/>
  <c r="R104" i="16"/>
  <c r="R112" i="16" s="1"/>
  <c r="R100" i="16"/>
  <c r="R108" i="16" s="1"/>
  <c r="R101" i="16"/>
  <c r="R109" i="16" s="1"/>
  <c r="T106" i="16"/>
  <c r="T114" i="16" s="1"/>
  <c r="T102" i="16"/>
  <c r="T110" i="16" s="1"/>
  <c r="T104" i="16"/>
  <c r="T112" i="16" s="1"/>
  <c r="T105" i="16"/>
  <c r="T113" i="16" s="1"/>
  <c r="T100" i="16"/>
  <c r="T108" i="16" s="1"/>
  <c r="T103" i="16"/>
  <c r="T111" i="16" s="1"/>
  <c r="T101" i="16"/>
  <c r="T109" i="16" s="1"/>
  <c r="U103" i="16"/>
  <c r="U111" i="16" s="1"/>
  <c r="U106" i="16"/>
  <c r="U114" i="16" s="1"/>
  <c r="U102" i="16"/>
  <c r="U110" i="16" s="1"/>
  <c r="U104" i="16"/>
  <c r="U112" i="16" s="1"/>
  <c r="U100" i="16"/>
  <c r="U108" i="16" s="1"/>
  <c r="U105" i="16"/>
  <c r="U113" i="16" s="1"/>
  <c r="U101" i="16"/>
  <c r="U109" i="16" s="1"/>
  <c r="V100" i="16"/>
  <c r="V108" i="16" s="1"/>
  <c r="V102" i="16"/>
  <c r="V110" i="16" s="1"/>
  <c r="V104" i="16"/>
  <c r="V112" i="16" s="1"/>
  <c r="V103" i="16"/>
  <c r="V111" i="16" s="1"/>
  <c r="V106" i="16"/>
  <c r="V114" i="16" s="1"/>
  <c r="V105" i="16"/>
  <c r="V113" i="16" s="1"/>
  <c r="V101" i="16"/>
  <c r="V109" i="16" s="1"/>
  <c r="AD56" i="16"/>
  <c r="AG56" i="16"/>
  <c r="AF56" i="16"/>
  <c r="AH56" i="16"/>
  <c r="U69" i="15"/>
  <c r="U80" i="15"/>
  <c r="S69" i="15"/>
  <c r="S80" i="15"/>
  <c r="V69" i="15"/>
  <c r="V80" i="15"/>
  <c r="X56" i="16"/>
  <c r="Y56" i="16"/>
  <c r="Z56" i="16"/>
  <c r="W56" i="16"/>
  <c r="AB56" i="16"/>
  <c r="AA56" i="16"/>
  <c r="T212" i="16"/>
  <c r="V77" i="15"/>
  <c r="U126" i="15"/>
  <c r="U70" i="15"/>
  <c r="K76" i="16"/>
  <c r="S212" i="16"/>
  <c r="V126" i="15"/>
  <c r="V70" i="15"/>
  <c r="S126" i="15"/>
  <c r="S70" i="15"/>
  <c r="U77" i="15"/>
  <c r="W104" i="16"/>
  <c r="W112" i="16" s="1"/>
  <c r="W100" i="16"/>
  <c r="W108" i="16" s="1"/>
  <c r="W103" i="16"/>
  <c r="W111" i="16" s="1"/>
  <c r="W106" i="16"/>
  <c r="W114" i="16" s="1"/>
  <c r="W102" i="16"/>
  <c r="W110" i="16" s="1"/>
  <c r="W105" i="16"/>
  <c r="W113" i="16" s="1"/>
  <c r="W101" i="16"/>
  <c r="W109" i="16" s="1"/>
  <c r="X104" i="16"/>
  <c r="X112" i="16" s="1"/>
  <c r="X100" i="16"/>
  <c r="X108" i="16" s="1"/>
  <c r="X103" i="16"/>
  <c r="X111" i="16" s="1"/>
  <c r="X106" i="16"/>
  <c r="X114" i="16" s="1"/>
  <c r="X102" i="16"/>
  <c r="X110" i="16" s="1"/>
  <c r="X105" i="16"/>
  <c r="X113" i="16" s="1"/>
  <c r="X101" i="16"/>
  <c r="X109" i="16" s="1"/>
  <c r="Y103" i="16"/>
  <c r="Y111" i="16" s="1"/>
  <c r="Y106" i="16"/>
  <c r="Y114" i="16" s="1"/>
  <c r="Y102" i="16"/>
  <c r="Y110" i="16" s="1"/>
  <c r="Y105" i="16"/>
  <c r="Y113" i="16" s="1"/>
  <c r="Y101" i="16"/>
  <c r="Y109" i="16" s="1"/>
  <c r="Y104" i="16"/>
  <c r="Y112" i="16" s="1"/>
  <c r="Y100" i="16"/>
  <c r="Y108" i="16" s="1"/>
  <c r="Z103" i="16"/>
  <c r="Z111" i="16" s="1"/>
  <c r="Z106" i="16"/>
  <c r="Z114" i="16" s="1"/>
  <c r="Z102" i="16"/>
  <c r="Z110" i="16" s="1"/>
  <c r="Z105" i="16"/>
  <c r="Z113" i="16" s="1"/>
  <c r="Z101" i="16"/>
  <c r="Z109" i="16" s="1"/>
  <c r="Z104" i="16"/>
  <c r="Z112" i="16" s="1"/>
  <c r="Z100" i="16"/>
  <c r="Z108" i="16" s="1"/>
  <c r="AB106" i="16"/>
  <c r="AB114" i="16" s="1"/>
  <c r="AB102" i="16"/>
  <c r="AB110" i="16" s="1"/>
  <c r="AB105" i="16"/>
  <c r="AB113" i="16" s="1"/>
  <c r="AB101" i="16"/>
  <c r="AB109" i="16" s="1"/>
  <c r="AB104" i="16"/>
  <c r="AB112" i="16" s="1"/>
  <c r="AB100" i="16"/>
  <c r="AB108" i="16" s="1"/>
  <c r="AB103" i="16"/>
  <c r="AB111" i="16" s="1"/>
  <c r="AA106" i="16"/>
  <c r="AA114" i="16" s="1"/>
  <c r="AA102" i="16"/>
  <c r="AA110" i="16" s="1"/>
  <c r="AA105" i="16"/>
  <c r="AA113" i="16" s="1"/>
  <c r="AA101" i="16"/>
  <c r="AA109" i="16" s="1"/>
  <c r="AA104" i="16"/>
  <c r="AA112" i="16" s="1"/>
  <c r="AA100" i="16"/>
  <c r="AA108" i="16" s="1"/>
  <c r="AA103" i="16"/>
  <c r="AA111" i="16" s="1"/>
  <c r="V82" i="15"/>
  <c r="V71" i="15"/>
  <c r="U71" i="15"/>
  <c r="S71" i="15"/>
  <c r="S82" i="15"/>
  <c r="S77" i="15"/>
  <c r="O102" i="15"/>
  <c r="AJ81" i="16" l="1"/>
  <c r="J215" i="8"/>
  <c r="I182" i="16"/>
  <c r="AN63" i="14"/>
  <c r="AN68" i="14" s="1"/>
  <c r="AL107" i="15"/>
  <c r="AM45" i="8"/>
  <c r="AM53" i="8" s="1"/>
  <c r="AM54" i="8" s="1"/>
  <c r="U865" i="15"/>
  <c r="R865" i="15"/>
  <c r="P865" i="15"/>
  <c r="AH81" i="16"/>
  <c r="I228" i="15"/>
  <c r="AJ107" i="15"/>
  <c r="AI107" i="15"/>
  <c r="V213" i="14"/>
  <c r="AL81" i="16"/>
  <c r="U63" i="14"/>
  <c r="AO107" i="15"/>
  <c r="O865" i="15"/>
  <c r="AK107" i="15"/>
  <c r="AM107" i="15"/>
  <c r="AN107" i="15"/>
  <c r="AN81" i="16"/>
  <c r="AM81" i="16"/>
  <c r="J84" i="16"/>
  <c r="AO84" i="16"/>
  <c r="AO85" i="16" s="1"/>
  <c r="AO81" i="16"/>
  <c r="AI81" i="16"/>
  <c r="AK81" i="16"/>
  <c r="K182" i="16"/>
  <c r="I84" i="16"/>
  <c r="K865" i="15"/>
  <c r="AH84" i="16"/>
  <c r="AH85" i="16" s="1"/>
  <c r="V84" i="16"/>
  <c r="AE84" i="16"/>
  <c r="AM84" i="16"/>
  <c r="AM85" i="16" s="1"/>
  <c r="M865" i="15"/>
  <c r="N865" i="15"/>
  <c r="I865" i="15"/>
  <c r="Q865" i="15"/>
  <c r="AN226" i="8"/>
  <c r="AN234" i="8" s="1"/>
  <c r="AN235" i="8" s="1"/>
  <c r="AL226" i="8"/>
  <c r="AL234" i="8" s="1"/>
  <c r="AL235" i="8" s="1"/>
  <c r="AA63" i="14"/>
  <c r="AI350" i="14"/>
  <c r="AI355" i="14" s="1"/>
  <c r="AL350" i="14"/>
  <c r="AL355" i="14" s="1"/>
  <c r="S350" i="14"/>
  <c r="S358" i="14" s="1"/>
  <c r="AG71" i="14"/>
  <c r="W350" i="14"/>
  <c r="W358" i="14" s="1"/>
  <c r="AO350" i="14"/>
  <c r="AO355" i="14" s="1"/>
  <c r="Y84" i="16"/>
  <c r="U213" i="14"/>
  <c r="M350" i="14"/>
  <c r="R350" i="14"/>
  <c r="AJ84" i="16"/>
  <c r="AJ85" i="16" s="1"/>
  <c r="T213" i="14"/>
  <c r="AF84" i="16"/>
  <c r="AG84" i="16"/>
  <c r="U84" i="16"/>
  <c r="Q84" i="16"/>
  <c r="M84" i="16"/>
  <c r="AC63" i="14"/>
  <c r="AK45" i="8"/>
  <c r="AK53" i="8" s="1"/>
  <c r="AK54" i="8" s="1"/>
  <c r="Y865" i="15"/>
  <c r="AM350" i="14"/>
  <c r="AM355" i="14" s="1"/>
  <c r="AB350" i="14"/>
  <c r="AE350" i="14"/>
  <c r="AK226" i="8"/>
  <c r="AK234" i="8" s="1"/>
  <c r="AK235" i="8" s="1"/>
  <c r="AM226" i="8"/>
  <c r="AM234" i="8" s="1"/>
  <c r="AM235" i="8" s="1"/>
  <c r="AA865" i="15"/>
  <c r="S865" i="15"/>
  <c r="AI84" i="16"/>
  <c r="AI85" i="16" s="1"/>
  <c r="W213" i="14"/>
  <c r="R213" i="14"/>
  <c r="O84" i="16"/>
  <c r="AA84" i="16"/>
  <c r="AC84" i="16"/>
  <c r="R84" i="16"/>
  <c r="L84" i="16"/>
  <c r="W84" i="16"/>
  <c r="X84" i="16"/>
  <c r="AL84" i="16"/>
  <c r="AL85" i="16" s="1"/>
  <c r="AN84" i="16"/>
  <c r="AN85" i="16" s="1"/>
  <c r="S84" i="16"/>
  <c r="K84" i="16"/>
  <c r="AB84" i="16"/>
  <c r="Z84" i="16"/>
  <c r="T84" i="16"/>
  <c r="P84" i="16"/>
  <c r="AD84" i="16"/>
  <c r="N84" i="16"/>
  <c r="AK84" i="16"/>
  <c r="AK85" i="16" s="1"/>
  <c r="AL45" i="8"/>
  <c r="AL53" i="8" s="1"/>
  <c r="AL54" i="8" s="1"/>
  <c r="AN213" i="14"/>
  <c r="AN214" i="14" s="1"/>
  <c r="AH213" i="14"/>
  <c r="AH214" i="14" s="1"/>
  <c r="AJ213" i="14"/>
  <c r="AJ214" i="14" s="1"/>
  <c r="AK213" i="14"/>
  <c r="AK214" i="14" s="1"/>
  <c r="AL213" i="14"/>
  <c r="AL214" i="14" s="1"/>
  <c r="AO213" i="14"/>
  <c r="AO214" i="14" s="1"/>
  <c r="AM213" i="14"/>
  <c r="AM214" i="14" s="1"/>
  <c r="S213" i="14"/>
  <c r="AI213" i="14"/>
  <c r="AI214" i="14" s="1"/>
  <c r="AJ63" i="14"/>
  <c r="AJ68" i="14" s="1"/>
  <c r="AD63" i="14"/>
  <c r="AM63" i="14"/>
  <c r="AM68" i="14" s="1"/>
  <c r="S63" i="14"/>
  <c r="AK63" i="14"/>
  <c r="AK68" i="14" s="1"/>
  <c r="W63" i="14"/>
  <c r="N350" i="14"/>
  <c r="Q63" i="14"/>
  <c r="K63" i="14"/>
  <c r="I350" i="14"/>
  <c r="L63" i="14"/>
  <c r="AI63" i="14"/>
  <c r="AI68" i="14" s="1"/>
  <c r="Y63" i="14"/>
  <c r="M63" i="14"/>
  <c r="T865" i="15"/>
  <c r="P350" i="14"/>
  <c r="X350" i="14"/>
  <c r="AH63" i="14"/>
  <c r="AH68" i="14" s="1"/>
  <c r="N63" i="14"/>
  <c r="AA350" i="14"/>
  <c r="X865" i="15"/>
  <c r="J350" i="14"/>
  <c r="AB63" i="14"/>
  <c r="AJ350" i="14"/>
  <c r="AJ355" i="14" s="1"/>
  <c r="AF63" i="14"/>
  <c r="AL63" i="14"/>
  <c r="AL68" i="14" s="1"/>
  <c r="AO45" i="8"/>
  <c r="AO53" i="8" s="1"/>
  <c r="AO54" i="8" s="1"/>
  <c r="T63" i="14"/>
  <c r="R63" i="14"/>
  <c r="I125" i="8"/>
  <c r="AB34" i="8"/>
  <c r="Y215" i="8"/>
  <c r="I215" i="8"/>
  <c r="AI215" i="8"/>
  <c r="AE34" i="8"/>
  <c r="AJ215" i="8"/>
  <c r="S34" i="8"/>
  <c r="AC34" i="8"/>
  <c r="N34" i="8"/>
  <c r="AC350" i="14"/>
  <c r="AO226" i="8"/>
  <c r="AO234" i="8" s="1"/>
  <c r="AO235" i="8" s="1"/>
  <c r="U350" i="14"/>
  <c r="Z865" i="15"/>
  <c r="Q350" i="14"/>
  <c r="V350" i="14"/>
  <c r="O63" i="14"/>
  <c r="AD350" i="14"/>
  <c r="AB865" i="15"/>
  <c r="W865" i="15"/>
  <c r="L350" i="14"/>
  <c r="X63" i="14"/>
  <c r="AN45" i="8"/>
  <c r="AN53" i="8" s="1"/>
  <c r="AN54" i="8" s="1"/>
  <c r="Y350" i="14"/>
  <c r="Z350" i="14"/>
  <c r="AK350" i="14"/>
  <c r="AK355" i="14" s="1"/>
  <c r="AG350" i="14"/>
  <c r="AN350" i="14"/>
  <c r="AN355" i="14" s="1"/>
  <c r="AO63" i="14"/>
  <c r="AO68" i="14" s="1"/>
  <c r="K350" i="14"/>
  <c r="V63" i="14"/>
  <c r="AH350" i="14"/>
  <c r="AH355" i="14" s="1"/>
  <c r="J63" i="14"/>
  <c r="AF350" i="14"/>
  <c r="T350" i="14"/>
  <c r="Z63" i="14"/>
  <c r="P63" i="14"/>
  <c r="O350" i="14"/>
  <c r="AE63" i="14"/>
  <c r="P28" i="9"/>
  <c r="AC28" i="9"/>
  <c r="AC39" i="9" s="1"/>
  <c r="AC45" i="9" s="1"/>
  <c r="T204" i="9"/>
  <c r="T215" i="9" s="1"/>
  <c r="T221" i="9" s="1"/>
  <c r="Q28" i="9"/>
  <c r="O28" i="9"/>
  <c r="AH45" i="9"/>
  <c r="AH46" i="9" s="1"/>
  <c r="AO45" i="9"/>
  <c r="AO46" i="9" s="1"/>
  <c r="AM45" i="9"/>
  <c r="AM46" i="9" s="1"/>
  <c r="AI45" i="9"/>
  <c r="AI46" i="9" s="1"/>
  <c r="AK45" i="9"/>
  <c r="AK46" i="9" s="1"/>
  <c r="AJ45" i="9"/>
  <c r="AJ46" i="9" s="1"/>
  <c r="AL45" i="9"/>
  <c r="AL46" i="9" s="1"/>
  <c r="AN45" i="9"/>
  <c r="AN46" i="9" s="1"/>
  <c r="AB215" i="9"/>
  <c r="AB221" i="9" s="1"/>
  <c r="P215" i="9"/>
  <c r="P221" i="9" s="1"/>
  <c r="R182" i="16"/>
  <c r="T228" i="15"/>
  <c r="E60" i="15"/>
  <c r="E59" i="15"/>
  <c r="D60" i="15"/>
  <c r="D59" i="15"/>
  <c r="T59" i="15" s="1"/>
  <c r="U83" i="15"/>
  <c r="S83" i="15"/>
  <c r="V83" i="15"/>
  <c r="L212" i="16"/>
  <c r="X212" i="16"/>
  <c r="Q212" i="16"/>
  <c r="L182" i="16"/>
  <c r="P182" i="16"/>
  <c r="N212" i="16"/>
  <c r="AA182" i="16"/>
  <c r="O182" i="16"/>
  <c r="X182" i="16"/>
  <c r="I212" i="16"/>
  <c r="M182" i="16"/>
  <c r="V182" i="16"/>
  <c r="Q182" i="16"/>
  <c r="Y182" i="16"/>
  <c r="N182" i="16"/>
  <c r="U182" i="16"/>
  <c r="AB182" i="16"/>
  <c r="Z182" i="16"/>
  <c r="W182" i="16"/>
  <c r="J182" i="16"/>
  <c r="M212" i="16"/>
  <c r="R212" i="16"/>
  <c r="P212" i="16"/>
  <c r="K212" i="16"/>
  <c r="J212" i="16"/>
  <c r="U212" i="16"/>
  <c r="Y212" i="16"/>
  <c r="O212" i="16"/>
  <c r="AC115" i="16"/>
  <c r="G252" i="16"/>
  <c r="W212" i="16"/>
  <c r="Z212" i="16"/>
  <c r="AA212" i="16"/>
  <c r="V212" i="16"/>
  <c r="AB212" i="16"/>
  <c r="AD115" i="16"/>
  <c r="AK27" i="15"/>
  <c r="AK26" i="15"/>
  <c r="AK28" i="15"/>
  <c r="AH115" i="16"/>
  <c r="AH116" i="16" s="1"/>
  <c r="AE115" i="16"/>
  <c r="L115" i="16"/>
  <c r="O115" i="16"/>
  <c r="N115" i="16"/>
  <c r="M115" i="16"/>
  <c r="P115" i="16"/>
  <c r="K115" i="16"/>
  <c r="AF115" i="16"/>
  <c r="AI115" i="16"/>
  <c r="AI116" i="16" s="1"/>
  <c r="AM115" i="16"/>
  <c r="AM116" i="16" s="1"/>
  <c r="AN115" i="16"/>
  <c r="AN116" i="16" s="1"/>
  <c r="AK115" i="16"/>
  <c r="AK116" i="16" s="1"/>
  <c r="AL115" i="16"/>
  <c r="AL116" i="16" s="1"/>
  <c r="AJ115" i="16"/>
  <c r="AJ116" i="16" s="1"/>
  <c r="Q115" i="16"/>
  <c r="AG115" i="16"/>
  <c r="R115" i="16"/>
  <c r="S115" i="16"/>
  <c r="T115" i="16"/>
  <c r="V115" i="16"/>
  <c r="U115" i="16"/>
  <c r="AB115" i="16"/>
  <c r="AA115" i="16"/>
  <c r="Z115" i="16"/>
  <c r="X115" i="16"/>
  <c r="W115" i="16"/>
  <c r="Y115" i="16"/>
  <c r="J228" i="15"/>
  <c r="AB71" i="5"/>
  <c r="AC71" i="5"/>
  <c r="AD71" i="5"/>
  <c r="AE71" i="5"/>
  <c r="AF71" i="5"/>
  <c r="AG71" i="5"/>
  <c r="AH71" i="5"/>
  <c r="AI71" i="5"/>
  <c r="AN71" i="14" l="1"/>
  <c r="AN72" i="14" s="1"/>
  <c r="AI358" i="14"/>
  <c r="AI359" i="14" s="1"/>
  <c r="AL358" i="14"/>
  <c r="AL359" i="14" s="1"/>
  <c r="AG358" i="14"/>
  <c r="AF358" i="14"/>
  <c r="AF71" i="14"/>
  <c r="X358" i="14"/>
  <c r="AO358" i="14"/>
  <c r="AO359" i="14" s="1"/>
  <c r="I358" i="14"/>
  <c r="Z358" i="14"/>
  <c r="AD358" i="14"/>
  <c r="AC358" i="14"/>
  <c r="P358" i="14"/>
  <c r="AD71" i="14"/>
  <c r="U358" i="14"/>
  <c r="Y358" i="14"/>
  <c r="AC71" i="14"/>
  <c r="R358" i="14"/>
  <c r="AE71" i="14"/>
  <c r="V358" i="14"/>
  <c r="J358" i="14"/>
  <c r="N358" i="14"/>
  <c r="M358" i="14"/>
  <c r="T358" i="14"/>
  <c r="O358" i="14"/>
  <c r="K358" i="14"/>
  <c r="Q358" i="14"/>
  <c r="AE358" i="14"/>
  <c r="L358" i="14"/>
  <c r="AA358" i="14"/>
  <c r="AB358" i="14"/>
  <c r="AN358" i="14"/>
  <c r="AN359" i="14" s="1"/>
  <c r="AK358" i="14"/>
  <c r="AK359" i="14" s="1"/>
  <c r="AJ358" i="14"/>
  <c r="AJ359" i="14" s="1"/>
  <c r="AH358" i="14"/>
  <c r="AH359" i="14" s="1"/>
  <c r="AM358" i="14"/>
  <c r="AM359" i="14" s="1"/>
  <c r="AK71" i="14"/>
  <c r="AK72" i="14" s="1"/>
  <c r="AL71" i="14"/>
  <c r="AL72" i="14" s="1"/>
  <c r="AH71" i="14"/>
  <c r="AH72" i="14" s="1"/>
  <c r="AM71" i="14"/>
  <c r="AM72" i="14" s="1"/>
  <c r="AO71" i="14"/>
  <c r="AO72" i="14" s="1"/>
  <c r="AI71" i="14"/>
  <c r="AI72" i="14" s="1"/>
  <c r="AJ71" i="14"/>
  <c r="AJ72" i="14" s="1"/>
  <c r="I60" i="15"/>
  <c r="G253" i="16"/>
  <c r="M60" i="15"/>
  <c r="AC60" i="15"/>
  <c r="J60" i="15"/>
  <c r="Z60" i="15"/>
  <c r="W60" i="15"/>
  <c r="AM60" i="15"/>
  <c r="T60" i="15"/>
  <c r="AJ60" i="15"/>
  <c r="V60" i="15"/>
  <c r="AF60" i="15"/>
  <c r="AN60" i="15"/>
  <c r="Q60" i="15"/>
  <c r="AG60" i="15"/>
  <c r="N60" i="15"/>
  <c r="AD60" i="15"/>
  <c r="K60" i="15"/>
  <c r="AA60" i="15"/>
  <c r="X60" i="15"/>
  <c r="AO60" i="15"/>
  <c r="AL60" i="15"/>
  <c r="S60" i="15"/>
  <c r="U60" i="15"/>
  <c r="AK60" i="15"/>
  <c r="R60" i="15"/>
  <c r="AH60" i="15"/>
  <c r="O60" i="15"/>
  <c r="AE60" i="15"/>
  <c r="L60" i="15"/>
  <c r="AB60" i="15"/>
  <c r="Y60" i="15"/>
  <c r="AI60" i="15"/>
  <c r="P60" i="15"/>
  <c r="AN59" i="15"/>
  <c r="AC59" i="15"/>
  <c r="J59" i="15"/>
  <c r="Z59" i="15"/>
  <c r="U59" i="15"/>
  <c r="W59" i="15"/>
  <c r="AM59" i="15"/>
  <c r="P59" i="15"/>
  <c r="AF59" i="15"/>
  <c r="AO59" i="15"/>
  <c r="V59" i="15"/>
  <c r="AI59" i="15"/>
  <c r="L59" i="15"/>
  <c r="AG59" i="15"/>
  <c r="N59" i="15"/>
  <c r="AD59" i="15"/>
  <c r="K59" i="15"/>
  <c r="AA59" i="15"/>
  <c r="M59" i="15"/>
  <c r="AJ59" i="15"/>
  <c r="Y59" i="15"/>
  <c r="AB59" i="15"/>
  <c r="Q59" i="15"/>
  <c r="AK59" i="15"/>
  <c r="R59" i="15"/>
  <c r="AH59" i="15"/>
  <c r="O59" i="15"/>
  <c r="AE59" i="15"/>
  <c r="I59" i="15"/>
  <c r="X59" i="15"/>
  <c r="AL59" i="15"/>
  <c r="S59" i="15"/>
  <c r="AD222" i="8"/>
  <c r="AC222" i="8"/>
  <c r="AI222" i="8"/>
  <c r="AH222" i="8"/>
  <c r="AG222" i="8"/>
  <c r="AF222" i="8"/>
  <c r="AE222" i="8"/>
  <c r="AJ222" i="8"/>
  <c r="AE41" i="8"/>
  <c r="AE223" i="8"/>
  <c r="AE42" i="8"/>
  <c r="AD41" i="8"/>
  <c r="AD42" i="8"/>
  <c r="AD223" i="8"/>
  <c r="AF41" i="8"/>
  <c r="AF223" i="8"/>
  <c r="AF42" i="8"/>
  <c r="AC41" i="8"/>
  <c r="AC223" i="8"/>
  <c r="AC42" i="8"/>
  <c r="AJ41" i="8"/>
  <c r="AJ223" i="8"/>
  <c r="AJ42" i="8"/>
  <c r="AG41" i="8"/>
  <c r="AG42" i="8"/>
  <c r="AG223" i="8"/>
  <c r="AI41" i="8"/>
  <c r="AI223" i="8"/>
  <c r="AI42" i="8"/>
  <c r="AH41" i="8"/>
  <c r="AH223" i="8"/>
  <c r="AH42" i="8"/>
  <c r="AL28" i="15"/>
  <c r="AL27" i="15"/>
  <c r="AL26" i="15"/>
  <c r="AE224" i="8"/>
  <c r="AD224" i="8"/>
  <c r="AF224" i="8"/>
  <c r="AJ224" i="8"/>
  <c r="AI224" i="8"/>
  <c r="AC224" i="8"/>
  <c r="AH224" i="8"/>
  <c r="AG224" i="8"/>
  <c r="AF43" i="8"/>
  <c r="AD43" i="8"/>
  <c r="AC43" i="8"/>
  <c r="AE43" i="8"/>
  <c r="AJ43" i="8"/>
  <c r="AI43" i="8"/>
  <c r="AH43" i="8"/>
  <c r="AG43" i="8"/>
  <c r="T71" i="5"/>
  <c r="K71" i="5"/>
  <c r="I45" i="9"/>
  <c r="G71" i="5"/>
  <c r="G80" i="2"/>
  <c r="I80" i="2" s="1"/>
  <c r="J71" i="5"/>
  <c r="AA71" i="5"/>
  <c r="R71" i="5"/>
  <c r="Y71" i="5"/>
  <c r="Q71" i="5"/>
  <c r="I71" i="5"/>
  <c r="L71" i="5"/>
  <c r="H71" i="5"/>
  <c r="S71" i="5"/>
  <c r="X71" i="5"/>
  <c r="W71" i="5"/>
  <c r="O71" i="5"/>
  <c r="P71" i="5"/>
  <c r="V71" i="5"/>
  <c r="N71" i="5"/>
  <c r="Z71" i="5"/>
  <c r="U71" i="5"/>
  <c r="M71" i="5"/>
  <c r="AA39" i="9"/>
  <c r="AA45" i="9" s="1"/>
  <c r="Z39" i="9"/>
  <c r="Z45" i="9" s="1"/>
  <c r="J39" i="9"/>
  <c r="J45" i="9" s="1"/>
  <c r="Y39" i="9"/>
  <c r="Y45" i="9" s="1"/>
  <c r="P39" i="9"/>
  <c r="P45" i="9" s="1"/>
  <c r="S39" i="9"/>
  <c r="S45" i="9" s="1"/>
  <c r="O39" i="9"/>
  <c r="O45" i="9" s="1"/>
  <c r="R39" i="9"/>
  <c r="R45" i="9" s="1"/>
  <c r="V39" i="9"/>
  <c r="V45" i="9" s="1"/>
  <c r="N39" i="9"/>
  <c r="N45" i="9" s="1"/>
  <c r="U39" i="9"/>
  <c r="U45" i="9" s="1"/>
  <c r="K39" i="9"/>
  <c r="K45" i="9" s="1"/>
  <c r="Q39" i="9"/>
  <c r="Q45" i="9" s="1"/>
  <c r="X39" i="9"/>
  <c r="X45" i="9" s="1"/>
  <c r="W39" i="9"/>
  <c r="W45" i="9" s="1"/>
  <c r="M39" i="9"/>
  <c r="M45" i="9" s="1"/>
  <c r="AB39" i="9"/>
  <c r="AB45" i="9" s="1"/>
  <c r="T39" i="9"/>
  <c r="T45" i="9" s="1"/>
  <c r="L39" i="9"/>
  <c r="L45" i="9" s="1"/>
  <c r="K228" i="15"/>
  <c r="AC64" i="15" l="1"/>
  <c r="AC110" i="15" s="1"/>
  <c r="Z64" i="15"/>
  <c r="Z110" i="15" s="1"/>
  <c r="Y64" i="15"/>
  <c r="Y110" i="15" s="1"/>
  <c r="P64" i="15"/>
  <c r="P110" i="15" s="1"/>
  <c r="T64" i="15"/>
  <c r="T110" i="15" s="1"/>
  <c r="AM64" i="15"/>
  <c r="AM110" i="15" s="1"/>
  <c r="AJ64" i="15"/>
  <c r="AJ110" i="15" s="1"/>
  <c r="AA64" i="15"/>
  <c r="AA110" i="15" s="1"/>
  <c r="I64" i="15"/>
  <c r="I110" i="15" s="1"/>
  <c r="AG64" i="15"/>
  <c r="AG110" i="15" s="1"/>
  <c r="W64" i="15"/>
  <c r="W110" i="15" s="1"/>
  <c r="P52" i="15"/>
  <c r="R64" i="15"/>
  <c r="R110" i="15" s="1"/>
  <c r="K64" i="15"/>
  <c r="K110" i="15" s="1"/>
  <c r="L52" i="15"/>
  <c r="L64" i="15"/>
  <c r="L110" i="15" s="1"/>
  <c r="Z52" i="15"/>
  <c r="AL64" i="15"/>
  <c r="AL110" i="15" s="1"/>
  <c r="Q64" i="15"/>
  <c r="Q110" i="15" s="1"/>
  <c r="K52" i="15"/>
  <c r="AA52" i="15"/>
  <c r="M64" i="15"/>
  <c r="M110" i="15" s="1"/>
  <c r="AF52" i="15"/>
  <c r="AC52" i="15"/>
  <c r="O64" i="15"/>
  <c r="O110" i="15" s="1"/>
  <c r="AO64" i="15"/>
  <c r="AO110" i="15" s="1"/>
  <c r="AF64" i="15"/>
  <c r="AF110" i="15" s="1"/>
  <c r="AN64" i="15"/>
  <c r="AN110" i="15" s="1"/>
  <c r="R52" i="15"/>
  <c r="AM52" i="15"/>
  <c r="AB52" i="15"/>
  <c r="AI64" i="15"/>
  <c r="AI110" i="15" s="1"/>
  <c r="O52" i="15"/>
  <c r="AL52" i="15"/>
  <c r="AK64" i="15"/>
  <c r="AK110" i="15" s="1"/>
  <c r="AD64" i="15"/>
  <c r="AD110" i="15" s="1"/>
  <c r="I52" i="15"/>
  <c r="W52" i="15"/>
  <c r="X52" i="15"/>
  <c r="X64" i="15"/>
  <c r="X110" i="15" s="1"/>
  <c r="AB64" i="15"/>
  <c r="AB110" i="15" s="1"/>
  <c r="N52" i="15"/>
  <c r="N64" i="15"/>
  <c r="N110" i="15" s="1"/>
  <c r="U64" i="15"/>
  <c r="U110" i="15" s="1"/>
  <c r="AG52" i="15"/>
  <c r="AH52" i="15"/>
  <c r="AH64" i="15"/>
  <c r="AH110" i="15" s="1"/>
  <c r="V52" i="15"/>
  <c r="V64" i="15"/>
  <c r="V110" i="15" s="1"/>
  <c r="J52" i="15"/>
  <c r="J64" i="15"/>
  <c r="J110" i="15" s="1"/>
  <c r="AO52" i="15"/>
  <c r="AN52" i="15"/>
  <c r="AE52" i="15"/>
  <c r="AE64" i="15"/>
  <c r="AE110" i="15" s="1"/>
  <c r="Y52" i="15"/>
  <c r="S64" i="15"/>
  <c r="S110" i="15" s="1"/>
  <c r="U52" i="15"/>
  <c r="T52" i="15"/>
  <c r="AI52" i="15"/>
  <c r="AD52" i="15"/>
  <c r="S52" i="15"/>
  <c r="M52" i="15"/>
  <c r="Q52" i="15"/>
  <c r="AK52" i="15"/>
  <c r="AJ52" i="15"/>
  <c r="N222" i="8"/>
  <c r="Y222" i="8"/>
  <c r="AB222" i="8"/>
  <c r="V222" i="8"/>
  <c r="T222" i="8"/>
  <c r="K222" i="8"/>
  <c r="AA222" i="8"/>
  <c r="I222" i="8"/>
  <c r="O222" i="8"/>
  <c r="M222" i="8"/>
  <c r="W222" i="8"/>
  <c r="J222" i="8"/>
  <c r="Q222" i="8"/>
  <c r="R222" i="8"/>
  <c r="L222" i="8"/>
  <c r="P222" i="8"/>
  <c r="Z222" i="8"/>
  <c r="U222" i="8"/>
  <c r="X222" i="8"/>
  <c r="S222" i="8"/>
  <c r="AJ226" i="8"/>
  <c r="AJ234" i="8" s="1"/>
  <c r="AJ235" i="8" s="1"/>
  <c r="AI45" i="8"/>
  <c r="AI53" i="8" s="1"/>
  <c r="AI54" i="8" s="1"/>
  <c r="AE226" i="8"/>
  <c r="AE234" i="8" s="1"/>
  <c r="AF226" i="8"/>
  <c r="AF234" i="8" s="1"/>
  <c r="AI226" i="8"/>
  <c r="AI234" i="8" s="1"/>
  <c r="AI235" i="8" s="1"/>
  <c r="AJ45" i="8"/>
  <c r="AJ53" i="8" s="1"/>
  <c r="AJ54" i="8" s="1"/>
  <c r="AE45" i="8"/>
  <c r="AE53" i="8" s="1"/>
  <c r="AF45" i="8"/>
  <c r="AF53" i="8" s="1"/>
  <c r="AG45" i="8"/>
  <c r="AG53" i="8" s="1"/>
  <c r="AH45" i="8"/>
  <c r="AH53" i="8" s="1"/>
  <c r="AH54" i="8" s="1"/>
  <c r="AC226" i="8"/>
  <c r="AC234" i="8" s="1"/>
  <c r="AA223" i="8"/>
  <c r="AG226" i="8"/>
  <c r="AG234" i="8" s="1"/>
  <c r="O223" i="8"/>
  <c r="W223" i="8"/>
  <c r="R223" i="8"/>
  <c r="L223" i="8"/>
  <c r="M223" i="8"/>
  <c r="Z223" i="8"/>
  <c r="U223" i="8"/>
  <c r="AH226" i="8"/>
  <c r="AH234" i="8" s="1"/>
  <c r="AH235" i="8" s="1"/>
  <c r="P223" i="8"/>
  <c r="X223" i="8"/>
  <c r="S223" i="8"/>
  <c r="I223" i="8"/>
  <c r="J223" i="8"/>
  <c r="Q223" i="8"/>
  <c r="N223" i="8"/>
  <c r="AB223" i="8"/>
  <c r="AD226" i="8"/>
  <c r="AD234" i="8" s="1"/>
  <c r="Y223" i="8"/>
  <c r="AC45" i="8"/>
  <c r="AC53" i="8" s="1"/>
  <c r="V223" i="8"/>
  <c r="T223" i="8"/>
  <c r="K223" i="8"/>
  <c r="AD45" i="8"/>
  <c r="AD53" i="8" s="1"/>
  <c r="AM26" i="15"/>
  <c r="AM28" i="15"/>
  <c r="AM27" i="15"/>
  <c r="S224" i="8"/>
  <c r="N224" i="8"/>
  <c r="Y224" i="8"/>
  <c r="AB224" i="8"/>
  <c r="V224" i="8"/>
  <c r="T224" i="8"/>
  <c r="K224" i="8"/>
  <c r="AA224" i="8"/>
  <c r="I224" i="8"/>
  <c r="O224" i="8"/>
  <c r="M224" i="8"/>
  <c r="X224" i="8"/>
  <c r="W224" i="8"/>
  <c r="J224" i="8"/>
  <c r="Q224" i="8"/>
  <c r="R224" i="8"/>
  <c r="L224" i="8"/>
  <c r="P224" i="8"/>
  <c r="Z224" i="8"/>
  <c r="U224" i="8"/>
  <c r="X41" i="8"/>
  <c r="S41" i="8"/>
  <c r="N41" i="8"/>
  <c r="Y41" i="8"/>
  <c r="AB41" i="8"/>
  <c r="Z41" i="8"/>
  <c r="V41" i="8"/>
  <c r="T41" i="8"/>
  <c r="K41" i="8"/>
  <c r="U41" i="8"/>
  <c r="AA41" i="8"/>
  <c r="I41" i="8"/>
  <c r="O41" i="8"/>
  <c r="M41" i="8"/>
  <c r="W41" i="8"/>
  <c r="J41" i="8"/>
  <c r="P41" i="8"/>
  <c r="Q41" i="8"/>
  <c r="R41" i="8"/>
  <c r="L41" i="8"/>
  <c r="N42" i="8"/>
  <c r="N43" i="8"/>
  <c r="Y42" i="8"/>
  <c r="Y43" i="8"/>
  <c r="AB42" i="8"/>
  <c r="AB43" i="8"/>
  <c r="AA42" i="8"/>
  <c r="AA43" i="8"/>
  <c r="I42" i="8"/>
  <c r="I43" i="8"/>
  <c r="V42" i="8"/>
  <c r="V43" i="8"/>
  <c r="O42" i="8"/>
  <c r="O43" i="8"/>
  <c r="M42" i="8"/>
  <c r="M43" i="8"/>
  <c r="W42" i="8"/>
  <c r="W43" i="8"/>
  <c r="J42" i="8"/>
  <c r="J43" i="8"/>
  <c r="S42" i="8"/>
  <c r="S43" i="8"/>
  <c r="K42" i="8"/>
  <c r="K43" i="8"/>
  <c r="Q42" i="8"/>
  <c r="Q43" i="8"/>
  <c r="R42" i="8"/>
  <c r="R43" i="8"/>
  <c r="L42" i="8"/>
  <c r="L43" i="8"/>
  <c r="X42" i="8"/>
  <c r="X43" i="8"/>
  <c r="T42" i="8"/>
  <c r="T43" i="8"/>
  <c r="P42" i="8"/>
  <c r="P43" i="8"/>
  <c r="Z42" i="8"/>
  <c r="Z43" i="8"/>
  <c r="U42" i="8"/>
  <c r="U43" i="8"/>
  <c r="M228" i="15"/>
  <c r="L228" i="15"/>
  <c r="E630" i="5"/>
  <c r="F92" i="17" s="1"/>
  <c r="F93" i="17" s="1"/>
  <c r="F94" i="17" s="1"/>
  <c r="E617" i="5"/>
  <c r="E616" i="5"/>
  <c r="H2" i="15"/>
  <c r="I226" i="8" l="1"/>
  <c r="I234" i="8" s="1"/>
  <c r="AI111" i="15"/>
  <c r="AO111" i="15"/>
  <c r="AH111" i="15"/>
  <c r="AL111" i="15"/>
  <c r="AJ111" i="15"/>
  <c r="AK111" i="15"/>
  <c r="AN111" i="15"/>
  <c r="AM111" i="15"/>
  <c r="I2" i="15"/>
  <c r="F96" i="17"/>
  <c r="I96" i="17" s="1"/>
  <c r="I97" i="17" s="1"/>
  <c r="W226" i="8"/>
  <c r="W234" i="8" s="1"/>
  <c r="AB226" i="8"/>
  <c r="AB234" i="8" s="1"/>
  <c r="L226" i="8"/>
  <c r="L234" i="8" s="1"/>
  <c r="U226" i="8"/>
  <c r="U234" i="8" s="1"/>
  <c r="AA226" i="8"/>
  <c r="AA234" i="8" s="1"/>
  <c r="P226" i="8"/>
  <c r="P234" i="8" s="1"/>
  <c r="Q226" i="8"/>
  <c r="Q234" i="8" s="1"/>
  <c r="O226" i="8"/>
  <c r="O234" i="8" s="1"/>
  <c r="V226" i="8"/>
  <c r="V234" i="8" s="1"/>
  <c r="X226" i="8"/>
  <c r="X234" i="8" s="1"/>
  <c r="M226" i="8"/>
  <c r="M234" i="8" s="1"/>
  <c r="Z226" i="8"/>
  <c r="Z234" i="8" s="1"/>
  <c r="N226" i="8"/>
  <c r="N234" i="8" s="1"/>
  <c r="S226" i="8"/>
  <c r="S234" i="8" s="1"/>
  <c r="R226" i="8"/>
  <c r="R234" i="8" s="1"/>
  <c r="K226" i="8"/>
  <c r="K234" i="8" s="1"/>
  <c r="Y226" i="8"/>
  <c r="Y234" i="8" s="1"/>
  <c r="J226" i="8"/>
  <c r="J234" i="8" s="1"/>
  <c r="T226" i="8"/>
  <c r="T234" i="8" s="1"/>
  <c r="AN28" i="15"/>
  <c r="AN26" i="15"/>
  <c r="AN27" i="15"/>
  <c r="K31" i="17"/>
  <c r="K32" i="17" s="1"/>
  <c r="S31" i="17"/>
  <c r="S32" i="17" s="1"/>
  <c r="AA31" i="17"/>
  <c r="AA32" i="17" s="1"/>
  <c r="AI31" i="17"/>
  <c r="AI32" i="17" s="1"/>
  <c r="L31" i="17"/>
  <c r="L32" i="17" s="1"/>
  <c r="T31" i="17"/>
  <c r="T32" i="17" s="1"/>
  <c r="AB31" i="17"/>
  <c r="AB32" i="17" s="1"/>
  <c r="AJ31" i="17"/>
  <c r="AJ32" i="17" s="1"/>
  <c r="AH31" i="17"/>
  <c r="AH32" i="17" s="1"/>
  <c r="M31" i="17"/>
  <c r="M32" i="17" s="1"/>
  <c r="U31" i="17"/>
  <c r="U32" i="17" s="1"/>
  <c r="AC31" i="17"/>
  <c r="AC32" i="17" s="1"/>
  <c r="AK31" i="17"/>
  <c r="AK32" i="17" s="1"/>
  <c r="R31" i="17"/>
  <c r="R32" i="17" s="1"/>
  <c r="N31" i="17"/>
  <c r="N32" i="17" s="1"/>
  <c r="V31" i="17"/>
  <c r="V32" i="17" s="1"/>
  <c r="AD31" i="17"/>
  <c r="AD32" i="17" s="1"/>
  <c r="AL31" i="17"/>
  <c r="AL32" i="17" s="1"/>
  <c r="O31" i="17"/>
  <c r="O32" i="17" s="1"/>
  <c r="W31" i="17"/>
  <c r="W32" i="17" s="1"/>
  <c r="AE31" i="17"/>
  <c r="AE32" i="17" s="1"/>
  <c r="AM31" i="17"/>
  <c r="AM32" i="17" s="1"/>
  <c r="P31" i="17"/>
  <c r="P32" i="17" s="1"/>
  <c r="X31" i="17"/>
  <c r="X32" i="17" s="1"/>
  <c r="AF31" i="17"/>
  <c r="AF32" i="17" s="1"/>
  <c r="AN31" i="17"/>
  <c r="AN32" i="17" s="1"/>
  <c r="I31" i="17"/>
  <c r="I32" i="17" s="1"/>
  <c r="I33" i="17" s="1"/>
  <c r="I40" i="17" s="1"/>
  <c r="Q31" i="17"/>
  <c r="Q32" i="17" s="1"/>
  <c r="Y31" i="17"/>
  <c r="Y32" i="17" s="1"/>
  <c r="AG31" i="17"/>
  <c r="AG32" i="17" s="1"/>
  <c r="AO31" i="17"/>
  <c r="AO32" i="17" s="1"/>
  <c r="J31" i="17"/>
  <c r="J32" i="17" s="1"/>
  <c r="Z31" i="17"/>
  <c r="Z32" i="17" s="1"/>
  <c r="N228" i="15"/>
  <c r="G9" i="5"/>
  <c r="H9" i="5"/>
  <c r="I9" i="5"/>
  <c r="J9" i="5"/>
  <c r="K9" i="5"/>
  <c r="L9" i="5"/>
  <c r="M9" i="5"/>
  <c r="N9" i="5"/>
  <c r="O9" i="5"/>
  <c r="P9" i="5"/>
  <c r="Q9" i="5"/>
  <c r="R9" i="5"/>
  <c r="S9" i="5"/>
  <c r="T9" i="5"/>
  <c r="U9" i="5"/>
  <c r="V9" i="5"/>
  <c r="W9" i="5"/>
  <c r="X9" i="5"/>
  <c r="Y9" i="5"/>
  <c r="Z9" i="5"/>
  <c r="AA9" i="5"/>
  <c r="AB9" i="5"/>
  <c r="AC9" i="5"/>
  <c r="AD9" i="5"/>
  <c r="AE9" i="5"/>
  <c r="AF9" i="5"/>
  <c r="G2" i="5"/>
  <c r="H2" i="5" s="1"/>
  <c r="I2" i="5" s="1"/>
  <c r="J2" i="5" s="1"/>
  <c r="K2" i="5" s="1"/>
  <c r="L2" i="5" s="1"/>
  <c r="M2" i="5" s="1"/>
  <c r="N2" i="5" s="1"/>
  <c r="O2" i="5" s="1"/>
  <c r="P2" i="5" s="1"/>
  <c r="Q2" i="5" s="1"/>
  <c r="R2" i="5" s="1"/>
  <c r="S2" i="5" s="1"/>
  <c r="H2" i="7"/>
  <c r="I2" i="7" s="1"/>
  <c r="J2" i="7" s="1"/>
  <c r="K2" i="7" s="1"/>
  <c r="L2" i="7" s="1"/>
  <c r="M2" i="7" s="1"/>
  <c r="N2" i="7" s="1"/>
  <c r="O2" i="7" s="1"/>
  <c r="P2" i="7" s="1"/>
  <c r="Q2" i="7" s="1"/>
  <c r="R2" i="7" s="1"/>
  <c r="S2" i="7" s="1"/>
  <c r="T2" i="7" s="1"/>
  <c r="U2" i="7" s="1"/>
  <c r="V2" i="7" s="1"/>
  <c r="W2" i="7" s="1"/>
  <c r="X2" i="7" s="1"/>
  <c r="Y2" i="7" s="1"/>
  <c r="Z2" i="7" s="1"/>
  <c r="AA2" i="7" s="1"/>
  <c r="AB2" i="7" s="1"/>
  <c r="AC2" i="7" s="1"/>
  <c r="AD2" i="7" s="1"/>
  <c r="AE2" i="7" s="1"/>
  <c r="AF2" i="7" s="1"/>
  <c r="AG2" i="7" s="1"/>
  <c r="AH2" i="7" s="1"/>
  <c r="AI2" i="7" s="1"/>
  <c r="AJ2" i="7" s="1"/>
  <c r="AK2" i="7" s="1"/>
  <c r="AL2" i="7" s="1"/>
  <c r="AM2" i="7" s="1"/>
  <c r="AN2" i="7" s="1"/>
  <c r="AO2" i="7" s="1"/>
  <c r="H2" i="17"/>
  <c r="I2" i="17" s="1"/>
  <c r="J2" i="17" s="1"/>
  <c r="K2" i="17" s="1"/>
  <c r="L2" i="17" s="1"/>
  <c r="M2" i="17" s="1"/>
  <c r="N2" i="17" s="1"/>
  <c r="O2" i="17" s="1"/>
  <c r="P2" i="17" s="1"/>
  <c r="Q2" i="17" s="1"/>
  <c r="R2" i="17" s="1"/>
  <c r="S2" i="17" s="1"/>
  <c r="T2" i="17" s="1"/>
  <c r="U2" i="17" s="1"/>
  <c r="V2" i="17" s="1"/>
  <c r="W2" i="17" s="1"/>
  <c r="X2" i="17" s="1"/>
  <c r="Y2" i="17" s="1"/>
  <c r="Z2" i="17" s="1"/>
  <c r="AA2" i="17" s="1"/>
  <c r="AB2" i="17" s="1"/>
  <c r="AC2" i="17" s="1"/>
  <c r="AD2" i="17" s="1"/>
  <c r="AE2" i="17" s="1"/>
  <c r="AF2" i="17" s="1"/>
  <c r="AG2" i="17" s="1"/>
  <c r="AH2" i="17" s="1"/>
  <c r="AI2" i="17" s="1"/>
  <c r="AJ2" i="17" s="1"/>
  <c r="AK2" i="17" s="1"/>
  <c r="AL2" i="17" s="1"/>
  <c r="AM2" i="17" s="1"/>
  <c r="AN2" i="17" s="1"/>
  <c r="AO2" i="17" s="1"/>
  <c r="H183" i="16" l="1"/>
  <c r="H229" i="15"/>
  <c r="H548" i="15"/>
  <c r="H714" i="16"/>
  <c r="H448" i="16"/>
  <c r="H866" i="15"/>
  <c r="I101" i="17"/>
  <c r="I109" i="17" s="1"/>
  <c r="I102" i="17"/>
  <c r="I68" i="14"/>
  <c r="I179" i="16"/>
  <c r="I81" i="16"/>
  <c r="K107" i="15"/>
  <c r="K81" i="16"/>
  <c r="K179" i="16"/>
  <c r="J179" i="16"/>
  <c r="J107" i="15"/>
  <c r="J81" i="16"/>
  <c r="S179" i="16"/>
  <c r="S81" i="16"/>
  <c r="S107" i="15"/>
  <c r="W81" i="16"/>
  <c r="W107" i="15"/>
  <c r="W179" i="16"/>
  <c r="AA442" i="15"/>
  <c r="AA760" i="15"/>
  <c r="AA121" i="15"/>
  <c r="AA107" i="15"/>
  <c r="AA81" i="16"/>
  <c r="AA179" i="16"/>
  <c r="R81" i="16"/>
  <c r="R107" i="15"/>
  <c r="R179" i="16"/>
  <c r="AG179" i="16"/>
  <c r="AG107" i="15"/>
  <c r="AG81" i="16"/>
  <c r="P179" i="16"/>
  <c r="P81" i="16"/>
  <c r="P107" i="15"/>
  <c r="O179" i="16"/>
  <c r="O81" i="16"/>
  <c r="O107" i="15"/>
  <c r="AD179" i="16"/>
  <c r="AD81" i="16"/>
  <c r="AD107" i="15"/>
  <c r="V179" i="16"/>
  <c r="V81" i="16"/>
  <c r="V107" i="15"/>
  <c r="N107" i="15"/>
  <c r="N179" i="16"/>
  <c r="N81" i="16"/>
  <c r="Q81" i="16"/>
  <c r="Q107" i="15"/>
  <c r="Q179" i="16"/>
  <c r="AF179" i="16"/>
  <c r="AF81" i="16"/>
  <c r="AF107" i="15"/>
  <c r="AE179" i="16"/>
  <c r="AE107" i="15"/>
  <c r="AE81" i="16"/>
  <c r="U179" i="16"/>
  <c r="U81" i="16"/>
  <c r="U107" i="15"/>
  <c r="M107" i="15"/>
  <c r="M179" i="16"/>
  <c r="M81" i="16"/>
  <c r="Z81" i="16"/>
  <c r="Z179" i="16"/>
  <c r="Z107" i="15"/>
  <c r="Y179" i="16"/>
  <c r="Y107" i="15"/>
  <c r="Y81" i="16"/>
  <c r="X81" i="16"/>
  <c r="X107" i="15"/>
  <c r="X179" i="16"/>
  <c r="AC179" i="16"/>
  <c r="AC81" i="16"/>
  <c r="AC107" i="15"/>
  <c r="AB81" i="16"/>
  <c r="AB179" i="16"/>
  <c r="AB107" i="15"/>
  <c r="T179" i="16"/>
  <c r="T107" i="15"/>
  <c r="T81" i="16"/>
  <c r="L81" i="16"/>
  <c r="L107" i="15"/>
  <c r="L179" i="16"/>
  <c r="I111" i="15"/>
  <c r="Z225" i="15"/>
  <c r="Z68" i="14"/>
  <c r="Z355" i="14"/>
  <c r="R225" i="15"/>
  <c r="R68" i="14"/>
  <c r="R355" i="14"/>
  <c r="J225" i="15"/>
  <c r="J68" i="14"/>
  <c r="J355" i="14"/>
  <c r="S225" i="15"/>
  <c r="S355" i="14"/>
  <c r="S68" i="14"/>
  <c r="I355" i="14"/>
  <c r="K225" i="15"/>
  <c r="K68" i="14"/>
  <c r="K355" i="14"/>
  <c r="AE228" i="7"/>
  <c r="AE225" i="15"/>
  <c r="AE68" i="14"/>
  <c r="AE355" i="14"/>
  <c r="W225" i="15"/>
  <c r="W355" i="14"/>
  <c r="W68" i="14"/>
  <c r="O225" i="15"/>
  <c r="O68" i="14"/>
  <c r="O355" i="14"/>
  <c r="AG228" i="7"/>
  <c r="AG225" i="15"/>
  <c r="AG68" i="14"/>
  <c r="AG355" i="14"/>
  <c r="P225" i="15"/>
  <c r="P355" i="14"/>
  <c r="P68" i="14"/>
  <c r="AD228" i="7"/>
  <c r="AD225" i="15"/>
  <c r="AD68" i="14"/>
  <c r="AD355" i="14"/>
  <c r="V225" i="15"/>
  <c r="V68" i="14"/>
  <c r="V355" i="14"/>
  <c r="N225" i="15"/>
  <c r="N355" i="14"/>
  <c r="N68" i="14"/>
  <c r="Y225" i="15"/>
  <c r="Y68" i="14"/>
  <c r="Y355" i="14"/>
  <c r="X225" i="15"/>
  <c r="X68" i="14"/>
  <c r="X355" i="14"/>
  <c r="AC714" i="16"/>
  <c r="AC225" i="15"/>
  <c r="G225" i="15" s="1"/>
  <c r="AC68" i="14"/>
  <c r="AC355" i="14"/>
  <c r="U225" i="15"/>
  <c r="U68" i="14"/>
  <c r="U355" i="14"/>
  <c r="M225" i="15"/>
  <c r="M355" i="14"/>
  <c r="M68" i="14"/>
  <c r="AA225" i="15"/>
  <c r="AA68" i="14"/>
  <c r="AA355" i="14"/>
  <c r="Q225" i="15"/>
  <c r="Q68" i="14"/>
  <c r="Q355" i="14"/>
  <c r="AF228" i="7"/>
  <c r="AF225" i="15"/>
  <c r="AF68" i="14"/>
  <c r="AF355" i="14"/>
  <c r="AB442" i="15"/>
  <c r="AB760" i="15"/>
  <c r="AB121" i="15"/>
  <c r="AB225" i="15"/>
  <c r="AB68" i="14"/>
  <c r="AB355" i="14"/>
  <c r="T229" i="15"/>
  <c r="T225" i="15"/>
  <c r="T68" i="14"/>
  <c r="T355" i="14"/>
  <c r="L225" i="15"/>
  <c r="L68" i="14"/>
  <c r="L355" i="14"/>
  <c r="Y442" i="15"/>
  <c r="Y760" i="15"/>
  <c r="Y121" i="15"/>
  <c r="I359" i="14"/>
  <c r="I214" i="14"/>
  <c r="O228" i="7"/>
  <c r="O51" i="7"/>
  <c r="N51" i="7"/>
  <c r="N228" i="7"/>
  <c r="X60" i="17"/>
  <c r="X228" i="7"/>
  <c r="X51" i="7"/>
  <c r="V60" i="17"/>
  <c r="V228" i="7"/>
  <c r="V51" i="7"/>
  <c r="AC60" i="17"/>
  <c r="AC866" i="15"/>
  <c r="AC51" i="7"/>
  <c r="AC228" i="7"/>
  <c r="U60" i="17"/>
  <c r="U228" i="7"/>
  <c r="U51" i="7"/>
  <c r="M228" i="7"/>
  <c r="M51" i="7"/>
  <c r="AB60" i="17"/>
  <c r="AB228" i="7"/>
  <c r="AB51" i="7"/>
  <c r="T228" i="7"/>
  <c r="T51" i="7"/>
  <c r="L51" i="7"/>
  <c r="L228" i="7"/>
  <c r="W60" i="17"/>
  <c r="W228" i="7"/>
  <c r="W51" i="7"/>
  <c r="S51" i="7"/>
  <c r="S228" i="7"/>
  <c r="K51" i="7"/>
  <c r="K228" i="7"/>
  <c r="Z60" i="17"/>
  <c r="Z228" i="7"/>
  <c r="Z51" i="7"/>
  <c r="R228" i="7"/>
  <c r="R51" i="7"/>
  <c r="J51" i="7"/>
  <c r="J228" i="7"/>
  <c r="P51" i="7"/>
  <c r="P228" i="7"/>
  <c r="AA60" i="17"/>
  <c r="AA228" i="7"/>
  <c r="AA51" i="7"/>
  <c r="Y60" i="17"/>
  <c r="Y51" i="7"/>
  <c r="Y228" i="7"/>
  <c r="Q228" i="7"/>
  <c r="Q51" i="7"/>
  <c r="I448" i="16"/>
  <c r="I714" i="16"/>
  <c r="I228" i="7"/>
  <c r="I51" i="7"/>
  <c r="I229" i="15"/>
  <c r="J2" i="15"/>
  <c r="J96" i="17"/>
  <c r="J97" i="17" s="1"/>
  <c r="K96" i="17"/>
  <c r="K97" i="17" s="1"/>
  <c r="AC96" i="17"/>
  <c r="N96" i="17"/>
  <c r="N97" i="17" s="1"/>
  <c r="AB96" i="17"/>
  <c r="O96" i="17"/>
  <c r="O97" i="17" s="1"/>
  <c r="AD96" i="17"/>
  <c r="AO96" i="17"/>
  <c r="AF96" i="17"/>
  <c r="AK96" i="17"/>
  <c r="V96" i="17"/>
  <c r="AJ96" i="17"/>
  <c r="Z96" i="17"/>
  <c r="R96" i="17"/>
  <c r="R97" i="17" s="1"/>
  <c r="AA96" i="17"/>
  <c r="Q96" i="17"/>
  <c r="Q97" i="17" s="1"/>
  <c r="P96" i="17"/>
  <c r="P97" i="17" s="1"/>
  <c r="X96" i="17"/>
  <c r="AI96" i="17"/>
  <c r="AM96" i="17"/>
  <c r="AL96" i="17"/>
  <c r="Y96" i="17"/>
  <c r="W96" i="17"/>
  <c r="AH96" i="17"/>
  <c r="T96" i="17"/>
  <c r="T97" i="17" s="1"/>
  <c r="AN96" i="17"/>
  <c r="S96" i="17"/>
  <c r="S97" i="17" s="1"/>
  <c r="M96" i="17"/>
  <c r="M97" i="17" s="1"/>
  <c r="L96" i="17"/>
  <c r="L97" i="17" s="1"/>
  <c r="AE96" i="17"/>
  <c r="U96" i="17"/>
  <c r="AG96" i="17"/>
  <c r="I104" i="17"/>
  <c r="I112" i="17" s="1"/>
  <c r="I107" i="17"/>
  <c r="I106" i="17"/>
  <c r="I114" i="17" s="1"/>
  <c r="I105" i="17"/>
  <c r="I113" i="17" s="1"/>
  <c r="AG60" i="17"/>
  <c r="AF60" i="17"/>
  <c r="AE60" i="17"/>
  <c r="AD60" i="17"/>
  <c r="AO109" i="17"/>
  <c r="AO116" i="17" s="1"/>
  <c r="L33" i="17"/>
  <c r="R33" i="17"/>
  <c r="O33" i="17"/>
  <c r="M33" i="17"/>
  <c r="S33" i="17"/>
  <c r="K33" i="17"/>
  <c r="Q33" i="17"/>
  <c r="P33" i="17"/>
  <c r="P745" i="16"/>
  <c r="V745" i="16"/>
  <c r="N745" i="16"/>
  <c r="Y745" i="16"/>
  <c r="X745" i="16"/>
  <c r="U745" i="16"/>
  <c r="M745" i="16"/>
  <c r="Q745" i="16"/>
  <c r="W745" i="16"/>
  <c r="AC745" i="16"/>
  <c r="L745" i="16"/>
  <c r="O745" i="16"/>
  <c r="AB745" i="16"/>
  <c r="T745" i="16"/>
  <c r="AA745" i="16"/>
  <c r="S745" i="16"/>
  <c r="K745" i="16"/>
  <c r="Z745" i="16"/>
  <c r="R745" i="16"/>
  <c r="J745" i="16"/>
  <c r="AC442" i="15"/>
  <c r="AC760" i="15"/>
  <c r="AC548" i="15"/>
  <c r="AC229" i="15"/>
  <c r="AC448" i="16"/>
  <c r="AC183" i="16"/>
  <c r="AB866" i="15"/>
  <c r="AB548" i="15"/>
  <c r="AB714" i="16"/>
  <c r="AB448" i="16"/>
  <c r="AB183" i="16"/>
  <c r="AB229" i="15"/>
  <c r="T866" i="15"/>
  <c r="T714" i="16"/>
  <c r="T548" i="15"/>
  <c r="T448" i="16"/>
  <c r="T183" i="16"/>
  <c r="L866" i="15"/>
  <c r="L714" i="16"/>
  <c r="L548" i="15"/>
  <c r="L183" i="16"/>
  <c r="L448" i="16"/>
  <c r="AA548" i="15"/>
  <c r="AA448" i="16"/>
  <c r="AA714" i="16"/>
  <c r="AA866" i="15"/>
  <c r="AA229" i="15"/>
  <c r="AA183" i="16"/>
  <c r="S714" i="16"/>
  <c r="S448" i="16"/>
  <c r="S866" i="15"/>
  <c r="S548" i="15"/>
  <c r="S183" i="16"/>
  <c r="K714" i="16"/>
  <c r="K548" i="15"/>
  <c r="K866" i="15"/>
  <c r="K183" i="16"/>
  <c r="K448" i="16"/>
  <c r="K229" i="15"/>
  <c r="M714" i="16"/>
  <c r="M866" i="15"/>
  <c r="M448" i="16"/>
  <c r="M548" i="15"/>
  <c r="M183" i="16"/>
  <c r="R714" i="16"/>
  <c r="R866" i="15"/>
  <c r="R448" i="16"/>
  <c r="R548" i="15"/>
  <c r="R183" i="16"/>
  <c r="J714" i="16"/>
  <c r="J548" i="15"/>
  <c r="J866" i="15"/>
  <c r="J183" i="16"/>
  <c r="J448" i="16"/>
  <c r="J229" i="15"/>
  <c r="U866" i="15"/>
  <c r="U714" i="16"/>
  <c r="U548" i="15"/>
  <c r="U229" i="15"/>
  <c r="U448" i="16"/>
  <c r="U183" i="16"/>
  <c r="AG745" i="16"/>
  <c r="AG479" i="16"/>
  <c r="Y448" i="16"/>
  <c r="Y866" i="15"/>
  <c r="Y714" i="16"/>
  <c r="Y548" i="15"/>
  <c r="Y229" i="15"/>
  <c r="Y183" i="16"/>
  <c r="Q558" i="15"/>
  <c r="Q876" i="15"/>
  <c r="Q448" i="16"/>
  <c r="Q866" i="15"/>
  <c r="Q714" i="16"/>
  <c r="Q548" i="15"/>
  <c r="Q183" i="16"/>
  <c r="I46" i="9"/>
  <c r="I866" i="15"/>
  <c r="I548" i="15"/>
  <c r="I183" i="16"/>
  <c r="I745" i="16"/>
  <c r="Z548" i="15"/>
  <c r="Z714" i="16"/>
  <c r="Z866" i="15"/>
  <c r="Z183" i="16"/>
  <c r="Z229" i="15"/>
  <c r="Z448" i="16"/>
  <c r="AF745" i="16"/>
  <c r="AF479" i="16"/>
  <c r="X866" i="15"/>
  <c r="X714" i="16"/>
  <c r="X548" i="15"/>
  <c r="X448" i="16"/>
  <c r="X229" i="15"/>
  <c r="X183" i="16"/>
  <c r="P714" i="16"/>
  <c r="P866" i="15"/>
  <c r="P448" i="16"/>
  <c r="P548" i="15"/>
  <c r="P183" i="16"/>
  <c r="O866" i="15"/>
  <c r="O548" i="15"/>
  <c r="O714" i="16"/>
  <c r="O183" i="16"/>
  <c r="O448" i="16"/>
  <c r="M229" i="15"/>
  <c r="AE745" i="16"/>
  <c r="AE479" i="16"/>
  <c r="AE866" i="15"/>
  <c r="AE548" i="15"/>
  <c r="W548" i="15"/>
  <c r="W714" i="16"/>
  <c r="W866" i="15"/>
  <c r="W448" i="16"/>
  <c r="W229" i="15"/>
  <c r="W183" i="16"/>
  <c r="AD745" i="16"/>
  <c r="AD479" i="16"/>
  <c r="AD548" i="15"/>
  <c r="AD866" i="15"/>
  <c r="V548" i="15"/>
  <c r="V866" i="15"/>
  <c r="V714" i="16"/>
  <c r="V448" i="16"/>
  <c r="V183" i="16"/>
  <c r="V229" i="15"/>
  <c r="N866" i="15"/>
  <c r="N548" i="15"/>
  <c r="N448" i="16"/>
  <c r="N714" i="16"/>
  <c r="N183" i="16"/>
  <c r="N229" i="15"/>
  <c r="L229" i="15"/>
  <c r="AO27" i="15"/>
  <c r="AO26" i="15"/>
  <c r="AO28" i="15"/>
  <c r="AE359" i="14"/>
  <c r="AE134" i="9"/>
  <c r="AE214" i="14"/>
  <c r="AE46" i="9"/>
  <c r="AE222" i="9"/>
  <c r="AE72" i="14"/>
  <c r="W235" i="8"/>
  <c r="W214" i="14"/>
  <c r="W359" i="14"/>
  <c r="W222" i="9"/>
  <c r="W46" i="9"/>
  <c r="O235" i="8"/>
  <c r="O214" i="14"/>
  <c r="O359" i="14"/>
  <c r="O222" i="9"/>
  <c r="O46" i="9"/>
  <c r="P359" i="14"/>
  <c r="P214" i="14"/>
  <c r="P222" i="9"/>
  <c r="P46" i="9"/>
  <c r="AD359" i="14"/>
  <c r="AD72" i="14"/>
  <c r="AD134" i="9"/>
  <c r="AD46" i="9"/>
  <c r="AD214" i="14"/>
  <c r="AD222" i="9"/>
  <c r="V235" i="8"/>
  <c r="V359" i="14"/>
  <c r="V214" i="14"/>
  <c r="V222" i="9"/>
  <c r="V46" i="9"/>
  <c r="N235" i="8"/>
  <c r="N214" i="14"/>
  <c r="N359" i="14"/>
  <c r="N222" i="9"/>
  <c r="N46" i="9"/>
  <c r="U359" i="14"/>
  <c r="U214" i="14"/>
  <c r="U222" i="9"/>
  <c r="U46" i="9"/>
  <c r="AB235" i="8"/>
  <c r="AB359" i="14"/>
  <c r="AB214" i="14"/>
  <c r="AB222" i="9"/>
  <c r="AB46" i="9"/>
  <c r="T235" i="8"/>
  <c r="T359" i="14"/>
  <c r="T214" i="14"/>
  <c r="T222" i="9"/>
  <c r="T46" i="9"/>
  <c r="L359" i="14"/>
  <c r="L214" i="14"/>
  <c r="L222" i="9"/>
  <c r="L46" i="9"/>
  <c r="AF134" i="9"/>
  <c r="AF214" i="14"/>
  <c r="AF359" i="14"/>
  <c r="AF46" i="9"/>
  <c r="AF72" i="14"/>
  <c r="AF222" i="9"/>
  <c r="AA359" i="14"/>
  <c r="AA214" i="14"/>
  <c r="AA222" i="9"/>
  <c r="AA46" i="9"/>
  <c r="S235" i="8"/>
  <c r="S214" i="14"/>
  <c r="S359" i="14"/>
  <c r="S222" i="9"/>
  <c r="S46" i="9"/>
  <c r="K214" i="14"/>
  <c r="K359" i="14"/>
  <c r="K222" i="9"/>
  <c r="K46" i="9"/>
  <c r="Z359" i="14"/>
  <c r="Z214" i="14"/>
  <c r="Z222" i="9"/>
  <c r="Z46" i="9"/>
  <c r="R359" i="14"/>
  <c r="R214" i="14"/>
  <c r="R222" i="9"/>
  <c r="R46" i="9"/>
  <c r="J359" i="14"/>
  <c r="J214" i="14"/>
  <c r="J222" i="9"/>
  <c r="J46" i="9"/>
  <c r="X235" i="8"/>
  <c r="X214" i="14"/>
  <c r="X359" i="14"/>
  <c r="X222" i="9"/>
  <c r="X46" i="9"/>
  <c r="AC72" i="14"/>
  <c r="AC134" i="9"/>
  <c r="AC46" i="9"/>
  <c r="AC214" i="14"/>
  <c r="AC359" i="14"/>
  <c r="AC222" i="9"/>
  <c r="M214" i="14"/>
  <c r="M359" i="14"/>
  <c r="M222" i="9"/>
  <c r="M46" i="9"/>
  <c r="AG46" i="9"/>
  <c r="AG214" i="14"/>
  <c r="AG359" i="14"/>
  <c r="AG72" i="14"/>
  <c r="AG222" i="9"/>
  <c r="AG134" i="9"/>
  <c r="Y235" i="8"/>
  <c r="Y359" i="14"/>
  <c r="Y214" i="14"/>
  <c r="Y222" i="9"/>
  <c r="Y46" i="9"/>
  <c r="Q359" i="14"/>
  <c r="Q214" i="14"/>
  <c r="Q222" i="9"/>
  <c r="Q46" i="9"/>
  <c r="I235" i="8"/>
  <c r="I222" i="9"/>
  <c r="AC235" i="8"/>
  <c r="AG235" i="8"/>
  <c r="L235" i="8"/>
  <c r="M235" i="8"/>
  <c r="R235" i="8"/>
  <c r="AA235" i="8"/>
  <c r="AE235" i="8"/>
  <c r="J235" i="8"/>
  <c r="K235" i="8"/>
  <c r="U235" i="8"/>
  <c r="AF235" i="8"/>
  <c r="AD235" i="8"/>
  <c r="P235" i="8"/>
  <c r="Z235" i="8"/>
  <c r="Q235" i="8"/>
  <c r="AD54" i="8"/>
  <c r="AC54" i="8"/>
  <c r="H145" i="8"/>
  <c r="AG54" i="8"/>
  <c r="AF54" i="8"/>
  <c r="AE54" i="8"/>
  <c r="AC121" i="15"/>
  <c r="AC141" i="7"/>
  <c r="H141" i="7"/>
  <c r="AE51" i="7"/>
  <c r="AE141" i="7"/>
  <c r="AD51" i="7"/>
  <c r="AD141" i="7"/>
  <c r="AF51" i="7"/>
  <c r="AF141" i="7"/>
  <c r="AG141" i="7"/>
  <c r="AG51" i="7"/>
  <c r="Q239" i="15"/>
  <c r="G240" i="15" s="1"/>
  <c r="T111" i="15"/>
  <c r="AD229" i="15"/>
  <c r="I85" i="16"/>
  <c r="Z214" i="16"/>
  <c r="Z111" i="15"/>
  <c r="Z85" i="16"/>
  <c r="Z116" i="16"/>
  <c r="J116" i="16"/>
  <c r="J214" i="16"/>
  <c r="J85" i="16"/>
  <c r="J111" i="15"/>
  <c r="Y214" i="16"/>
  <c r="Y85" i="16"/>
  <c r="Y111" i="15"/>
  <c r="Y116" i="16"/>
  <c r="AF214" i="16"/>
  <c r="AF263" i="15"/>
  <c r="AF111" i="15"/>
  <c r="AF85" i="16"/>
  <c r="AF116" i="16"/>
  <c r="X214" i="16"/>
  <c r="X111" i="15"/>
  <c r="X85" i="16"/>
  <c r="X116" i="16"/>
  <c r="P116" i="16"/>
  <c r="P85" i="16"/>
  <c r="P214" i="16"/>
  <c r="P111" i="15"/>
  <c r="I116" i="16"/>
  <c r="I214" i="16"/>
  <c r="AE214" i="16"/>
  <c r="AE263" i="15"/>
  <c r="AE111" i="15"/>
  <c r="AE85" i="16"/>
  <c r="AE116" i="16"/>
  <c r="W214" i="16"/>
  <c r="W85" i="16"/>
  <c r="W111" i="15"/>
  <c r="W116" i="16"/>
  <c r="O116" i="16"/>
  <c r="O214" i="16"/>
  <c r="O85" i="16"/>
  <c r="O111" i="15"/>
  <c r="AD263" i="15"/>
  <c r="AD214" i="16"/>
  <c r="AD111" i="15"/>
  <c r="AD85" i="16"/>
  <c r="AD116" i="16"/>
  <c r="V116" i="16"/>
  <c r="V214" i="16"/>
  <c r="V85" i="16"/>
  <c r="V111" i="15"/>
  <c r="N116" i="16"/>
  <c r="N85" i="16"/>
  <c r="N214" i="16"/>
  <c r="N111" i="15"/>
  <c r="AG263" i="15"/>
  <c r="AG214" i="16"/>
  <c r="AG111" i="15"/>
  <c r="AG85" i="16"/>
  <c r="AG116" i="16"/>
  <c r="AC214" i="16"/>
  <c r="AC85" i="16"/>
  <c r="AC111" i="15"/>
  <c r="AC116" i="16"/>
  <c r="U214" i="16"/>
  <c r="U116" i="16"/>
  <c r="U85" i="16"/>
  <c r="U111" i="15"/>
  <c r="M116" i="16"/>
  <c r="M85" i="16"/>
  <c r="M111" i="15"/>
  <c r="M214" i="16"/>
  <c r="Q116" i="16"/>
  <c r="Q85" i="16"/>
  <c r="Q214" i="16"/>
  <c r="Q111" i="15"/>
  <c r="AB214" i="16"/>
  <c r="AB111" i="15"/>
  <c r="AB85" i="16"/>
  <c r="AB116" i="16"/>
  <c r="T116" i="16"/>
  <c r="T85" i="16"/>
  <c r="T214" i="16"/>
  <c r="L116" i="16"/>
  <c r="L85" i="16"/>
  <c r="L214" i="16"/>
  <c r="L111" i="15"/>
  <c r="R116" i="16"/>
  <c r="R85" i="16"/>
  <c r="R111" i="15"/>
  <c r="R214" i="16"/>
  <c r="AA214" i="16"/>
  <c r="AA111" i="15"/>
  <c r="AA85" i="16"/>
  <c r="AA116" i="16"/>
  <c r="S116" i="16"/>
  <c r="S214" i="16"/>
  <c r="S85" i="16"/>
  <c r="S111" i="15"/>
  <c r="K116" i="16"/>
  <c r="K111" i="15"/>
  <c r="K214" i="16"/>
  <c r="K85" i="16"/>
  <c r="T2" i="5"/>
  <c r="U2" i="5" s="1"/>
  <c r="V2" i="5" s="1"/>
  <c r="W2" i="5" s="1"/>
  <c r="X2" i="5" s="1"/>
  <c r="Y2" i="5" s="1"/>
  <c r="Z2" i="5" s="1"/>
  <c r="AA2" i="5" s="1"/>
  <c r="AB2" i="5" s="1"/>
  <c r="AC2" i="5" s="1"/>
  <c r="AD2" i="5" s="1"/>
  <c r="AE2" i="5" s="1"/>
  <c r="AF2" i="5" s="1"/>
  <c r="AG2" i="5" s="1"/>
  <c r="AH2" i="5" s="1"/>
  <c r="AI2" i="5" s="1"/>
  <c r="AJ2" i="5" s="1"/>
  <c r="AK2" i="5" s="1"/>
  <c r="AL2" i="5" s="1"/>
  <c r="AM2" i="5" s="1"/>
  <c r="AN2" i="5" s="1"/>
  <c r="I17" i="22" l="1"/>
  <c r="G107" i="15"/>
  <c r="G229" i="7"/>
  <c r="G267" i="7" s="1"/>
  <c r="G268" i="7" s="1"/>
  <c r="G715" i="16"/>
  <c r="G716" i="16" s="1"/>
  <c r="G449" i="16"/>
  <c r="G533" i="16" s="1"/>
  <c r="G549" i="15"/>
  <c r="G617" i="15" s="1"/>
  <c r="G867" i="15"/>
  <c r="G868" i="15" s="1"/>
  <c r="G184" i="16"/>
  <c r="G179" i="16"/>
  <c r="G81" i="16"/>
  <c r="G112" i="15"/>
  <c r="G122" i="15"/>
  <c r="G443" i="15"/>
  <c r="G68" i="14"/>
  <c r="G355" i="14"/>
  <c r="G236" i="8"/>
  <c r="G237" i="8" s="1"/>
  <c r="F49" i="11" s="1"/>
  <c r="G47" i="9"/>
  <c r="G360" i="14"/>
  <c r="G424" i="14" s="1"/>
  <c r="G215" i="14"/>
  <c r="G52" i="7"/>
  <c r="K2" i="15"/>
  <c r="I110" i="17"/>
  <c r="I103" i="17"/>
  <c r="I111" i="17" s="1"/>
  <c r="G877" i="15"/>
  <c r="G876" i="15"/>
  <c r="G559" i="15"/>
  <c r="G558" i="15"/>
  <c r="G241" i="15"/>
  <c r="O228" i="15"/>
  <c r="O229" i="15" s="1"/>
  <c r="G223" i="9"/>
  <c r="P50" i="17"/>
  <c r="P42" i="17"/>
  <c r="L44" i="17"/>
  <c r="L50" i="17"/>
  <c r="L42" i="17"/>
  <c r="R50" i="17"/>
  <c r="R42" i="17"/>
  <c r="Q50" i="17"/>
  <c r="Q42" i="17"/>
  <c r="K50" i="17"/>
  <c r="K42" i="17"/>
  <c r="S50" i="17"/>
  <c r="S42" i="17"/>
  <c r="M50" i="17"/>
  <c r="M42" i="17"/>
  <c r="I50" i="17"/>
  <c r="I42" i="17"/>
  <c r="O44" i="17"/>
  <c r="O50" i="17"/>
  <c r="O42" i="17"/>
  <c r="I44" i="17"/>
  <c r="P48" i="17"/>
  <c r="P44" i="17"/>
  <c r="Q48" i="17"/>
  <c r="Q44" i="17"/>
  <c r="R48" i="17"/>
  <c r="R44" i="17"/>
  <c r="K48" i="17"/>
  <c r="K44" i="17"/>
  <c r="S48" i="17"/>
  <c r="S44" i="17"/>
  <c r="M48" i="17"/>
  <c r="M44" i="17"/>
  <c r="O40" i="17"/>
  <c r="O48" i="17"/>
  <c r="L40" i="17"/>
  <c r="L48" i="17"/>
  <c r="I48" i="17"/>
  <c r="S40" i="17"/>
  <c r="M40" i="17"/>
  <c r="P40" i="17"/>
  <c r="Q40" i="17"/>
  <c r="R40" i="17"/>
  <c r="K40" i="17"/>
  <c r="R101" i="17"/>
  <c r="R109" i="17" s="1"/>
  <c r="R102" i="17"/>
  <c r="R110" i="17" s="1"/>
  <c r="R107" i="17"/>
  <c r="R115" i="17" s="1"/>
  <c r="R103" i="17"/>
  <c r="R111" i="17" s="1"/>
  <c r="R104" i="17"/>
  <c r="R112" i="17" s="1"/>
  <c r="R105" i="17"/>
  <c r="R113" i="17" s="1"/>
  <c r="R106" i="17"/>
  <c r="R114" i="17" s="1"/>
  <c r="S107" i="17"/>
  <c r="S115" i="17" s="1"/>
  <c r="S101" i="17"/>
  <c r="S109" i="17" s="1"/>
  <c r="S102" i="17"/>
  <c r="S110" i="17" s="1"/>
  <c r="S103" i="17"/>
  <c r="S111" i="17" s="1"/>
  <c r="S104" i="17"/>
  <c r="S112" i="17" s="1"/>
  <c r="S105" i="17"/>
  <c r="S113" i="17" s="1"/>
  <c r="S106" i="17"/>
  <c r="S114" i="17" s="1"/>
  <c r="P104" i="17"/>
  <c r="P112" i="17" s="1"/>
  <c r="P103" i="17"/>
  <c r="P111" i="17" s="1"/>
  <c r="P105" i="17"/>
  <c r="P113" i="17" s="1"/>
  <c r="P107" i="17"/>
  <c r="P115" i="17" s="1"/>
  <c r="P101" i="17"/>
  <c r="P109" i="17" s="1"/>
  <c r="P106" i="17"/>
  <c r="P114" i="17" s="1"/>
  <c r="P102" i="17"/>
  <c r="P110" i="17" s="1"/>
  <c r="N101" i="17"/>
  <c r="N109" i="17" s="1"/>
  <c r="N104" i="17"/>
  <c r="N112" i="17" s="1"/>
  <c r="N105" i="17"/>
  <c r="N113" i="17" s="1"/>
  <c r="N106" i="17"/>
  <c r="N114" i="17" s="1"/>
  <c r="N103" i="17"/>
  <c r="N111" i="17" s="1"/>
  <c r="N107" i="17"/>
  <c r="N115" i="17" s="1"/>
  <c r="N102" i="17"/>
  <c r="N110" i="17" s="1"/>
  <c r="O102" i="17"/>
  <c r="O110" i="17" s="1"/>
  <c r="O103" i="17"/>
  <c r="O111" i="17" s="1"/>
  <c r="O107" i="17"/>
  <c r="O115" i="17" s="1"/>
  <c r="O104" i="17"/>
  <c r="O112" i="17" s="1"/>
  <c r="O105" i="17"/>
  <c r="O113" i="17" s="1"/>
  <c r="O106" i="17"/>
  <c r="O114" i="17" s="1"/>
  <c r="O101" i="17"/>
  <c r="O109" i="17" s="1"/>
  <c r="T102" i="17"/>
  <c r="T110" i="17" s="1"/>
  <c r="T101" i="17"/>
  <c r="T109" i="17" s="1"/>
  <c r="T103" i="17"/>
  <c r="T111" i="17" s="1"/>
  <c r="T104" i="17"/>
  <c r="T112" i="17" s="1"/>
  <c r="T105" i="17"/>
  <c r="T113" i="17" s="1"/>
  <c r="T106" i="17"/>
  <c r="T114" i="17" s="1"/>
  <c r="T107" i="17"/>
  <c r="T115" i="17" s="1"/>
  <c r="Q101" i="17"/>
  <c r="Q109" i="17" s="1"/>
  <c r="Q102" i="17"/>
  <c r="Q110" i="17" s="1"/>
  <c r="Q103" i="17"/>
  <c r="Q111" i="17" s="1"/>
  <c r="Q104" i="17"/>
  <c r="Q112" i="17" s="1"/>
  <c r="Q105" i="17"/>
  <c r="Q113" i="17" s="1"/>
  <c r="Q106" i="17"/>
  <c r="Q114" i="17" s="1"/>
  <c r="Q107" i="17"/>
  <c r="Q115" i="17" s="1"/>
  <c r="K101" i="17"/>
  <c r="K109" i="17" s="1"/>
  <c r="K107" i="17"/>
  <c r="K115" i="17" s="1"/>
  <c r="K106" i="17"/>
  <c r="K114" i="17" s="1"/>
  <c r="K102" i="17"/>
  <c r="K110" i="17" s="1"/>
  <c r="K103" i="17"/>
  <c r="K111" i="17" s="1"/>
  <c r="K104" i="17"/>
  <c r="K112" i="17" s="1"/>
  <c r="K105" i="17"/>
  <c r="K113" i="17" s="1"/>
  <c r="I115" i="17"/>
  <c r="L101" i="17"/>
  <c r="L109" i="17" s="1"/>
  <c r="L107" i="17"/>
  <c r="L115" i="17" s="1"/>
  <c r="L106" i="17"/>
  <c r="L114" i="17" s="1"/>
  <c r="L102" i="17"/>
  <c r="L110" i="17" s="1"/>
  <c r="L103" i="17"/>
  <c r="L111" i="17" s="1"/>
  <c r="L104" i="17"/>
  <c r="L112" i="17" s="1"/>
  <c r="L105" i="17"/>
  <c r="L113" i="17" s="1"/>
  <c r="J101" i="17"/>
  <c r="J109" i="17" s="1"/>
  <c r="J105" i="17"/>
  <c r="J113" i="17" s="1"/>
  <c r="J106" i="17"/>
  <c r="J114" i="17" s="1"/>
  <c r="J107" i="17"/>
  <c r="J115" i="17" s="1"/>
  <c r="J104" i="17"/>
  <c r="J112" i="17" s="1"/>
  <c r="J102" i="17"/>
  <c r="J110" i="17" s="1"/>
  <c r="J103" i="17"/>
  <c r="J111" i="17" s="1"/>
  <c r="M101" i="17"/>
  <c r="M109" i="17" s="1"/>
  <c r="M106" i="17"/>
  <c r="M114" i="17" s="1"/>
  <c r="M107" i="17"/>
  <c r="M115" i="17" s="1"/>
  <c r="M102" i="17"/>
  <c r="M110" i="17" s="1"/>
  <c r="M105" i="17"/>
  <c r="M113" i="17" s="1"/>
  <c r="M103" i="17"/>
  <c r="M111" i="17" s="1"/>
  <c r="M104" i="17"/>
  <c r="M112" i="17" s="1"/>
  <c r="N33" i="17"/>
  <c r="J33" i="17"/>
  <c r="T33" i="17"/>
  <c r="G746" i="16"/>
  <c r="G747" i="16" s="1"/>
  <c r="G804" i="16" s="1"/>
  <c r="G86" i="16"/>
  <c r="G215" i="16"/>
  <c r="G117" i="16"/>
  <c r="G118" i="16" s="1"/>
  <c r="P45" i="8"/>
  <c r="V45" i="8"/>
  <c r="M45" i="8"/>
  <c r="Z45" i="8"/>
  <c r="X45" i="8"/>
  <c r="K45" i="8"/>
  <c r="U45" i="8"/>
  <c r="Q45" i="8"/>
  <c r="S45" i="8"/>
  <c r="W45" i="8"/>
  <c r="Y45" i="8"/>
  <c r="AA45" i="8"/>
  <c r="I45" i="8"/>
  <c r="N45" i="8"/>
  <c r="J45" i="8"/>
  <c r="L45" i="8"/>
  <c r="O45" i="8"/>
  <c r="R45" i="8"/>
  <c r="T45" i="8"/>
  <c r="AB45" i="8"/>
  <c r="I116" i="17" l="1"/>
  <c r="G224" i="9"/>
  <c r="G261" i="9"/>
  <c r="G262" i="9" s="1"/>
  <c r="G267" i="9" s="1"/>
  <c r="G953" i="15"/>
  <c r="I15" i="22"/>
  <c r="H19" i="22"/>
  <c r="I52" i="22" s="1"/>
  <c r="G226" i="15"/>
  <c r="I12" i="22"/>
  <c r="H20" i="22"/>
  <c r="I53" i="22" s="1"/>
  <c r="H21" i="22"/>
  <c r="I54" i="22" s="1"/>
  <c r="H16" i="22"/>
  <c r="I49" i="22" s="1"/>
  <c r="I14" i="22"/>
  <c r="I20" i="22"/>
  <c r="I19" i="22"/>
  <c r="I16" i="22"/>
  <c r="G82" i="16"/>
  <c r="G69" i="14"/>
  <c r="G268" i="16"/>
  <c r="G216" i="16"/>
  <c r="G273" i="16" s="1"/>
  <c r="G113" i="15"/>
  <c r="G87" i="16"/>
  <c r="F18" i="11" s="1"/>
  <c r="G90" i="7"/>
  <c r="G91" i="7" s="1"/>
  <c r="G48" i="9"/>
  <c r="K53" i="8"/>
  <c r="K54" i="8" s="1"/>
  <c r="AB53" i="8"/>
  <c r="AB54" i="8" s="1"/>
  <c r="AA53" i="8"/>
  <c r="AA54" i="8" s="1"/>
  <c r="Z53" i="8"/>
  <c r="Z54" i="8" s="1"/>
  <c r="N53" i="8"/>
  <c r="N54" i="8" s="1"/>
  <c r="I53" i="8"/>
  <c r="I54" i="8" s="1"/>
  <c r="T53" i="8"/>
  <c r="T54" i="8" s="1"/>
  <c r="Y53" i="8"/>
  <c r="Y54" i="8" s="1"/>
  <c r="M53" i="8"/>
  <c r="M54" i="8" s="1"/>
  <c r="R53" i="8"/>
  <c r="R54" i="8" s="1"/>
  <c r="W53" i="8"/>
  <c r="W54" i="8" s="1"/>
  <c r="V53" i="8"/>
  <c r="V54" i="8" s="1"/>
  <c r="O53" i="8"/>
  <c r="O54" i="8" s="1"/>
  <c r="S53" i="8"/>
  <c r="S54" i="8" s="1"/>
  <c r="P53" i="8"/>
  <c r="P54" i="8" s="1"/>
  <c r="X53" i="8"/>
  <c r="X54" i="8" s="1"/>
  <c r="L53" i="8"/>
  <c r="L54" i="8" s="1"/>
  <c r="Q53" i="8"/>
  <c r="Q54" i="8" s="1"/>
  <c r="J53" i="8"/>
  <c r="J54" i="8" s="1"/>
  <c r="U53" i="8"/>
  <c r="U54" i="8" s="1"/>
  <c r="G85" i="9"/>
  <c r="G86" i="9" s="1"/>
  <c r="G425" i="14"/>
  <c r="G216" i="14"/>
  <c r="G280" i="14"/>
  <c r="L2" i="15"/>
  <c r="G515" i="16"/>
  <c r="F56" i="11"/>
  <c r="G799" i="16"/>
  <c r="G550" i="15"/>
  <c r="G635" i="15"/>
  <c r="H35" i="17"/>
  <c r="P228" i="15"/>
  <c r="P229" i="15" s="1"/>
  <c r="T44" i="17"/>
  <c r="T50" i="17"/>
  <c r="T42" i="17"/>
  <c r="J44" i="17"/>
  <c r="J50" i="17"/>
  <c r="J42" i="17"/>
  <c r="N44" i="17"/>
  <c r="N50" i="17"/>
  <c r="N42" i="17"/>
  <c r="N40" i="17"/>
  <c r="N48" i="17"/>
  <c r="R51" i="17"/>
  <c r="R59" i="17" s="1"/>
  <c r="S51" i="17"/>
  <c r="S59" i="17" s="1"/>
  <c r="I51" i="17"/>
  <c r="I59" i="17" s="1"/>
  <c r="P51" i="17"/>
  <c r="P59" i="17" s="1"/>
  <c r="L51" i="17"/>
  <c r="L59" i="17" s="1"/>
  <c r="T40" i="17"/>
  <c r="T48" i="17"/>
  <c r="K51" i="17"/>
  <c r="K59" i="17" s="1"/>
  <c r="M51" i="17"/>
  <c r="M59" i="17" s="1"/>
  <c r="Q51" i="17"/>
  <c r="Q59" i="17" s="1"/>
  <c r="J40" i="17"/>
  <c r="J48" i="17"/>
  <c r="O51" i="17"/>
  <c r="O59" i="17" s="1"/>
  <c r="M116" i="17"/>
  <c r="N116" i="17"/>
  <c r="L116" i="17"/>
  <c r="J116" i="17"/>
  <c r="T116" i="17"/>
  <c r="Q116" i="17"/>
  <c r="O116" i="17"/>
  <c r="P116" i="17"/>
  <c r="K116" i="17"/>
  <c r="S116" i="17"/>
  <c r="R116" i="17"/>
  <c r="F50" i="11"/>
  <c r="G450" i="16"/>
  <c r="G781" i="16"/>
  <c r="G618" i="15"/>
  <c r="G935" i="15"/>
  <c r="G53" i="7"/>
  <c r="F11" i="11" s="1"/>
  <c r="G361" i="14"/>
  <c r="G274" i="8"/>
  <c r="I145" i="9"/>
  <c r="G230" i="7"/>
  <c r="F48" i="11" s="1"/>
  <c r="G185" i="16"/>
  <c r="G250" i="16"/>
  <c r="Q228" i="15"/>
  <c r="Q229" i="15" s="1"/>
  <c r="M75" i="22" l="1"/>
  <c r="G91" i="9"/>
  <c r="G55" i="8"/>
  <c r="F15" i="11"/>
  <c r="I60" i="17"/>
  <c r="G936" i="15"/>
  <c r="G516" i="16"/>
  <c r="G281" i="14"/>
  <c r="G782" i="16"/>
  <c r="G275" i="8"/>
  <c r="G251" i="16"/>
  <c r="M2" i="15"/>
  <c r="G117" i="17"/>
  <c r="G121" i="17" s="1"/>
  <c r="G314" i="15"/>
  <c r="G315" i="15" s="1"/>
  <c r="G796" i="16"/>
  <c r="G797" i="16" s="1"/>
  <c r="G265" i="16"/>
  <c r="G266" i="16" s="1"/>
  <c r="G530" i="16"/>
  <c r="G531" i="16" s="1"/>
  <c r="G950" i="15"/>
  <c r="G951" i="15" s="1"/>
  <c r="G632" i="15"/>
  <c r="G633" i="15" s="1"/>
  <c r="F37" i="11"/>
  <c r="O60" i="17"/>
  <c r="L60" i="17"/>
  <c r="P60" i="17"/>
  <c r="Q60" i="17"/>
  <c r="S60" i="17"/>
  <c r="M60" i="17"/>
  <c r="R60" i="17"/>
  <c r="K60" i="17"/>
  <c r="J51" i="17"/>
  <c r="J59" i="17" s="1"/>
  <c r="T51" i="17"/>
  <c r="T59" i="17" s="1"/>
  <c r="N51" i="17"/>
  <c r="N59" i="17" s="1"/>
  <c r="F32" i="11"/>
  <c r="F34" i="11"/>
  <c r="F53" i="11"/>
  <c r="F51" i="11"/>
  <c r="F19" i="11"/>
  <c r="F13" i="11"/>
  <c r="F97" i="22" s="1"/>
  <c r="R228" i="15"/>
  <c r="AG94" i="22" l="1"/>
  <c r="AN98" i="22"/>
  <c r="AG100" i="22"/>
  <c r="AG95" i="22"/>
  <c r="AN92" i="22"/>
  <c r="AG97" i="22"/>
  <c r="AN97" i="22"/>
  <c r="AG92" i="22"/>
  <c r="AG99" i="22"/>
  <c r="AN100" i="22"/>
  <c r="AN95" i="22"/>
  <c r="AG98" i="22"/>
  <c r="AG93" i="22"/>
  <c r="AN99" i="22"/>
  <c r="AN94" i="22"/>
  <c r="AN93" i="22"/>
  <c r="M74" i="22"/>
  <c r="M73" i="22"/>
  <c r="M72" i="22"/>
  <c r="F99" i="22"/>
  <c r="F94" i="22"/>
  <c r="F100" i="22"/>
  <c r="F95" i="22"/>
  <c r="F92" i="22"/>
  <c r="F98" i="22"/>
  <c r="F93" i="22"/>
  <c r="I13" i="22"/>
  <c r="G93" i="8"/>
  <c r="G94" i="8" s="1"/>
  <c r="G99" i="8" s="1"/>
  <c r="G56" i="8"/>
  <c r="F12" i="11" s="1"/>
  <c r="G431" i="14"/>
  <c r="G280" i="8"/>
  <c r="G942" i="15"/>
  <c r="G788" i="16"/>
  <c r="G257" i="16"/>
  <c r="N2" i="15"/>
  <c r="N60" i="17"/>
  <c r="T60" i="17"/>
  <c r="J60" i="17"/>
  <c r="R229" i="15"/>
  <c r="S228" i="15"/>
  <c r="J86" i="22" l="1"/>
  <c r="J81" i="22"/>
  <c r="F86" i="22"/>
  <c r="F81" i="22"/>
  <c r="J85" i="22"/>
  <c r="J80" i="22"/>
  <c r="J87" i="22"/>
  <c r="F80" i="22"/>
  <c r="F87" i="22"/>
  <c r="F82" i="22"/>
  <c r="J84" i="22"/>
  <c r="J79" i="22"/>
  <c r="F79" i="22"/>
  <c r="J82" i="22"/>
  <c r="F85" i="22"/>
  <c r="G61" i="17"/>
  <c r="G62" i="17" s="1"/>
  <c r="O2" i="15"/>
  <c r="S229" i="15"/>
  <c r="G230" i="15" l="1"/>
  <c r="G231" i="15" s="1"/>
  <c r="H17" i="22"/>
  <c r="I50" i="22" s="1"/>
  <c r="H18" i="22"/>
  <c r="I51" i="22" s="1"/>
  <c r="G317" i="15"/>
  <c r="P2" i="15"/>
  <c r="G269" i="16"/>
  <c r="G800" i="16"/>
  <c r="G801" i="16" s="1"/>
  <c r="G802" i="16" s="1"/>
  <c r="F57" i="11" s="1"/>
  <c r="G954" i="15"/>
  <c r="G955" i="15" s="1"/>
  <c r="G956" i="15" s="1"/>
  <c r="F54" i="11" s="1"/>
  <c r="G318" i="15"/>
  <c r="G534" i="16"/>
  <c r="G535" i="16" s="1"/>
  <c r="G536" i="16" s="1"/>
  <c r="F38" i="11" s="1"/>
  <c r="G636" i="15"/>
  <c r="G637" i="15" s="1"/>
  <c r="G638" i="15" s="1"/>
  <c r="F35" i="11" s="1"/>
  <c r="AN293" i="16"/>
  <c r="S293" i="16"/>
  <c r="AK293" i="16"/>
  <c r="X293" i="16"/>
  <c r="Q293" i="16"/>
  <c r="AB293" i="16"/>
  <c r="L293" i="16"/>
  <c r="AG293" i="16"/>
  <c r="K293" i="16"/>
  <c r="U293" i="16"/>
  <c r="V293" i="16"/>
  <c r="AI293" i="16"/>
  <c r="Q589" i="15"/>
  <c r="Q470" i="15"/>
  <c r="Q418" i="15"/>
  <c r="I18" i="22" l="1"/>
  <c r="I21" i="22"/>
  <c r="G319" i="15"/>
  <c r="G270" i="16"/>
  <c r="G271" i="16" s="1"/>
  <c r="F20" i="11" s="1"/>
  <c r="Q2" i="15"/>
  <c r="AI321" i="16"/>
  <c r="AI328" i="16"/>
  <c r="V321" i="16"/>
  <c r="V328" i="16"/>
  <c r="AK321" i="16"/>
  <c r="AK328" i="16"/>
  <c r="X321" i="16"/>
  <c r="X328" i="16"/>
  <c r="U321" i="16"/>
  <c r="U328" i="16"/>
  <c r="S321" i="16"/>
  <c r="S328" i="16"/>
  <c r="Q321" i="16"/>
  <c r="Q328" i="16"/>
  <c r="AN321" i="16"/>
  <c r="AN328" i="16"/>
  <c r="L321" i="16"/>
  <c r="L328" i="16"/>
  <c r="K321" i="16"/>
  <c r="K328" i="16"/>
  <c r="AG321" i="16"/>
  <c r="AG328" i="16"/>
  <c r="AB321" i="16"/>
  <c r="AB328" i="16"/>
  <c r="Q325" i="16"/>
  <c r="Q329" i="16"/>
  <c r="AI325" i="16"/>
  <c r="AI329" i="16"/>
  <c r="X325" i="16"/>
  <c r="X329" i="16"/>
  <c r="K325" i="16"/>
  <c r="K329" i="16"/>
  <c r="V325" i="16"/>
  <c r="V329" i="16"/>
  <c r="AK325" i="16"/>
  <c r="AK329" i="16"/>
  <c r="AB325" i="16"/>
  <c r="AB329" i="16"/>
  <c r="U325" i="16"/>
  <c r="U329" i="16"/>
  <c r="S325" i="16"/>
  <c r="S329" i="16"/>
  <c r="AG325" i="16"/>
  <c r="AG329" i="16"/>
  <c r="AN325" i="16"/>
  <c r="AN329" i="16"/>
  <c r="L325" i="16"/>
  <c r="L329" i="16"/>
  <c r="Q330" i="16"/>
  <c r="V330" i="16"/>
  <c r="U330" i="16"/>
  <c r="AB330" i="16"/>
  <c r="AI330" i="16"/>
  <c r="X330" i="16"/>
  <c r="AK330" i="16"/>
  <c r="K330" i="16"/>
  <c r="S330" i="16"/>
  <c r="AG330" i="16"/>
  <c r="AN330" i="16"/>
  <c r="L330" i="16"/>
  <c r="AB597" i="16"/>
  <c r="AB370" i="16"/>
  <c r="Q597" i="16"/>
  <c r="Q370" i="16"/>
  <c r="AI597" i="16"/>
  <c r="AI370" i="16"/>
  <c r="V597" i="16"/>
  <c r="V370" i="16"/>
  <c r="AK597" i="16"/>
  <c r="AK370" i="16"/>
  <c r="X597" i="16"/>
  <c r="X370" i="16"/>
  <c r="U597" i="16"/>
  <c r="U370" i="16"/>
  <c r="K597" i="16"/>
  <c r="K370" i="16"/>
  <c r="S597" i="16"/>
  <c r="S370" i="16"/>
  <c r="AG597" i="16"/>
  <c r="AG370" i="16"/>
  <c r="AN597" i="16"/>
  <c r="AN370" i="16"/>
  <c r="L597" i="16"/>
  <c r="L370" i="16"/>
  <c r="AJ308" i="16"/>
  <c r="AJ311" i="16" s="1"/>
  <c r="T308" i="16"/>
  <c r="T311" i="16" s="1"/>
  <c r="AO308" i="16"/>
  <c r="O293" i="16"/>
  <c r="AM293" i="16"/>
  <c r="R293" i="16"/>
  <c r="AM308" i="16"/>
  <c r="AM311" i="16" s="1"/>
  <c r="P293" i="16"/>
  <c r="S308" i="16"/>
  <c r="S311" i="16" s="1"/>
  <c r="J308" i="16"/>
  <c r="J311" i="16" s="1"/>
  <c r="AE293" i="16"/>
  <c r="M308" i="16"/>
  <c r="M311" i="16" s="1"/>
  <c r="AF293" i="16"/>
  <c r="AD293" i="16"/>
  <c r="Y293" i="16"/>
  <c r="N293" i="16"/>
  <c r="AC293" i="16"/>
  <c r="AG308" i="16"/>
  <c r="AG311" i="16" s="1"/>
  <c r="M293" i="16"/>
  <c r="X308" i="16"/>
  <c r="X311" i="16" s="1"/>
  <c r="J293" i="16"/>
  <c r="W293" i="16"/>
  <c r="AJ293" i="16"/>
  <c r="Z293" i="16"/>
  <c r="AH293" i="16"/>
  <c r="I308" i="16"/>
  <c r="I311" i="16" s="1"/>
  <c r="AA293" i="16"/>
  <c r="T293" i="16"/>
  <c r="AL308" i="16"/>
  <c r="AL311" i="16" s="1"/>
  <c r="AL293" i="16"/>
  <c r="AN308" i="16"/>
  <c r="AN311" i="16" s="1"/>
  <c r="AG788" i="15"/>
  <c r="AG907" i="15"/>
  <c r="AG736" i="15"/>
  <c r="N907" i="15"/>
  <c r="N736" i="15"/>
  <c r="N788" i="15"/>
  <c r="P907" i="15"/>
  <c r="P788" i="15"/>
  <c r="P736" i="15"/>
  <c r="J907" i="15"/>
  <c r="J788" i="15"/>
  <c r="J736" i="15"/>
  <c r="L907" i="15"/>
  <c r="L788" i="15"/>
  <c r="L736" i="15"/>
  <c r="AL907" i="15"/>
  <c r="AL736" i="15"/>
  <c r="AL788" i="15"/>
  <c r="S907" i="15"/>
  <c r="S788" i="15"/>
  <c r="S736" i="15"/>
  <c r="K907" i="15"/>
  <c r="K788" i="15"/>
  <c r="K736" i="15"/>
  <c r="O907" i="15"/>
  <c r="O788" i="15"/>
  <c r="O736" i="15"/>
  <c r="Q788" i="15"/>
  <c r="Q907" i="15"/>
  <c r="Q736" i="15"/>
  <c r="R907" i="15"/>
  <c r="R788" i="15"/>
  <c r="R736" i="15"/>
  <c r="I788" i="15"/>
  <c r="AH907" i="15"/>
  <c r="AH788" i="15"/>
  <c r="AH736" i="15"/>
  <c r="M907" i="15"/>
  <c r="M788" i="15"/>
  <c r="M736" i="15"/>
  <c r="L373" i="15"/>
  <c r="L380" i="15" s="1"/>
  <c r="N373" i="15"/>
  <c r="N380" i="15" s="1"/>
  <c r="S373" i="15"/>
  <c r="S380" i="15" s="1"/>
  <c r="R373" i="15"/>
  <c r="R380" i="15" s="1"/>
  <c r="AL589" i="15"/>
  <c r="AL470" i="15"/>
  <c r="AL418" i="15"/>
  <c r="K399" i="15"/>
  <c r="K406" i="15" s="1"/>
  <c r="K447" i="15"/>
  <c r="Q373" i="15"/>
  <c r="Q380" i="15" s="1"/>
  <c r="M447" i="15"/>
  <c r="M399" i="15"/>
  <c r="M406" i="15" s="1"/>
  <c r="L589" i="15"/>
  <c r="L470" i="15"/>
  <c r="L418" i="15"/>
  <c r="J373" i="15"/>
  <c r="J380" i="15" s="1"/>
  <c r="O589" i="15"/>
  <c r="O470" i="15"/>
  <c r="O418" i="15"/>
  <c r="I373" i="15"/>
  <c r="I380" i="15" s="1"/>
  <c r="K589" i="15"/>
  <c r="K470" i="15"/>
  <c r="K418" i="15"/>
  <c r="M373" i="15"/>
  <c r="M380" i="15" s="1"/>
  <c r="N447" i="15"/>
  <c r="N399" i="15"/>
  <c r="N406" i="15" s="1"/>
  <c r="J589" i="15"/>
  <c r="J470" i="15"/>
  <c r="J418" i="15"/>
  <c r="O373" i="15"/>
  <c r="O380" i="15" s="1"/>
  <c r="I399" i="15"/>
  <c r="I406" i="15" s="1"/>
  <c r="K373" i="15"/>
  <c r="K380" i="15" s="1"/>
  <c r="N589" i="15"/>
  <c r="N470" i="15"/>
  <c r="N418" i="15"/>
  <c r="M589" i="15"/>
  <c r="M470" i="15"/>
  <c r="M418" i="15"/>
  <c r="P589" i="15"/>
  <c r="P470" i="15"/>
  <c r="P418" i="15"/>
  <c r="S589" i="15"/>
  <c r="S470" i="15"/>
  <c r="S418" i="15"/>
  <c r="P373" i="15"/>
  <c r="P380" i="15" s="1"/>
  <c r="R589" i="15"/>
  <c r="R470" i="15"/>
  <c r="R418" i="15"/>
  <c r="G320" i="15" l="1"/>
  <c r="I312" i="16"/>
  <c r="AO311" i="16"/>
  <c r="J312" i="16"/>
  <c r="K699" i="15"/>
  <c r="L699" i="15"/>
  <c r="I699" i="15"/>
  <c r="Q699" i="15"/>
  <c r="S699" i="15"/>
  <c r="O699" i="15"/>
  <c r="M699" i="15"/>
  <c r="J699" i="15"/>
  <c r="R699" i="15"/>
  <c r="N699" i="15"/>
  <c r="P699" i="15"/>
  <c r="I381" i="15"/>
  <c r="J381" i="15"/>
  <c r="S381" i="15"/>
  <c r="Q381" i="15"/>
  <c r="R381" i="15"/>
  <c r="M381" i="15"/>
  <c r="N381" i="15"/>
  <c r="O381" i="15"/>
  <c r="K381" i="15"/>
  <c r="P381" i="15"/>
  <c r="L381" i="15"/>
  <c r="R2" i="15"/>
  <c r="AC321" i="16"/>
  <c r="AC328" i="16"/>
  <c r="AL321" i="16"/>
  <c r="AL328" i="16"/>
  <c r="AA321" i="16"/>
  <c r="AA328" i="16"/>
  <c r="O321" i="16"/>
  <c r="O328" i="16"/>
  <c r="M321" i="16"/>
  <c r="M328" i="16"/>
  <c r="AE321" i="16"/>
  <c r="AE328" i="16"/>
  <c r="Y321" i="16"/>
  <c r="Y328" i="16"/>
  <c r="AH321" i="16"/>
  <c r="AH328" i="16"/>
  <c r="X331" i="16"/>
  <c r="AJ321" i="16"/>
  <c r="AJ328" i="16"/>
  <c r="N321" i="16"/>
  <c r="N328" i="16"/>
  <c r="P321" i="16"/>
  <c r="P328" i="16"/>
  <c r="J321" i="16"/>
  <c r="J328" i="16"/>
  <c r="AD321" i="16"/>
  <c r="AD328" i="16"/>
  <c r="R321" i="16"/>
  <c r="R328" i="16"/>
  <c r="Z321" i="16"/>
  <c r="Z328" i="16"/>
  <c r="W321" i="16"/>
  <c r="W328" i="16"/>
  <c r="T321" i="16"/>
  <c r="T328" i="16"/>
  <c r="AF321" i="16"/>
  <c r="AF328" i="16"/>
  <c r="AM321" i="16"/>
  <c r="AM328" i="16"/>
  <c r="AK331" i="16"/>
  <c r="Q331" i="16"/>
  <c r="AI331" i="16"/>
  <c r="K331" i="16"/>
  <c r="AB331" i="16"/>
  <c r="AN331" i="16"/>
  <c r="S331" i="16"/>
  <c r="AJ325" i="16"/>
  <c r="AJ329" i="16"/>
  <c r="N325" i="16"/>
  <c r="N329" i="16"/>
  <c r="P325" i="16"/>
  <c r="P329" i="16"/>
  <c r="AL325" i="16"/>
  <c r="AL329" i="16"/>
  <c r="W325" i="16"/>
  <c r="W329" i="16"/>
  <c r="Y325" i="16"/>
  <c r="Y329" i="16"/>
  <c r="AC325" i="16"/>
  <c r="AC329" i="16"/>
  <c r="AD325" i="16"/>
  <c r="AD329" i="16"/>
  <c r="L331" i="16"/>
  <c r="T325" i="16"/>
  <c r="T329" i="16"/>
  <c r="AF325" i="16"/>
  <c r="AF329" i="16"/>
  <c r="AM325" i="16"/>
  <c r="AM329" i="16"/>
  <c r="U331" i="16"/>
  <c r="AH325" i="16"/>
  <c r="AH329" i="16"/>
  <c r="R325" i="16"/>
  <c r="R329" i="16"/>
  <c r="AA325" i="16"/>
  <c r="AA329" i="16"/>
  <c r="O325" i="16"/>
  <c r="O329" i="16"/>
  <c r="AG331" i="16"/>
  <c r="V331" i="16"/>
  <c r="Z325" i="16"/>
  <c r="Z329" i="16"/>
  <c r="J325" i="16"/>
  <c r="J329" i="16"/>
  <c r="M325" i="16"/>
  <c r="M329" i="16"/>
  <c r="AE325" i="16"/>
  <c r="AE329" i="16"/>
  <c r="AH330" i="16"/>
  <c r="AA330" i="16"/>
  <c r="O330" i="16"/>
  <c r="M330" i="16"/>
  <c r="AE330" i="16"/>
  <c r="AJ330" i="16"/>
  <c r="N330" i="16"/>
  <c r="P330" i="16"/>
  <c r="AL330" i="16"/>
  <c r="W330" i="16"/>
  <c r="Y330" i="16"/>
  <c r="AC330" i="16"/>
  <c r="J330" i="16"/>
  <c r="AD330" i="16"/>
  <c r="R330" i="16"/>
  <c r="Z330" i="16"/>
  <c r="T330" i="16"/>
  <c r="AF330" i="16"/>
  <c r="AM330" i="16"/>
  <c r="G366" i="16"/>
  <c r="AA597" i="16"/>
  <c r="AA370" i="16"/>
  <c r="O597" i="16"/>
  <c r="O370" i="16"/>
  <c r="AN374" i="16"/>
  <c r="AN382" i="16" s="1"/>
  <c r="AN375" i="16"/>
  <c r="AN383" i="16" s="1"/>
  <c r="AN372" i="16"/>
  <c r="AN380" i="16" s="1"/>
  <c r="AN376" i="16"/>
  <c r="AN384" i="16" s="1"/>
  <c r="AN377" i="16"/>
  <c r="AN385" i="16" s="1"/>
  <c r="AN378" i="16"/>
  <c r="AN386" i="16" s="1"/>
  <c r="AI372" i="16"/>
  <c r="AI380" i="16" s="1"/>
  <c r="AI374" i="16"/>
  <c r="AI382" i="16" s="1"/>
  <c r="AI375" i="16"/>
  <c r="AI383" i="16" s="1"/>
  <c r="AI376" i="16"/>
  <c r="AI384" i="16" s="1"/>
  <c r="AI378" i="16"/>
  <c r="AI386" i="16" s="1"/>
  <c r="AI377" i="16"/>
  <c r="AI385" i="16" s="1"/>
  <c r="M370" i="16"/>
  <c r="M597" i="16"/>
  <c r="AE597" i="16"/>
  <c r="AE370" i="16"/>
  <c r="K372" i="16"/>
  <c r="K380" i="16" s="1"/>
  <c r="K374" i="16"/>
  <c r="K382" i="16" s="1"/>
  <c r="K375" i="16"/>
  <c r="K383" i="16" s="1"/>
  <c r="K376" i="16"/>
  <c r="K384" i="16" s="1"/>
  <c r="K377" i="16"/>
  <c r="K385" i="16" s="1"/>
  <c r="K378" i="16"/>
  <c r="K386" i="16" s="1"/>
  <c r="AH597" i="16"/>
  <c r="AH370" i="16"/>
  <c r="AK374" i="16"/>
  <c r="AK382" i="16" s="1"/>
  <c r="AK375" i="16"/>
  <c r="AK383" i="16" s="1"/>
  <c r="AK372" i="16"/>
  <c r="AK380" i="16" s="1"/>
  <c r="AK376" i="16"/>
  <c r="AK384" i="16" s="1"/>
  <c r="AK377" i="16"/>
  <c r="AK385" i="16" s="1"/>
  <c r="AK378" i="16"/>
  <c r="AK386" i="16" s="1"/>
  <c r="Z597" i="16"/>
  <c r="Z370" i="16"/>
  <c r="AC370" i="16"/>
  <c r="AC597" i="16"/>
  <c r="AG377" i="16"/>
  <c r="AG385" i="16" s="1"/>
  <c r="AG378" i="16"/>
  <c r="AG386" i="16" s="1"/>
  <c r="AG376" i="16"/>
  <c r="AG384" i="16" s="1"/>
  <c r="AG375" i="16"/>
  <c r="AG383" i="16" s="1"/>
  <c r="AG374" i="16"/>
  <c r="AG382" i="16" s="1"/>
  <c r="AG372" i="16"/>
  <c r="AG380" i="16" s="1"/>
  <c r="Q377" i="16"/>
  <c r="Q385" i="16" s="1"/>
  <c r="Q378" i="16"/>
  <c r="Q386" i="16" s="1"/>
  <c r="Q376" i="16"/>
  <c r="Q384" i="16" s="1"/>
  <c r="Q375" i="16"/>
  <c r="Q383" i="16" s="1"/>
  <c r="Q372" i="16"/>
  <c r="Q380" i="16" s="1"/>
  <c r="Q374" i="16"/>
  <c r="Q382" i="16" s="1"/>
  <c r="AJ597" i="16"/>
  <c r="AJ370" i="16"/>
  <c r="N597" i="16"/>
  <c r="N370" i="16"/>
  <c r="P597" i="16"/>
  <c r="P370" i="16"/>
  <c r="U375" i="16"/>
  <c r="U383" i="16" s="1"/>
  <c r="U376" i="16"/>
  <c r="U384" i="16" s="1"/>
  <c r="U372" i="16"/>
  <c r="U380" i="16" s="1"/>
  <c r="U377" i="16"/>
  <c r="U385" i="16" s="1"/>
  <c r="U378" i="16"/>
  <c r="U386" i="16" s="1"/>
  <c r="U374" i="16"/>
  <c r="U382" i="16" s="1"/>
  <c r="AL597" i="16"/>
  <c r="AL370" i="16"/>
  <c r="W597" i="16"/>
  <c r="W370" i="16"/>
  <c r="Y597" i="16"/>
  <c r="Y370" i="16"/>
  <c r="L375" i="16"/>
  <c r="L383" i="16" s="1"/>
  <c r="L376" i="16"/>
  <c r="L384" i="16" s="1"/>
  <c r="L372" i="16"/>
  <c r="L380" i="16" s="1"/>
  <c r="L374" i="16"/>
  <c r="L382" i="16" s="1"/>
  <c r="L377" i="16"/>
  <c r="L385" i="16" s="1"/>
  <c r="L378" i="16"/>
  <c r="L386" i="16" s="1"/>
  <c r="V372" i="16"/>
  <c r="V380" i="16" s="1"/>
  <c r="V374" i="16"/>
  <c r="V382" i="16" s="1"/>
  <c r="V375" i="16"/>
  <c r="V383" i="16" s="1"/>
  <c r="V376" i="16"/>
  <c r="V384" i="16" s="1"/>
  <c r="V377" i="16"/>
  <c r="V385" i="16" s="1"/>
  <c r="V378" i="16"/>
  <c r="V386" i="16" s="1"/>
  <c r="J597" i="16"/>
  <c r="J370" i="16"/>
  <c r="AD370" i="16"/>
  <c r="AD597" i="16"/>
  <c r="R597" i="16"/>
  <c r="R370" i="16"/>
  <c r="S372" i="16"/>
  <c r="S380" i="16" s="1"/>
  <c r="S374" i="16"/>
  <c r="S382" i="16" s="1"/>
  <c r="S375" i="16"/>
  <c r="S383" i="16" s="1"/>
  <c r="S376" i="16"/>
  <c r="S384" i="16" s="1"/>
  <c r="S377" i="16"/>
  <c r="S385" i="16" s="1"/>
  <c r="S378" i="16"/>
  <c r="S386" i="16" s="1"/>
  <c r="AB374" i="16"/>
  <c r="AB382" i="16" s="1"/>
  <c r="AB375" i="16"/>
  <c r="AB383" i="16" s="1"/>
  <c r="AB372" i="16"/>
  <c r="AB380" i="16" s="1"/>
  <c r="AB376" i="16"/>
  <c r="AB384" i="16" s="1"/>
  <c r="AB377" i="16"/>
  <c r="AB385" i="16" s="1"/>
  <c r="AB378" i="16"/>
  <c r="AB386" i="16" s="1"/>
  <c r="T597" i="16"/>
  <c r="T370" i="16"/>
  <c r="AF597" i="16"/>
  <c r="AF370" i="16"/>
  <c r="AM597" i="16"/>
  <c r="AM370" i="16"/>
  <c r="X374" i="16"/>
  <c r="X382" i="16" s="1"/>
  <c r="X375" i="16"/>
  <c r="X383" i="16" s="1"/>
  <c r="X372" i="16"/>
  <c r="X380" i="16" s="1"/>
  <c r="X376" i="16"/>
  <c r="X384" i="16" s="1"/>
  <c r="X377" i="16"/>
  <c r="X385" i="16" s="1"/>
  <c r="X378" i="16"/>
  <c r="X386" i="16" s="1"/>
  <c r="K308" i="16"/>
  <c r="W308" i="16"/>
  <c r="W311" i="16" s="1"/>
  <c r="AD308" i="16"/>
  <c r="AD311" i="16" s="1"/>
  <c r="AB308" i="16"/>
  <c r="N308" i="16"/>
  <c r="N311" i="16" s="1"/>
  <c r="AK308" i="16"/>
  <c r="AI308" i="16"/>
  <c r="V308" i="16"/>
  <c r="V311" i="16" s="1"/>
  <c r="R308" i="16"/>
  <c r="R311" i="16" s="1"/>
  <c r="Z308" i="16"/>
  <c r="Z311" i="16" s="1"/>
  <c r="AH308" i="16"/>
  <c r="AH311" i="16" s="1"/>
  <c r="U308" i="16"/>
  <c r="AA308" i="16"/>
  <c r="AA311" i="16" s="1"/>
  <c r="AF308" i="16"/>
  <c r="AF311" i="16" s="1"/>
  <c r="Q308" i="16"/>
  <c r="L308" i="16"/>
  <c r="Y308" i="16"/>
  <c r="Y311" i="16" s="1"/>
  <c r="P308" i="16"/>
  <c r="P311" i="16" s="1"/>
  <c r="O308" i="16"/>
  <c r="O311" i="16" s="1"/>
  <c r="AC308" i="16"/>
  <c r="AC311" i="16" s="1"/>
  <c r="AE308" i="16"/>
  <c r="AE311" i="16" s="1"/>
  <c r="AL743" i="15"/>
  <c r="J743" i="15"/>
  <c r="K743" i="15"/>
  <c r="AJ907" i="15"/>
  <c r="AJ788" i="15"/>
  <c r="AJ736" i="15"/>
  <c r="V907" i="15"/>
  <c r="V736" i="15"/>
  <c r="V788" i="15"/>
  <c r="AD907" i="15"/>
  <c r="AD736" i="15"/>
  <c r="AD788" i="15"/>
  <c r="AB907" i="15"/>
  <c r="AB788" i="15"/>
  <c r="AB736" i="15"/>
  <c r="AG743" i="15"/>
  <c r="AI907" i="15"/>
  <c r="AI788" i="15"/>
  <c r="AI736" i="15"/>
  <c r="X907" i="15"/>
  <c r="X788" i="15"/>
  <c r="X736" i="15"/>
  <c r="AE907" i="15"/>
  <c r="AE788" i="15"/>
  <c r="AE736" i="15"/>
  <c r="Q743" i="15"/>
  <c r="P743" i="15"/>
  <c r="N743" i="15"/>
  <c r="Z907" i="15"/>
  <c r="Z788" i="15"/>
  <c r="Z736" i="15"/>
  <c r="AA907" i="15"/>
  <c r="AA788" i="15"/>
  <c r="AA736" i="15"/>
  <c r="Y788" i="15"/>
  <c r="Y907" i="15"/>
  <c r="Y736" i="15"/>
  <c r="AC907" i="15"/>
  <c r="AC788" i="15"/>
  <c r="AC736" i="15"/>
  <c r="AC743" i="15" s="1"/>
  <c r="AK907" i="15"/>
  <c r="AK788" i="15"/>
  <c r="AK736" i="15"/>
  <c r="U907" i="15"/>
  <c r="U788" i="15"/>
  <c r="U736" i="15"/>
  <c r="AF907" i="15"/>
  <c r="AF788" i="15"/>
  <c r="AF736" i="15"/>
  <c r="T907" i="15"/>
  <c r="T788" i="15"/>
  <c r="T736" i="15"/>
  <c r="M743" i="15"/>
  <c r="R743" i="15"/>
  <c r="O743" i="15"/>
  <c r="W907" i="15"/>
  <c r="W788" i="15"/>
  <c r="W736" i="15"/>
  <c r="AH743" i="15"/>
  <c r="S743" i="15"/>
  <c r="L743" i="15"/>
  <c r="AA373" i="15"/>
  <c r="AA380" i="15" s="1"/>
  <c r="W373" i="15"/>
  <c r="W380" i="15" s="1"/>
  <c r="AN589" i="15"/>
  <c r="AN470" i="15"/>
  <c r="AN418" i="15"/>
  <c r="X447" i="15"/>
  <c r="X399" i="15"/>
  <c r="X406" i="15" s="1"/>
  <c r="AB589" i="15"/>
  <c r="AB470" i="15"/>
  <c r="AB418" i="15"/>
  <c r="Q399" i="15"/>
  <c r="Q406" i="15" s="1"/>
  <c r="Q447" i="15"/>
  <c r="T589" i="15"/>
  <c r="T470" i="15"/>
  <c r="T418" i="15"/>
  <c r="AE373" i="15"/>
  <c r="AE380" i="15" s="1"/>
  <c r="AH373" i="15"/>
  <c r="AH380" i="15" s="1"/>
  <c r="Z373" i="15"/>
  <c r="Z380" i="15" s="1"/>
  <c r="P447" i="15"/>
  <c r="P399" i="15"/>
  <c r="P406" i="15" s="1"/>
  <c r="AG373" i="15"/>
  <c r="AG380" i="15" s="1"/>
  <c r="AH589" i="15"/>
  <c r="AH470" i="15"/>
  <c r="AH418" i="15"/>
  <c r="R399" i="15"/>
  <c r="R406" i="15" s="1"/>
  <c r="R447" i="15"/>
  <c r="U589" i="15"/>
  <c r="U470" i="15"/>
  <c r="U418" i="15"/>
  <c r="AL373" i="15"/>
  <c r="AL380" i="15" s="1"/>
  <c r="Y373" i="15"/>
  <c r="Y380" i="15" s="1"/>
  <c r="V589" i="15"/>
  <c r="V470" i="15"/>
  <c r="V418" i="15"/>
  <c r="AD589" i="15"/>
  <c r="AD470" i="15"/>
  <c r="AD418" i="15"/>
  <c r="Y589" i="15"/>
  <c r="Y470" i="15"/>
  <c r="Y418" i="15"/>
  <c r="O399" i="15"/>
  <c r="O406" i="15" s="1"/>
  <c r="O447" i="15"/>
  <c r="T373" i="15"/>
  <c r="T380" i="15" s="1"/>
  <c r="T381" i="15" s="1"/>
  <c r="AE589" i="15"/>
  <c r="AE470" i="15"/>
  <c r="AE418" i="15"/>
  <c r="T447" i="15"/>
  <c r="T399" i="15"/>
  <c r="T406" i="15" s="1"/>
  <c r="Z589" i="15"/>
  <c r="Z470" i="15"/>
  <c r="Z418" i="15"/>
  <c r="X373" i="15"/>
  <c r="X380" i="15" s="1"/>
  <c r="AC373" i="15"/>
  <c r="AC380" i="15" s="1"/>
  <c r="W589" i="15"/>
  <c r="W470" i="15"/>
  <c r="W418" i="15"/>
  <c r="AD373" i="15"/>
  <c r="AD380" i="15" s="1"/>
  <c r="AF373" i="15"/>
  <c r="AF380" i="15" s="1"/>
  <c r="AB373" i="15"/>
  <c r="AB380" i="15" s="1"/>
  <c r="X589" i="15"/>
  <c r="X470" i="15"/>
  <c r="X418" i="15"/>
  <c r="AC589" i="15"/>
  <c r="AC470" i="15"/>
  <c r="AC418" i="15"/>
  <c r="L447" i="15"/>
  <c r="L399" i="15"/>
  <c r="L406" i="15" s="1"/>
  <c r="AA589" i="15"/>
  <c r="AA470" i="15"/>
  <c r="AA418" i="15"/>
  <c r="U373" i="15"/>
  <c r="U380" i="15" s="1"/>
  <c r="AG589" i="15"/>
  <c r="AG470" i="15"/>
  <c r="AG418" i="15"/>
  <c r="AI589" i="15"/>
  <c r="AI470" i="15"/>
  <c r="AI418" i="15"/>
  <c r="J399" i="15"/>
  <c r="J406" i="15" s="1"/>
  <c r="J447" i="15"/>
  <c r="V373" i="15"/>
  <c r="V380" i="15" s="1"/>
  <c r="AJ589" i="15"/>
  <c r="AJ470" i="15"/>
  <c r="AJ418" i="15"/>
  <c r="AI373" i="15"/>
  <c r="AI380" i="15" s="1"/>
  <c r="U447" i="15"/>
  <c r="U399" i="15"/>
  <c r="U406" i="15" s="1"/>
  <c r="AF589" i="15"/>
  <c r="AF470" i="15"/>
  <c r="AF418" i="15"/>
  <c r="S399" i="15"/>
  <c r="S406" i="15" s="1"/>
  <c r="S447" i="15"/>
  <c r="AJ373" i="15"/>
  <c r="AJ380" i="15" s="1"/>
  <c r="V447" i="15"/>
  <c r="V399" i="15"/>
  <c r="V406" i="15" s="1"/>
  <c r="AK589" i="15"/>
  <c r="AK470" i="15"/>
  <c r="AK418" i="15"/>
  <c r="AK373" i="15"/>
  <c r="AK380" i="15" s="1"/>
  <c r="G299" i="15"/>
  <c r="F17" i="11" l="1"/>
  <c r="U311" i="16"/>
  <c r="K311" i="16"/>
  <c r="Q311" i="16"/>
  <c r="AI311" i="16"/>
  <c r="AB311" i="16"/>
  <c r="L311" i="16"/>
  <c r="AK311" i="16"/>
  <c r="T699" i="15"/>
  <c r="D700" i="15" s="1"/>
  <c r="AD699" i="15"/>
  <c r="AB699" i="15"/>
  <c r="AC699" i="15"/>
  <c r="AK699" i="15"/>
  <c r="Y699" i="15"/>
  <c r="W699" i="15"/>
  <c r="AJ699" i="15"/>
  <c r="X699" i="15"/>
  <c r="U699" i="15"/>
  <c r="AF699" i="15"/>
  <c r="AH699" i="15"/>
  <c r="Z699" i="15"/>
  <c r="AI699" i="15"/>
  <c r="AE699" i="15"/>
  <c r="V699" i="15"/>
  <c r="AG699" i="15"/>
  <c r="AL699" i="15"/>
  <c r="AA699" i="15"/>
  <c r="AI381" i="15"/>
  <c r="AF381" i="15"/>
  <c r="W381" i="15"/>
  <c r="AE381" i="15"/>
  <c r="AK381" i="15"/>
  <c r="AL381" i="15"/>
  <c r="AH381" i="15"/>
  <c r="AC381" i="15"/>
  <c r="AD381" i="15"/>
  <c r="Z381" i="15"/>
  <c r="Y381" i="15"/>
  <c r="AG381" i="15"/>
  <c r="X381" i="15"/>
  <c r="V381" i="15"/>
  <c r="AB381" i="15"/>
  <c r="U381" i="15"/>
  <c r="E700" i="15" s="1"/>
  <c r="AA381" i="15"/>
  <c r="AJ381" i="15"/>
  <c r="D382" i="15"/>
  <c r="S2" i="15"/>
  <c r="F16" i="11"/>
  <c r="AH331" i="16"/>
  <c r="AJ331" i="16"/>
  <c r="AE331" i="16"/>
  <c r="W331" i="16"/>
  <c r="AF331" i="16"/>
  <c r="T331" i="16"/>
  <c r="R331" i="16"/>
  <c r="N331" i="16"/>
  <c r="J331" i="16"/>
  <c r="Y331" i="16"/>
  <c r="AA331" i="16"/>
  <c r="O331" i="16"/>
  <c r="AL331" i="16"/>
  <c r="AD331" i="16"/>
  <c r="AM331" i="16"/>
  <c r="Z331" i="16"/>
  <c r="AC331" i="16"/>
  <c r="P331" i="16"/>
  <c r="M331" i="16"/>
  <c r="AF374" i="16"/>
  <c r="AF382" i="16" s="1"/>
  <c r="AF375" i="16"/>
  <c r="AF383" i="16" s="1"/>
  <c r="AF372" i="16"/>
  <c r="AF380" i="16" s="1"/>
  <c r="AF376" i="16"/>
  <c r="AF384" i="16" s="1"/>
  <c r="AF377" i="16"/>
  <c r="AF385" i="16" s="1"/>
  <c r="AF378" i="16"/>
  <c r="AF386" i="16" s="1"/>
  <c r="AE374" i="16"/>
  <c r="AE382" i="16" s="1"/>
  <c r="AE375" i="16"/>
  <c r="AE383" i="16" s="1"/>
  <c r="AE372" i="16"/>
  <c r="AE380" i="16" s="1"/>
  <c r="AE376" i="16"/>
  <c r="AE384" i="16" s="1"/>
  <c r="AE377" i="16"/>
  <c r="AE385" i="16" s="1"/>
  <c r="AE378" i="16"/>
  <c r="AE386" i="16" s="1"/>
  <c r="AJ374" i="16"/>
  <c r="AJ382" i="16" s="1"/>
  <c r="AJ375" i="16"/>
  <c r="AJ383" i="16" s="1"/>
  <c r="AJ372" i="16"/>
  <c r="AJ380" i="16" s="1"/>
  <c r="AJ376" i="16"/>
  <c r="AJ384" i="16" s="1"/>
  <c r="AJ377" i="16"/>
  <c r="AJ385" i="16" s="1"/>
  <c r="AJ378" i="16"/>
  <c r="AJ386" i="16" s="1"/>
  <c r="R372" i="16"/>
  <c r="R380" i="16" s="1"/>
  <c r="R374" i="16"/>
  <c r="R382" i="16" s="1"/>
  <c r="R377" i="16"/>
  <c r="R385" i="16" s="1"/>
  <c r="R378" i="16"/>
  <c r="R386" i="16" s="1"/>
  <c r="R375" i="16"/>
  <c r="R383" i="16" s="1"/>
  <c r="R376" i="16"/>
  <c r="R384" i="16" s="1"/>
  <c r="AL372" i="16"/>
  <c r="AL380" i="16" s="1"/>
  <c r="AL374" i="16"/>
  <c r="AL382" i="16" s="1"/>
  <c r="AL375" i="16"/>
  <c r="AL383" i="16" s="1"/>
  <c r="AL376" i="16"/>
  <c r="AL384" i="16" s="1"/>
  <c r="AL377" i="16"/>
  <c r="AL385" i="16" s="1"/>
  <c r="AL378" i="16"/>
  <c r="AL386" i="16" s="1"/>
  <c r="AC374" i="16"/>
  <c r="AC382" i="16" s="1"/>
  <c r="AC375" i="16"/>
  <c r="AC383" i="16" s="1"/>
  <c r="AC372" i="16"/>
  <c r="AC380" i="16" s="1"/>
  <c r="AC376" i="16"/>
  <c r="AC384" i="16" s="1"/>
  <c r="AC377" i="16"/>
  <c r="AC385" i="16" s="1"/>
  <c r="AC378" i="16"/>
  <c r="AC386" i="16" s="1"/>
  <c r="O375" i="16"/>
  <c r="O383" i="16" s="1"/>
  <c r="O376" i="16"/>
  <c r="O384" i="16" s="1"/>
  <c r="O372" i="16"/>
  <c r="O380" i="16" s="1"/>
  <c r="O374" i="16"/>
  <c r="O382" i="16" s="1"/>
  <c r="O377" i="16"/>
  <c r="O385" i="16" s="1"/>
  <c r="O378" i="16"/>
  <c r="O386" i="16" s="1"/>
  <c r="T375" i="16"/>
  <c r="T383" i="16" s="1"/>
  <c r="T372" i="16"/>
  <c r="T380" i="16" s="1"/>
  <c r="T374" i="16"/>
  <c r="T382" i="16" s="1"/>
  <c r="T377" i="16"/>
  <c r="T385" i="16" s="1"/>
  <c r="T378" i="16"/>
  <c r="T386" i="16" s="1"/>
  <c r="T376" i="16"/>
  <c r="T384" i="16" s="1"/>
  <c r="P375" i="16"/>
  <c r="P383" i="16" s="1"/>
  <c r="P376" i="16"/>
  <c r="P384" i="16" s="1"/>
  <c r="P374" i="16"/>
  <c r="P382" i="16" s="1"/>
  <c r="P377" i="16"/>
  <c r="P385" i="16" s="1"/>
  <c r="P378" i="16"/>
  <c r="P386" i="16" s="1"/>
  <c r="P372" i="16"/>
  <c r="P380" i="16" s="1"/>
  <c r="J375" i="16"/>
  <c r="J383" i="16" s="1"/>
  <c r="J376" i="16"/>
  <c r="J384" i="16" s="1"/>
  <c r="J378" i="16"/>
  <c r="J386" i="16" s="1"/>
  <c r="J372" i="16"/>
  <c r="J380" i="16" s="1"/>
  <c r="J374" i="16"/>
  <c r="J382" i="16" s="1"/>
  <c r="J377" i="16"/>
  <c r="J385" i="16" s="1"/>
  <c r="Y376" i="16"/>
  <c r="Y384" i="16" s="1"/>
  <c r="Y374" i="16"/>
  <c r="Y382" i="16" s="1"/>
  <c r="Y375" i="16"/>
  <c r="Y383" i="16" s="1"/>
  <c r="Y377" i="16"/>
  <c r="Y385" i="16" s="1"/>
  <c r="Y378" i="16"/>
  <c r="Y386" i="16" s="1"/>
  <c r="Y372" i="16"/>
  <c r="Y380" i="16" s="1"/>
  <c r="Z376" i="16"/>
  <c r="Z384" i="16" s="1"/>
  <c r="Z378" i="16"/>
  <c r="Z386" i="16" s="1"/>
  <c r="Z377" i="16"/>
  <c r="Z385" i="16" s="1"/>
  <c r="Z374" i="16"/>
  <c r="Z382" i="16" s="1"/>
  <c r="Z375" i="16"/>
  <c r="Z383" i="16" s="1"/>
  <c r="Z372" i="16"/>
  <c r="Z380" i="16" s="1"/>
  <c r="M375" i="16"/>
  <c r="M383" i="16" s="1"/>
  <c r="M376" i="16"/>
  <c r="M384" i="16" s="1"/>
  <c r="M377" i="16"/>
  <c r="M385" i="16" s="1"/>
  <c r="M378" i="16"/>
  <c r="M386" i="16" s="1"/>
  <c r="M372" i="16"/>
  <c r="M380" i="16" s="1"/>
  <c r="M374" i="16"/>
  <c r="M382" i="16" s="1"/>
  <c r="AM374" i="16"/>
  <c r="AM382" i="16" s="1"/>
  <c r="AM375" i="16"/>
  <c r="AM383" i="16" s="1"/>
  <c r="AM372" i="16"/>
  <c r="AM380" i="16" s="1"/>
  <c r="AM376" i="16"/>
  <c r="AM384" i="16" s="1"/>
  <c r="AM377" i="16"/>
  <c r="AM385" i="16" s="1"/>
  <c r="AM378" i="16"/>
  <c r="AM386" i="16" s="1"/>
  <c r="AD372" i="16"/>
  <c r="AD380" i="16" s="1"/>
  <c r="AD374" i="16"/>
  <c r="AD382" i="16" s="1"/>
  <c r="AD375" i="16"/>
  <c r="AD383" i="16" s="1"/>
  <c r="AD376" i="16"/>
  <c r="AD384" i="16" s="1"/>
  <c r="AD377" i="16"/>
  <c r="AD385" i="16" s="1"/>
  <c r="AD378" i="16"/>
  <c r="AD386" i="16" s="1"/>
  <c r="N372" i="16"/>
  <c r="N380" i="16" s="1"/>
  <c r="N374" i="16"/>
  <c r="N382" i="16" s="1"/>
  <c r="N377" i="16"/>
  <c r="N385" i="16" s="1"/>
  <c r="N378" i="16"/>
  <c r="N386" i="16" s="1"/>
  <c r="N375" i="16"/>
  <c r="N383" i="16" s="1"/>
  <c r="N376" i="16"/>
  <c r="N384" i="16" s="1"/>
  <c r="AA372" i="16"/>
  <c r="AA380" i="16" s="1"/>
  <c r="AA376" i="16"/>
  <c r="AA384" i="16" s="1"/>
  <c r="AA378" i="16"/>
  <c r="AA386" i="16" s="1"/>
  <c r="AA374" i="16"/>
  <c r="AA382" i="16" s="1"/>
  <c r="AA375" i="16"/>
  <c r="AA383" i="16" s="1"/>
  <c r="AA377" i="16"/>
  <c r="AA385" i="16" s="1"/>
  <c r="W374" i="16"/>
  <c r="W382" i="16" s="1"/>
  <c r="W375" i="16"/>
  <c r="W383" i="16" s="1"/>
  <c r="W372" i="16"/>
  <c r="W380" i="16" s="1"/>
  <c r="W376" i="16"/>
  <c r="W384" i="16" s="1"/>
  <c r="W377" i="16"/>
  <c r="W385" i="16" s="1"/>
  <c r="W378" i="16"/>
  <c r="W386" i="16" s="1"/>
  <c r="AH372" i="16"/>
  <c r="AH380" i="16" s="1"/>
  <c r="AH378" i="16"/>
  <c r="AH386" i="16" s="1"/>
  <c r="AH376" i="16"/>
  <c r="AH384" i="16" s="1"/>
  <c r="AH377" i="16"/>
  <c r="AH385" i="16" s="1"/>
  <c r="AH374" i="16"/>
  <c r="AH382" i="16" s="1"/>
  <c r="AH375" i="16"/>
  <c r="AH383" i="16" s="1"/>
  <c r="G300" i="15"/>
  <c r="AF743" i="15"/>
  <c r="Z743" i="15"/>
  <c r="V743" i="15"/>
  <c r="AJ743" i="15"/>
  <c r="W743" i="15"/>
  <c r="U743" i="15"/>
  <c r="AM907" i="15"/>
  <c r="AM788" i="15"/>
  <c r="AM736" i="15"/>
  <c r="AK743" i="15"/>
  <c r="I659" i="15"/>
  <c r="T743" i="15"/>
  <c r="X743" i="15"/>
  <c r="AE743" i="15"/>
  <c r="AB743" i="15"/>
  <c r="AD743" i="15"/>
  <c r="AA743" i="15"/>
  <c r="AN907" i="15"/>
  <c r="AN788" i="15"/>
  <c r="AN736" i="15"/>
  <c r="Y743" i="15"/>
  <c r="AI743" i="15"/>
  <c r="AO373" i="15"/>
  <c r="AG399" i="15"/>
  <c r="AG406" i="15" s="1"/>
  <c r="AG447" i="15"/>
  <c r="AN447" i="15"/>
  <c r="AN399" i="15"/>
  <c r="AN406" i="15" s="1"/>
  <c r="AN373" i="15"/>
  <c r="AN380" i="15" s="1"/>
  <c r="AI399" i="15"/>
  <c r="AI406" i="15" s="1"/>
  <c r="AI447" i="15"/>
  <c r="AE399" i="15"/>
  <c r="AE406" i="15" s="1"/>
  <c r="AE447" i="15"/>
  <c r="Y399" i="15"/>
  <c r="Y406" i="15" s="1"/>
  <c r="Y447" i="15"/>
  <c r="AM373" i="15"/>
  <c r="AM380" i="15" s="1"/>
  <c r="AM699" i="15" s="1"/>
  <c r="W399" i="15"/>
  <c r="W406" i="15" s="1"/>
  <c r="W447" i="15"/>
  <c r="AL447" i="15"/>
  <c r="AL399" i="15"/>
  <c r="AL406" i="15" s="1"/>
  <c r="AM399" i="15"/>
  <c r="AM406" i="15" s="1"/>
  <c r="AM447" i="15"/>
  <c r="AD447" i="15"/>
  <c r="AD399" i="15"/>
  <c r="AD406" i="15" s="1"/>
  <c r="AJ447" i="15"/>
  <c r="AJ399" i="15"/>
  <c r="AJ406" i="15" s="1"/>
  <c r="AH399" i="15"/>
  <c r="AH406" i="15" s="1"/>
  <c r="AH447" i="15"/>
  <c r="AK447" i="15"/>
  <c r="AK399" i="15"/>
  <c r="AK406" i="15" s="1"/>
  <c r="AF447" i="15"/>
  <c r="AF399" i="15"/>
  <c r="AF406" i="15" s="1"/>
  <c r="AC447" i="15"/>
  <c r="AC399" i="15"/>
  <c r="AC406" i="15" s="1"/>
  <c r="AB447" i="15"/>
  <c r="AB399" i="15"/>
  <c r="AB406" i="15" s="1"/>
  <c r="AA399" i="15"/>
  <c r="AA406" i="15" s="1"/>
  <c r="AA447" i="15"/>
  <c r="Z399" i="15"/>
  <c r="Z406" i="15" s="1"/>
  <c r="Z447" i="15"/>
  <c r="AM589" i="15"/>
  <c r="AM470" i="15"/>
  <c r="AM418" i="15"/>
  <c r="AN86" i="22" l="1"/>
  <c r="AN85" i="22"/>
  <c r="AN80" i="22"/>
  <c r="AG85" i="22"/>
  <c r="AG80" i="22"/>
  <c r="AN79" i="22"/>
  <c r="AG84" i="22"/>
  <c r="AG79" i="22"/>
  <c r="AN84" i="22"/>
  <c r="AN81" i="22"/>
  <c r="AN87" i="22"/>
  <c r="AN82" i="22"/>
  <c r="AG87" i="22"/>
  <c r="AG82" i="22"/>
  <c r="AG86" i="22"/>
  <c r="AG81" i="22"/>
  <c r="U700" i="15"/>
  <c r="T700" i="15"/>
  <c r="Y700" i="15"/>
  <c r="D701" i="15"/>
  <c r="E382" i="15"/>
  <c r="AD382" i="15" s="1"/>
  <c r="L312" i="16"/>
  <c r="S312" i="16"/>
  <c r="O312" i="16"/>
  <c r="Y312" i="16"/>
  <c r="R312" i="16"/>
  <c r="K312" i="16"/>
  <c r="AL312" i="16"/>
  <c r="AN312" i="16"/>
  <c r="AG312" i="16"/>
  <c r="T312" i="16"/>
  <c r="AM312" i="16"/>
  <c r="X312" i="16"/>
  <c r="AJ312" i="16"/>
  <c r="M312" i="16"/>
  <c r="AO312" i="16"/>
  <c r="AB312" i="16"/>
  <c r="AA312" i="16"/>
  <c r="AC312" i="16"/>
  <c r="AD312" i="16"/>
  <c r="AI312" i="16"/>
  <c r="U312" i="16"/>
  <c r="AH312" i="16"/>
  <c r="AF312" i="16"/>
  <c r="P312" i="16"/>
  <c r="Z312" i="16"/>
  <c r="AK312" i="16"/>
  <c r="V312" i="16"/>
  <c r="AE312" i="16"/>
  <c r="Q312" i="16"/>
  <c r="W312" i="16"/>
  <c r="N312" i="16"/>
  <c r="E701" i="15"/>
  <c r="AN699" i="15"/>
  <c r="E383" i="15"/>
  <c r="AN381" i="15"/>
  <c r="AM381" i="15"/>
  <c r="D383" i="15"/>
  <c r="G306" i="15"/>
  <c r="AO380" i="15"/>
  <c r="AO381" i="15" s="1"/>
  <c r="T2" i="15"/>
  <c r="I723" i="15"/>
  <c r="I710" i="15"/>
  <c r="I721" i="15"/>
  <c r="I711" i="15"/>
  <c r="I722" i="15"/>
  <c r="I765" i="15"/>
  <c r="I718" i="15"/>
  <c r="I717" i="15"/>
  <c r="I712" i="15"/>
  <c r="J659" i="15"/>
  <c r="N659" i="15"/>
  <c r="N714" i="15" s="1"/>
  <c r="AM743" i="15"/>
  <c r="AN743" i="15"/>
  <c r="R659" i="15"/>
  <c r="R714" i="15" s="1"/>
  <c r="V659" i="15"/>
  <c r="V714" i="15" s="1"/>
  <c r="AM80" i="7"/>
  <c r="AM82" i="7" s="1"/>
  <c r="AL80" i="7"/>
  <c r="AL82" i="7" s="1"/>
  <c r="AJ80" i="7"/>
  <c r="AJ82" i="7" s="1"/>
  <c r="AN80" i="7"/>
  <c r="AN82" i="7" s="1"/>
  <c r="AG80" i="7"/>
  <c r="AG82" i="7" s="1"/>
  <c r="AK80" i="7"/>
  <c r="AK82" i="7" s="1"/>
  <c r="AD80" i="7"/>
  <c r="AD82" i="7" s="1"/>
  <c r="AC80" i="7"/>
  <c r="AC82" i="7" s="1"/>
  <c r="AI80" i="7"/>
  <c r="AI82" i="7" s="1"/>
  <c r="AF80" i="7"/>
  <c r="AF82" i="7" s="1"/>
  <c r="AE80" i="7"/>
  <c r="AE82" i="7" s="1"/>
  <c r="AH80" i="7"/>
  <c r="AH82" i="7" s="1"/>
  <c r="AC701" i="15" l="1"/>
  <c r="M700" i="15"/>
  <c r="AF700" i="15"/>
  <c r="L700" i="15"/>
  <c r="AN700" i="15"/>
  <c r="K700" i="15"/>
  <c r="Z700" i="15"/>
  <c r="J700" i="15"/>
  <c r="R700" i="15"/>
  <c r="AE700" i="15"/>
  <c r="AD700" i="15"/>
  <c r="AL700" i="15"/>
  <c r="I700" i="15"/>
  <c r="W700" i="15"/>
  <c r="P700" i="15"/>
  <c r="N700" i="15"/>
  <c r="AK700" i="15"/>
  <c r="AJ700" i="15"/>
  <c r="AI700" i="15"/>
  <c r="V700" i="15"/>
  <c r="O700" i="15"/>
  <c r="AM700" i="15"/>
  <c r="AC700" i="15"/>
  <c r="AB700" i="15"/>
  <c r="AA700" i="15"/>
  <c r="AG700" i="15"/>
  <c r="S700" i="15"/>
  <c r="Q700" i="15"/>
  <c r="AO700" i="15"/>
  <c r="X700" i="15"/>
  <c r="AH700" i="15"/>
  <c r="M382" i="15"/>
  <c r="V382" i="15"/>
  <c r="T382" i="15"/>
  <c r="AB382" i="15"/>
  <c r="AJ382" i="15"/>
  <c r="W382" i="15"/>
  <c r="N382" i="15"/>
  <c r="AI382" i="15"/>
  <c r="S382" i="15"/>
  <c r="K382" i="15"/>
  <c r="O382" i="15"/>
  <c r="I382" i="15"/>
  <c r="AO382" i="15"/>
  <c r="AN382" i="15"/>
  <c r="U382" i="15"/>
  <c r="AF382" i="15"/>
  <c r="R382" i="15"/>
  <c r="Q382" i="15"/>
  <c r="P382" i="15"/>
  <c r="AL382" i="15"/>
  <c r="AK382" i="15"/>
  <c r="AE382" i="15"/>
  <c r="AH382" i="15"/>
  <c r="AG382" i="15"/>
  <c r="L382" i="15"/>
  <c r="Z382" i="15"/>
  <c r="Y382" i="15"/>
  <c r="X382" i="15"/>
  <c r="AA382" i="15"/>
  <c r="J382" i="15"/>
  <c r="AC382" i="15"/>
  <c r="AM382" i="15"/>
  <c r="E313" i="16"/>
  <c r="D313" i="16"/>
  <c r="Q701" i="15"/>
  <c r="Y701" i="15"/>
  <c r="Y693" i="15" s="1"/>
  <c r="AG701" i="15"/>
  <c r="AG705" i="15" s="1"/>
  <c r="AO701" i="15"/>
  <c r="AO705" i="15" s="1"/>
  <c r="V701" i="15"/>
  <c r="O701" i="15"/>
  <c r="P701" i="15"/>
  <c r="AN701" i="15"/>
  <c r="J701" i="15"/>
  <c r="R701" i="15"/>
  <c r="Z701" i="15"/>
  <c r="AH701" i="15"/>
  <c r="I701" i="15"/>
  <c r="I705" i="15" s="1"/>
  <c r="K701" i="15"/>
  <c r="S701" i="15"/>
  <c r="AA701" i="15"/>
  <c r="AI701" i="15"/>
  <c r="N701" i="15"/>
  <c r="AE701" i="15"/>
  <c r="AE705" i="15" s="1"/>
  <c r="AF701" i="15"/>
  <c r="L701" i="15"/>
  <c r="T701" i="15"/>
  <c r="T705" i="15" s="1"/>
  <c r="AB701" i="15"/>
  <c r="AB693" i="15" s="1"/>
  <c r="AJ701" i="15"/>
  <c r="AJ705" i="15" s="1"/>
  <c r="AD701" i="15"/>
  <c r="AD705" i="15" s="1"/>
  <c r="AM701" i="15"/>
  <c r="X701" i="15"/>
  <c r="M701" i="15"/>
  <c r="U701" i="15"/>
  <c r="U693" i="15" s="1"/>
  <c r="AK701" i="15"/>
  <c r="AL701" i="15"/>
  <c r="W701" i="15"/>
  <c r="O383" i="15"/>
  <c r="W383" i="15"/>
  <c r="AE383" i="15"/>
  <c r="AM383" i="15"/>
  <c r="AB383" i="15"/>
  <c r="U383" i="15"/>
  <c r="AD383" i="15"/>
  <c r="P383" i="15"/>
  <c r="X383" i="15"/>
  <c r="AF383" i="15"/>
  <c r="AN383" i="15"/>
  <c r="Q383" i="15"/>
  <c r="Y383" i="15"/>
  <c r="AG383" i="15"/>
  <c r="AO383" i="15"/>
  <c r="L383" i="15"/>
  <c r="AK383" i="15"/>
  <c r="V383" i="15"/>
  <c r="J383" i="15"/>
  <c r="R383" i="15"/>
  <c r="Z383" i="15"/>
  <c r="AH383" i="15"/>
  <c r="I383" i="15"/>
  <c r="T383" i="15"/>
  <c r="AC383" i="15"/>
  <c r="N383" i="15"/>
  <c r="AL383" i="15"/>
  <c r="K383" i="15"/>
  <c r="S383" i="15"/>
  <c r="AA383" i="15"/>
  <c r="AI383" i="15"/>
  <c r="AJ383" i="15"/>
  <c r="M383" i="15"/>
  <c r="AO699" i="15"/>
  <c r="I724" i="15"/>
  <c r="U2" i="15"/>
  <c r="N710" i="15"/>
  <c r="N721" i="15"/>
  <c r="J710" i="15"/>
  <c r="J721" i="15"/>
  <c r="R710" i="15"/>
  <c r="R721" i="15"/>
  <c r="V710" i="15"/>
  <c r="V721" i="15"/>
  <c r="N722" i="15"/>
  <c r="N723" i="15"/>
  <c r="J722" i="15"/>
  <c r="J723" i="15"/>
  <c r="R722" i="15"/>
  <c r="R723" i="15"/>
  <c r="V722" i="15"/>
  <c r="V723" i="15"/>
  <c r="L659" i="15"/>
  <c r="L714" i="15" s="1"/>
  <c r="R711" i="15"/>
  <c r="N711" i="15"/>
  <c r="J711" i="15"/>
  <c r="V711" i="15"/>
  <c r="R718" i="15"/>
  <c r="R712" i="15"/>
  <c r="J718" i="15"/>
  <c r="J712" i="15"/>
  <c r="N718" i="15"/>
  <c r="N712" i="15"/>
  <c r="V718" i="15"/>
  <c r="V712" i="15"/>
  <c r="V765" i="15"/>
  <c r="V717" i="15"/>
  <c r="Q659" i="15"/>
  <c r="Q714" i="15" s="1"/>
  <c r="T659" i="15"/>
  <c r="T714" i="15" s="1"/>
  <c r="N765" i="15"/>
  <c r="N717" i="15"/>
  <c r="K659" i="15"/>
  <c r="K714" i="15" s="1"/>
  <c r="J765" i="15"/>
  <c r="J717" i="15"/>
  <c r="O659" i="15"/>
  <c r="O714" i="15" s="1"/>
  <c r="P659" i="15"/>
  <c r="P714" i="15" s="1"/>
  <c r="U659" i="15"/>
  <c r="U714" i="15" s="1"/>
  <c r="R717" i="15"/>
  <c r="R765" i="15"/>
  <c r="S659" i="15"/>
  <c r="S714" i="15" s="1"/>
  <c r="AN705" i="15" l="1"/>
  <c r="O705" i="15"/>
  <c r="X693" i="15"/>
  <c r="AM705" i="15"/>
  <c r="W693" i="15"/>
  <c r="N705" i="15"/>
  <c r="J705" i="15"/>
  <c r="Z693" i="15"/>
  <c r="AL693" i="15"/>
  <c r="K693" i="15"/>
  <c r="L693" i="15"/>
  <c r="V693" i="15"/>
  <c r="M705" i="15"/>
  <c r="AF693" i="15"/>
  <c r="AI693" i="15"/>
  <c r="U705" i="15"/>
  <c r="T693" i="15"/>
  <c r="AH693" i="15"/>
  <c r="R705" i="15"/>
  <c r="AA705" i="15"/>
  <c r="AK693" i="15"/>
  <c r="Q693" i="15"/>
  <c r="S705" i="15"/>
  <c r="P693" i="15"/>
  <c r="AC705" i="15"/>
  <c r="AD693" i="15"/>
  <c r="K313" i="16"/>
  <c r="U313" i="16"/>
  <c r="AL313" i="16"/>
  <c r="L313" i="16"/>
  <c r="AD313" i="16"/>
  <c r="M313" i="16"/>
  <c r="V313" i="16"/>
  <c r="AE313" i="16"/>
  <c r="AM313" i="16"/>
  <c r="I313" i="16"/>
  <c r="AJ313" i="16"/>
  <c r="AB313" i="16"/>
  <c r="R313" i="16"/>
  <c r="AI313" i="16"/>
  <c r="H313" i="16"/>
  <c r="H316" i="16" s="1"/>
  <c r="Z313" i="16"/>
  <c r="AH313" i="16"/>
  <c r="AO313" i="16"/>
  <c r="Q313" i="16"/>
  <c r="Y313" i="16"/>
  <c r="AG313" i="16"/>
  <c r="AN313" i="16"/>
  <c r="AA313" i="16"/>
  <c r="P313" i="16"/>
  <c r="X313" i="16"/>
  <c r="AF313" i="16"/>
  <c r="AK313" i="16"/>
  <c r="S313" i="16"/>
  <c r="O313" i="16"/>
  <c r="W313" i="16"/>
  <c r="AC313" i="16"/>
  <c r="N313" i="16"/>
  <c r="T313" i="16"/>
  <c r="J313" i="16"/>
  <c r="AI579" i="16"/>
  <c r="AA579" i="16"/>
  <c r="S579" i="16"/>
  <c r="K579" i="16"/>
  <c r="AH579" i="16"/>
  <c r="Z579" i="16"/>
  <c r="R579" i="16"/>
  <c r="J579" i="16"/>
  <c r="AC579" i="16"/>
  <c r="AK579" i="16"/>
  <c r="U579" i="16"/>
  <c r="AJ579" i="16"/>
  <c r="AN579" i="16"/>
  <c r="AG579" i="16"/>
  <c r="AB579" i="16"/>
  <c r="I579" i="16"/>
  <c r="Q579" i="16"/>
  <c r="AF579" i="16"/>
  <c r="AO579" i="16"/>
  <c r="N579" i="16"/>
  <c r="AE579" i="16"/>
  <c r="AM579" i="16"/>
  <c r="V579" i="16"/>
  <c r="P579" i="16"/>
  <c r="X579" i="16"/>
  <c r="T579" i="16"/>
  <c r="AD579" i="16"/>
  <c r="W579" i="16"/>
  <c r="H579" i="16"/>
  <c r="H582" i="16" s="1"/>
  <c r="AL579" i="16"/>
  <c r="L579" i="16"/>
  <c r="Y579" i="16"/>
  <c r="I749" i="15"/>
  <c r="I750" i="15" s="1"/>
  <c r="AO749" i="15"/>
  <c r="AO750" i="15" s="1"/>
  <c r="N693" i="15"/>
  <c r="Z705" i="15"/>
  <c r="Y705" i="15"/>
  <c r="AH705" i="15"/>
  <c r="W705" i="15"/>
  <c r="R693" i="15"/>
  <c r="AI705" i="15"/>
  <c r="I693" i="15"/>
  <c r="AK705" i="15"/>
  <c r="K705" i="15"/>
  <c r="AG693" i="15"/>
  <c r="M693" i="15"/>
  <c r="J693" i="15"/>
  <c r="P705" i="15"/>
  <c r="AA693" i="15"/>
  <c r="AC693" i="15"/>
  <c r="V705" i="15"/>
  <c r="AN693" i="15"/>
  <c r="S693" i="15"/>
  <c r="O693" i="15"/>
  <c r="L705" i="15"/>
  <c r="AL705" i="15"/>
  <c r="AB705" i="15"/>
  <c r="AO693" i="15"/>
  <c r="AM693" i="15"/>
  <c r="AF705" i="15"/>
  <c r="X705" i="15"/>
  <c r="Q705" i="15"/>
  <c r="AJ693" i="15"/>
  <c r="AE693" i="15"/>
  <c r="R724" i="15"/>
  <c r="J724" i="15"/>
  <c r="J749" i="15" s="1"/>
  <c r="N724" i="15"/>
  <c r="V724" i="15"/>
  <c r="V2" i="15"/>
  <c r="U710" i="15"/>
  <c r="U721" i="15"/>
  <c r="T710" i="15"/>
  <c r="T721" i="15"/>
  <c r="O710" i="15"/>
  <c r="O721" i="15"/>
  <c r="Q710" i="15"/>
  <c r="Q721" i="15"/>
  <c r="P710" i="15"/>
  <c r="P721" i="15"/>
  <c r="S710" i="15"/>
  <c r="S721" i="15"/>
  <c r="K710" i="15"/>
  <c r="K721" i="15"/>
  <c r="L718" i="15"/>
  <c r="L710" i="15"/>
  <c r="L721" i="15"/>
  <c r="L712" i="15"/>
  <c r="L765" i="15"/>
  <c r="L717" i="15"/>
  <c r="L711" i="15"/>
  <c r="U722" i="15"/>
  <c r="U723" i="15"/>
  <c r="T722" i="15"/>
  <c r="T723" i="15"/>
  <c r="P722" i="15"/>
  <c r="P723" i="15"/>
  <c r="Q722" i="15"/>
  <c r="Q723" i="15"/>
  <c r="O722" i="15"/>
  <c r="O723" i="15"/>
  <c r="S722" i="15"/>
  <c r="S723" i="15"/>
  <c r="L722" i="15"/>
  <c r="L723" i="15"/>
  <c r="K722" i="15"/>
  <c r="K723" i="15"/>
  <c r="U711" i="15"/>
  <c r="P711" i="15"/>
  <c r="T711" i="15"/>
  <c r="O711" i="15"/>
  <c r="Q711" i="15"/>
  <c r="K711" i="15"/>
  <c r="S711" i="15"/>
  <c r="O718" i="15"/>
  <c r="O712" i="15"/>
  <c r="Q718" i="15"/>
  <c r="Q712" i="15"/>
  <c r="S718" i="15"/>
  <c r="S712" i="15"/>
  <c r="K718" i="15"/>
  <c r="K712" i="15"/>
  <c r="U718" i="15"/>
  <c r="U712" i="15"/>
  <c r="P718" i="15"/>
  <c r="P712" i="15"/>
  <c r="T718" i="15"/>
  <c r="T712" i="15"/>
  <c r="Z659" i="15"/>
  <c r="Z714" i="15" s="1"/>
  <c r="W659" i="15"/>
  <c r="W714" i="15" s="1"/>
  <c r="AI659" i="15"/>
  <c r="AI714" i="15" s="1"/>
  <c r="T765" i="15"/>
  <c r="T717" i="15"/>
  <c r="K765" i="15"/>
  <c r="K717" i="15"/>
  <c r="O765" i="15"/>
  <c r="O717" i="15"/>
  <c r="AF659" i="15"/>
  <c r="AF714" i="15" s="1"/>
  <c r="AL659" i="15"/>
  <c r="AL714" i="15" s="1"/>
  <c r="AJ659" i="15"/>
  <c r="AJ714" i="15" s="1"/>
  <c r="S765" i="15"/>
  <c r="S717" i="15"/>
  <c r="U765" i="15"/>
  <c r="U717" i="15"/>
  <c r="Q765" i="15"/>
  <c r="Q717" i="15"/>
  <c r="Y659" i="15"/>
  <c r="Y714" i="15" s="1"/>
  <c r="AD659" i="15"/>
  <c r="AD714" i="15" s="1"/>
  <c r="AK659" i="15"/>
  <c r="AK714" i="15" s="1"/>
  <c r="AH659" i="15"/>
  <c r="AH714" i="15" s="1"/>
  <c r="P765" i="15"/>
  <c r="P717" i="15"/>
  <c r="AC659" i="15"/>
  <c r="AC714" i="15" s="1"/>
  <c r="N749" i="15" l="1"/>
  <c r="N750" i="15" s="1"/>
  <c r="R749" i="15"/>
  <c r="R750" i="15" s="1"/>
  <c r="AE582" i="16"/>
  <c r="AE622" i="16" s="1"/>
  <c r="AE623" i="16" s="1"/>
  <c r="AE575" i="16"/>
  <c r="AD582" i="16"/>
  <c r="AD622" i="16" s="1"/>
  <c r="AD623" i="16" s="1"/>
  <c r="AD575" i="16"/>
  <c r="N582" i="16"/>
  <c r="N622" i="16" s="1"/>
  <c r="N623" i="16" s="1"/>
  <c r="N575" i="16"/>
  <c r="AJ575" i="16"/>
  <c r="AJ582" i="16"/>
  <c r="AJ622" i="16" s="1"/>
  <c r="AJ623" i="16" s="1"/>
  <c r="AH575" i="16"/>
  <c r="AH582" i="16"/>
  <c r="AH622" i="16" s="1"/>
  <c r="AH623" i="16" s="1"/>
  <c r="AC316" i="16"/>
  <c r="AC309" i="16"/>
  <c r="AA309" i="16"/>
  <c r="AA316" i="16"/>
  <c r="V316" i="16"/>
  <c r="V309" i="16"/>
  <c r="AE316" i="16"/>
  <c r="AE309" i="16"/>
  <c r="T575" i="16"/>
  <c r="T582" i="16"/>
  <c r="T622" i="16" s="1"/>
  <c r="T623" i="16" s="1"/>
  <c r="AO582" i="16"/>
  <c r="AO622" i="16" s="1"/>
  <c r="AO623" i="16" s="1"/>
  <c r="AO575" i="16"/>
  <c r="U582" i="16"/>
  <c r="U622" i="16" s="1"/>
  <c r="U623" i="16" s="1"/>
  <c r="U575" i="16"/>
  <c r="K575" i="16"/>
  <c r="K582" i="16"/>
  <c r="K622" i="16" s="1"/>
  <c r="K623" i="16" s="1"/>
  <c r="W316" i="16"/>
  <c r="W309" i="16"/>
  <c r="AN309" i="16"/>
  <c r="AN316" i="16"/>
  <c r="AI309" i="16"/>
  <c r="AI316" i="16"/>
  <c r="M316" i="16"/>
  <c r="M309" i="16"/>
  <c r="P309" i="16"/>
  <c r="P316" i="16"/>
  <c r="X582" i="16"/>
  <c r="X622" i="16" s="1"/>
  <c r="X623" i="16" s="1"/>
  <c r="X575" i="16"/>
  <c r="AF582" i="16"/>
  <c r="AF622" i="16" s="1"/>
  <c r="AF623" i="16" s="1"/>
  <c r="AF575" i="16"/>
  <c r="AK575" i="16"/>
  <c r="AK582" i="16"/>
  <c r="AK622" i="16" s="1"/>
  <c r="AK623" i="16" s="1"/>
  <c r="S575" i="16"/>
  <c r="S582" i="16"/>
  <c r="S622" i="16" s="1"/>
  <c r="S623" i="16" s="1"/>
  <c r="O316" i="16"/>
  <c r="O309" i="16"/>
  <c r="AG316" i="16"/>
  <c r="AG309" i="16"/>
  <c r="R316" i="16"/>
  <c r="R309" i="16"/>
  <c r="AD316" i="16"/>
  <c r="AD309" i="16"/>
  <c r="AN582" i="16"/>
  <c r="AN622" i="16" s="1"/>
  <c r="AN623" i="16" s="1"/>
  <c r="AN575" i="16"/>
  <c r="Y582" i="16"/>
  <c r="Y622" i="16" s="1"/>
  <c r="Y623" i="16" s="1"/>
  <c r="Y575" i="16"/>
  <c r="P582" i="16"/>
  <c r="P622" i="16" s="1"/>
  <c r="P623" i="16" s="1"/>
  <c r="P575" i="16"/>
  <c r="Q582" i="16"/>
  <c r="Q622" i="16" s="1"/>
  <c r="Q623" i="16" s="1"/>
  <c r="Q575" i="16"/>
  <c r="M582" i="16"/>
  <c r="M622" i="16" s="1"/>
  <c r="M623" i="16" s="1"/>
  <c r="AA575" i="16"/>
  <c r="AA582" i="16"/>
  <c r="AA622" i="16" s="1"/>
  <c r="AA623" i="16" s="1"/>
  <c r="S309" i="16"/>
  <c r="S316" i="16"/>
  <c r="Y316" i="16"/>
  <c r="Y309" i="16"/>
  <c r="AB316" i="16"/>
  <c r="AB309" i="16"/>
  <c r="L316" i="16"/>
  <c r="L309" i="16"/>
  <c r="Z575" i="16"/>
  <c r="Z582" i="16"/>
  <c r="Z622" i="16" s="1"/>
  <c r="Z623" i="16" s="1"/>
  <c r="O582" i="16"/>
  <c r="O622" i="16" s="1"/>
  <c r="O623" i="16" s="1"/>
  <c r="O575" i="16"/>
  <c r="I582" i="16"/>
  <c r="I622" i="16" s="1"/>
  <c r="I623" i="16" s="1"/>
  <c r="I575" i="16"/>
  <c r="AC582" i="16"/>
  <c r="AC622" i="16" s="1"/>
  <c r="AC623" i="16" s="1"/>
  <c r="AC575" i="16"/>
  <c r="AI575" i="16"/>
  <c r="AI582" i="16"/>
  <c r="AI622" i="16" s="1"/>
  <c r="AI623" i="16" s="1"/>
  <c r="AK316" i="16"/>
  <c r="AK309" i="16"/>
  <c r="Q316" i="16"/>
  <c r="Q309" i="16"/>
  <c r="AJ309" i="16"/>
  <c r="AJ316" i="16"/>
  <c r="AL316" i="16"/>
  <c r="AL309" i="16"/>
  <c r="Z309" i="16"/>
  <c r="Z316" i="16"/>
  <c r="AL582" i="16"/>
  <c r="AL622" i="16" s="1"/>
  <c r="AL623" i="16" s="1"/>
  <c r="AL575" i="16"/>
  <c r="V582" i="16"/>
  <c r="V622" i="16" s="1"/>
  <c r="V623" i="16" s="1"/>
  <c r="V575" i="16"/>
  <c r="AB575" i="16"/>
  <c r="AB582" i="16"/>
  <c r="AB622" i="16" s="1"/>
  <c r="AB623" i="16" s="1"/>
  <c r="J575" i="16"/>
  <c r="J582" i="16"/>
  <c r="J622" i="16" s="1"/>
  <c r="J623" i="16" s="1"/>
  <c r="J309" i="16"/>
  <c r="J316" i="16"/>
  <c r="AF316" i="16"/>
  <c r="AF309" i="16"/>
  <c r="AO316" i="16"/>
  <c r="AO309" i="16"/>
  <c r="I309" i="16"/>
  <c r="I316" i="16"/>
  <c r="U316" i="16"/>
  <c r="U309" i="16"/>
  <c r="W582" i="16"/>
  <c r="W622" i="16" s="1"/>
  <c r="W623" i="16" s="1"/>
  <c r="W575" i="16"/>
  <c r="N316" i="16"/>
  <c r="N309" i="16"/>
  <c r="L575" i="16"/>
  <c r="L582" i="16"/>
  <c r="L622" i="16" s="1"/>
  <c r="L623" i="16" s="1"/>
  <c r="AM582" i="16"/>
  <c r="AM622" i="16" s="1"/>
  <c r="AM623" i="16" s="1"/>
  <c r="AM575" i="16"/>
  <c r="AG582" i="16"/>
  <c r="AG622" i="16" s="1"/>
  <c r="AG623" i="16" s="1"/>
  <c r="AG575" i="16"/>
  <c r="R575" i="16"/>
  <c r="R582" i="16"/>
  <c r="R622" i="16" s="1"/>
  <c r="R623" i="16" s="1"/>
  <c r="T309" i="16"/>
  <c r="T316" i="16"/>
  <c r="X316" i="16"/>
  <c r="X309" i="16"/>
  <c r="AH309" i="16"/>
  <c r="AH316" i="16"/>
  <c r="AM316" i="16"/>
  <c r="AM309" i="16"/>
  <c r="K316" i="16"/>
  <c r="K309" i="16"/>
  <c r="V749" i="15"/>
  <c r="V750" i="15" s="1"/>
  <c r="J750" i="15"/>
  <c r="K724" i="15"/>
  <c r="K749" i="15" s="1"/>
  <c r="T724" i="15"/>
  <c r="U724" i="15"/>
  <c r="U749" i="15" s="1"/>
  <c r="U750" i="15" s="1"/>
  <c r="L724" i="15"/>
  <c r="L749" i="15" s="1"/>
  <c r="Q724" i="15"/>
  <c r="Q749" i="15" s="1"/>
  <c r="P724" i="15"/>
  <c r="P749" i="15" s="1"/>
  <c r="O724" i="15"/>
  <c r="O749" i="15" s="1"/>
  <c r="S724" i="15"/>
  <c r="S749" i="15" s="1"/>
  <c r="W2" i="15"/>
  <c r="AL710" i="15"/>
  <c r="AL721" i="15"/>
  <c r="AI710" i="15"/>
  <c r="AI721" i="15"/>
  <c r="AJ710" i="15"/>
  <c r="AJ721" i="15"/>
  <c r="AH710" i="15"/>
  <c r="AH721" i="15"/>
  <c r="AF710" i="15"/>
  <c r="AF721" i="15"/>
  <c r="W710" i="15"/>
  <c r="W721" i="15"/>
  <c r="AD710" i="15"/>
  <c r="AD721" i="15"/>
  <c r="Z710" i="15"/>
  <c r="Z721" i="15"/>
  <c r="AK710" i="15"/>
  <c r="AK721" i="15"/>
  <c r="Y710" i="15"/>
  <c r="Y721" i="15"/>
  <c r="AC710" i="15"/>
  <c r="AC721" i="15"/>
  <c r="Y722" i="15"/>
  <c r="Y723" i="15"/>
  <c r="AJ722" i="15"/>
  <c r="AJ723" i="15"/>
  <c r="AL722" i="15"/>
  <c r="AL723" i="15"/>
  <c r="AI722" i="15"/>
  <c r="AI723" i="15"/>
  <c r="AH722" i="15"/>
  <c r="AH723" i="15"/>
  <c r="AF722" i="15"/>
  <c r="AF723" i="15"/>
  <c r="AC722" i="15"/>
  <c r="AC723" i="15"/>
  <c r="AK722" i="15"/>
  <c r="AK723" i="15"/>
  <c r="W722" i="15"/>
  <c r="W723" i="15"/>
  <c r="AD722" i="15"/>
  <c r="AD723" i="15"/>
  <c r="Z722" i="15"/>
  <c r="Z723" i="15"/>
  <c r="AK711" i="15"/>
  <c r="W711" i="15"/>
  <c r="AD711" i="15"/>
  <c r="Z711" i="15"/>
  <c r="Y711" i="15"/>
  <c r="AC711" i="15"/>
  <c r="AJ711" i="15"/>
  <c r="AI711" i="15"/>
  <c r="AH711" i="15"/>
  <c r="AL711" i="15"/>
  <c r="AF711" i="15"/>
  <c r="AL718" i="15"/>
  <c r="AL712" i="15"/>
  <c r="AI718" i="15"/>
  <c r="AI712" i="15"/>
  <c r="AF718" i="15"/>
  <c r="AF712" i="15"/>
  <c r="AK718" i="15"/>
  <c r="AK712" i="15"/>
  <c r="W718" i="15"/>
  <c r="W712" i="15"/>
  <c r="AD718" i="15"/>
  <c r="AD712" i="15"/>
  <c r="Z718" i="15"/>
  <c r="Z712" i="15"/>
  <c r="AH718" i="15"/>
  <c r="AH712" i="15"/>
  <c r="Y718" i="15"/>
  <c r="Y712" i="15"/>
  <c r="AC718" i="15"/>
  <c r="AC712" i="15"/>
  <c r="AJ718" i="15"/>
  <c r="AJ712" i="15"/>
  <c r="AH717" i="15"/>
  <c r="AH765" i="15"/>
  <c r="AD765" i="15"/>
  <c r="AD717" i="15"/>
  <c r="AI765" i="15"/>
  <c r="AI717" i="15"/>
  <c r="AC765" i="15"/>
  <c r="AC717" i="15"/>
  <c r="Y765" i="15"/>
  <c r="Y717" i="15"/>
  <c r="AM659" i="15"/>
  <c r="AM714" i="15" s="1"/>
  <c r="AG659" i="15"/>
  <c r="AG714" i="15" s="1"/>
  <c r="AB659" i="15"/>
  <c r="AB714" i="15" s="1"/>
  <c r="AE659" i="15"/>
  <c r="AE714" i="15" s="1"/>
  <c r="AA659" i="15"/>
  <c r="AA714" i="15" s="1"/>
  <c r="X659" i="15"/>
  <c r="X714" i="15" s="1"/>
  <c r="AJ765" i="15"/>
  <c r="AJ717" i="15"/>
  <c r="W765" i="15"/>
  <c r="W717" i="15"/>
  <c r="AL765" i="15"/>
  <c r="AL717" i="15"/>
  <c r="Z765" i="15"/>
  <c r="Z717" i="15"/>
  <c r="AK765" i="15"/>
  <c r="AK717" i="15"/>
  <c r="AF765" i="15"/>
  <c r="AF717" i="15"/>
  <c r="G624" i="16" l="1"/>
  <c r="G625" i="16" s="1"/>
  <c r="F55" i="11" s="1"/>
  <c r="T749" i="15"/>
  <c r="T750" i="15" s="1"/>
  <c r="K750" i="15"/>
  <c r="S750" i="15"/>
  <c r="O750" i="15"/>
  <c r="P750" i="15"/>
  <c r="L750" i="15"/>
  <c r="Q750" i="15"/>
  <c r="AK724" i="15"/>
  <c r="AK749" i="15" s="1"/>
  <c r="AL724" i="15"/>
  <c r="AC724" i="15"/>
  <c r="AC749" i="15" s="1"/>
  <c r="AD724" i="15"/>
  <c r="AJ724" i="15"/>
  <c r="AJ749" i="15" s="1"/>
  <c r="AH724" i="15"/>
  <c r="AH749" i="15" s="1"/>
  <c r="Z724" i="15"/>
  <c r="Y724" i="15"/>
  <c r="Y749" i="15" s="1"/>
  <c r="W724" i="15"/>
  <c r="W749" i="15" s="1"/>
  <c r="AI724" i="15"/>
  <c r="AF724" i="15"/>
  <c r="AF749" i="15" s="1"/>
  <c r="X2" i="15"/>
  <c r="X710" i="15"/>
  <c r="X721" i="15"/>
  <c r="AA710" i="15"/>
  <c r="AA721" i="15"/>
  <c r="AE710" i="15"/>
  <c r="AE721" i="15"/>
  <c r="AB710" i="15"/>
  <c r="AB721" i="15"/>
  <c r="AG710" i="15"/>
  <c r="AG721" i="15"/>
  <c r="AM710" i="15"/>
  <c r="AM721" i="15"/>
  <c r="X722" i="15"/>
  <c r="X723" i="15"/>
  <c r="AE722" i="15"/>
  <c r="AE723" i="15"/>
  <c r="AB722" i="15"/>
  <c r="AB723" i="15"/>
  <c r="AG722" i="15"/>
  <c r="AG723" i="15"/>
  <c r="AM722" i="15"/>
  <c r="AM723" i="15"/>
  <c r="AA722" i="15"/>
  <c r="AA723" i="15"/>
  <c r="X711" i="15"/>
  <c r="AA711" i="15"/>
  <c r="AE711" i="15"/>
  <c r="AB711" i="15"/>
  <c r="AG711" i="15"/>
  <c r="AM711" i="15"/>
  <c r="X718" i="15"/>
  <c r="X712" i="15"/>
  <c r="AA718" i="15"/>
  <c r="AA712" i="15"/>
  <c r="AE718" i="15"/>
  <c r="AE712" i="15"/>
  <c r="AB718" i="15"/>
  <c r="AB712" i="15"/>
  <c r="AG712" i="15"/>
  <c r="AG718" i="15"/>
  <c r="AM718" i="15"/>
  <c r="AM712" i="15"/>
  <c r="AM765" i="15"/>
  <c r="AM717" i="15"/>
  <c r="X765" i="15"/>
  <c r="X717" i="15"/>
  <c r="AB717" i="15"/>
  <c r="AB765" i="15"/>
  <c r="AA765" i="15"/>
  <c r="AA717" i="15"/>
  <c r="AE765" i="15"/>
  <c r="AE717" i="15"/>
  <c r="AG765" i="15"/>
  <c r="AG717" i="15"/>
  <c r="AD749" i="15" l="1"/>
  <c r="AD750" i="15" s="1"/>
  <c r="AI749" i="15"/>
  <c r="AI750" i="15" s="1"/>
  <c r="AL749" i="15"/>
  <c r="AL750" i="15" s="1"/>
  <c r="Z749" i="15"/>
  <c r="Z750" i="15" s="1"/>
  <c r="AF750" i="15"/>
  <c r="AC750" i="15"/>
  <c r="W750" i="15"/>
  <c r="AK750" i="15"/>
  <c r="Y750" i="15"/>
  <c r="AH750" i="15"/>
  <c r="AJ750" i="15"/>
  <c r="AE724" i="15"/>
  <c r="AE749" i="15" s="1"/>
  <c r="AA724" i="15"/>
  <c r="AA749" i="15" s="1"/>
  <c r="AG724" i="15"/>
  <c r="AG749" i="15" s="1"/>
  <c r="X724" i="15"/>
  <c r="X749" i="15" s="1"/>
  <c r="AB724" i="15"/>
  <c r="AB749" i="15" s="1"/>
  <c r="AM724" i="15"/>
  <c r="AM749" i="15" s="1"/>
  <c r="Y2" i="15"/>
  <c r="AA750" i="15" l="1"/>
  <c r="AE750" i="15"/>
  <c r="AM750" i="15"/>
  <c r="AB750" i="15"/>
  <c r="AG750" i="15"/>
  <c r="Z2" i="15"/>
  <c r="X750" i="15"/>
  <c r="AA2" i="15" l="1"/>
  <c r="AN659" i="15"/>
  <c r="AN714" i="15" s="1"/>
  <c r="AN722" i="15" l="1"/>
  <c r="AN711" i="15"/>
  <c r="AB2" i="15"/>
  <c r="AN723" i="15"/>
  <c r="AN712" i="15"/>
  <c r="AN710" i="15"/>
  <c r="AN721" i="15"/>
  <c r="AN765" i="15"/>
  <c r="AN717" i="15"/>
  <c r="AN718" i="15"/>
  <c r="AN724" i="15" l="1"/>
  <c r="AN749" i="15" s="1"/>
  <c r="AC2" i="15"/>
  <c r="AD2" i="15" l="1"/>
  <c r="AN750" i="15"/>
  <c r="AE2" i="15" l="1"/>
  <c r="M659" i="15"/>
  <c r="M714" i="15" s="1"/>
  <c r="F40" i="23" a="1"/>
  <c r="E40" i="23" a="1"/>
  <c r="E40" i="23" s="1"/>
  <c r="M722" i="15" l="1"/>
  <c r="M711" i="15"/>
  <c r="M710" i="15"/>
  <c r="M721" i="15"/>
  <c r="AF2" i="15"/>
  <c r="M712" i="15"/>
  <c r="M723" i="15"/>
  <c r="M718" i="15"/>
  <c r="M765" i="15"/>
  <c r="M717" i="15"/>
  <c r="G761" i="15"/>
  <c r="F40" i="23"/>
  <c r="J45" i="23" a="1"/>
  <c r="J45" i="23" s="1"/>
  <c r="G43" i="23" a="1"/>
  <c r="G43" i="23" s="1"/>
  <c r="H46" i="23" a="1"/>
  <c r="H46" i="23" s="1"/>
  <c r="I47" i="23" a="1"/>
  <c r="I47" i="23" s="1"/>
  <c r="H43" i="23" a="1"/>
  <c r="H43" i="23" s="1"/>
  <c r="J43" i="23" a="1"/>
  <c r="J43" i="23" s="1"/>
  <c r="H47" i="23" a="1"/>
  <c r="H47" i="23" s="1"/>
  <c r="I45" i="23" a="1"/>
  <c r="I45" i="23" s="1"/>
  <c r="G41" i="23" a="1"/>
  <c r="G41" i="23" s="1"/>
  <c r="I42" i="23" a="1"/>
  <c r="I42" i="23" s="1"/>
  <c r="J47" i="23" a="1"/>
  <c r="J47" i="23" s="1"/>
  <c r="J44" i="23" a="1"/>
  <c r="J44" i="23" s="1"/>
  <c r="G44" i="23" a="1"/>
  <c r="G44" i="23" s="1"/>
  <c r="G47" i="23" a="1"/>
  <c r="G47" i="23" s="1"/>
  <c r="I41" i="23" a="1"/>
  <c r="I41" i="23" s="1"/>
  <c r="H41" i="23" a="1"/>
  <c r="H41" i="23" s="1"/>
  <c r="H42" i="23" a="1"/>
  <c r="H42" i="23" s="1"/>
  <c r="J46" i="23" a="1"/>
  <c r="J46" i="23" s="1"/>
  <c r="I44" i="23" a="1"/>
  <c r="I44" i="23" s="1"/>
  <c r="J42" i="23" a="1"/>
  <c r="J42" i="23" s="1"/>
  <c r="G45" i="23" a="1"/>
  <c r="G45" i="23" s="1"/>
  <c r="G42" i="23" a="1"/>
  <c r="G42" i="23" s="1"/>
  <c r="I46" i="23" a="1"/>
  <c r="I46" i="23" s="1"/>
  <c r="H44" i="23" a="1"/>
  <c r="H44" i="23" s="1"/>
  <c r="G46" i="23" a="1"/>
  <c r="G46" i="23" s="1"/>
  <c r="I43" i="23" a="1"/>
  <c r="I43" i="23" s="1"/>
  <c r="J41" i="23" a="1"/>
  <c r="J41" i="23" s="1"/>
  <c r="H45" i="23" a="1"/>
  <c r="H45" i="23" s="1"/>
  <c r="M724" i="15" l="1"/>
  <c r="M749" i="15" s="1"/>
  <c r="AG2" i="15"/>
  <c r="H40" i="23" a="1"/>
  <c r="H40" i="23" s="1"/>
  <c r="G40" i="23" a="1"/>
  <c r="G40" i="23" s="1"/>
  <c r="D56" i="23" s="1" a="1"/>
  <c r="D56" i="23" s="1"/>
  <c r="J40" i="23" a="1"/>
  <c r="J40" i="23" s="1"/>
  <c r="I40" i="23" a="1"/>
  <c r="I40" i="23" s="1"/>
  <c r="M750" i="15" l="1"/>
  <c r="AH2" i="15"/>
  <c r="J56" i="23" a="1"/>
  <c r="J56" i="23" s="1"/>
  <c r="L56" i="23" a="1"/>
  <c r="L56" i="23" s="1"/>
  <c r="L70" i="23" a="1"/>
  <c r="L70" i="23" s="1"/>
  <c r="J70" i="23" a="1"/>
  <c r="J70" i="23" s="1"/>
  <c r="K56" i="23" a="1"/>
  <c r="K70" i="23" a="1"/>
  <c r="D84" i="23" a="1"/>
  <c r="D84" i="23" s="1"/>
  <c r="E84" i="23" a="1"/>
  <c r="E84" i="23" s="1"/>
  <c r="F84" i="23" a="1"/>
  <c r="D70" i="23" a="1"/>
  <c r="D70" i="23" s="1"/>
  <c r="F70" i="23" a="1"/>
  <c r="F70" i="23" s="1"/>
  <c r="F56" i="23" a="1"/>
  <c r="F56" i="23" s="1"/>
  <c r="E56" i="23" a="1"/>
  <c r="E70" i="23" a="1"/>
  <c r="I56" i="23" a="1"/>
  <c r="I56" i="23" s="1"/>
  <c r="G56" i="23" a="1"/>
  <c r="G56" i="23" s="1"/>
  <c r="I70" i="23" a="1"/>
  <c r="I70" i="23" s="1"/>
  <c r="G70" i="23" a="1"/>
  <c r="G70" i="23" s="1"/>
  <c r="H70" i="23" a="1"/>
  <c r="H56" i="23" a="1"/>
  <c r="G751" i="15" l="1"/>
  <c r="G752" i="15" s="1"/>
  <c r="F52" i="11" s="1"/>
  <c r="AI2" i="15"/>
  <c r="AJ2" i="15" s="1"/>
  <c r="AK2" i="15" s="1"/>
  <c r="AL2" i="15" s="1"/>
  <c r="AM2" i="15" s="1"/>
  <c r="AN2" i="15" s="1"/>
  <c r="AO2" i="15" s="1"/>
  <c r="E462" i="5" a="1"/>
  <c r="E462" i="5" s="1"/>
  <c r="E70" i="23"/>
  <c r="E452" i="5" a="1"/>
  <c r="E452" i="5" s="1"/>
  <c r="E460" i="5" a="1"/>
  <c r="E460" i="5" s="1"/>
  <c r="E457" i="5" a="1"/>
  <c r="E457" i="5" s="1"/>
  <c r="E456" i="5" a="1"/>
  <c r="E456" i="5" s="1"/>
  <c r="E459" i="5" a="1"/>
  <c r="E459" i="5" s="1"/>
  <c r="E461" i="5" a="1"/>
  <c r="E461" i="5" s="1"/>
  <c r="E458" i="5" a="1"/>
  <c r="E458" i="5" s="1"/>
  <c r="E450" i="5" a="1"/>
  <c r="E450" i="5" s="1"/>
  <c r="F90" i="14" s="1"/>
  <c r="E448" i="5" a="1"/>
  <c r="E448" i="5" s="1"/>
  <c r="E447" i="5" a="1"/>
  <c r="E447" i="5" s="1"/>
  <c r="F87" i="14" s="1"/>
  <c r="E449" i="5" a="1"/>
  <c r="E449" i="5" s="1"/>
  <c r="F89" i="14" s="1"/>
  <c r="E451" i="5" a="1"/>
  <c r="E451" i="5" s="1"/>
  <c r="F91" i="14" s="1"/>
  <c r="E446" i="5" a="1"/>
  <c r="E446" i="5" s="1"/>
  <c r="F86" i="14" s="1"/>
  <c r="E56" i="23"/>
  <c r="E413" i="5" s="1" a="1"/>
  <c r="E413" i="5" s="1"/>
  <c r="E420" i="5" a="1"/>
  <c r="E420" i="5" s="1"/>
  <c r="E417" i="5" a="1"/>
  <c r="E417" i="5" s="1"/>
  <c r="E418" i="5" a="1"/>
  <c r="E418" i="5" s="1"/>
  <c r="E415" i="5" a="1"/>
  <c r="E415" i="5" s="1"/>
  <c r="E419" i="5" a="1"/>
  <c r="E419" i="5" s="1"/>
  <c r="E416" i="5" a="1"/>
  <c r="E416" i="5" s="1"/>
  <c r="E414" i="5" a="1"/>
  <c r="E414" i="5" s="1"/>
  <c r="E436" i="5" s="1"/>
  <c r="E589" i="5" a="1"/>
  <c r="E589" i="5" s="1"/>
  <c r="F375" i="14" s="1"/>
  <c r="E591" i="5" a="1"/>
  <c r="E591" i="5" s="1"/>
  <c r="F377" i="14" s="1"/>
  <c r="E590" i="5" a="1"/>
  <c r="E590" i="5" s="1"/>
  <c r="F376" i="14" s="1"/>
  <c r="E588" i="5" a="1"/>
  <c r="E588" i="5" s="1"/>
  <c r="F374" i="14" s="1"/>
  <c r="E592" i="5" a="1"/>
  <c r="E592" i="5" s="1"/>
  <c r="F378" i="14" s="1"/>
  <c r="E603" i="5" a="1"/>
  <c r="E603" i="5" s="1"/>
  <c r="K70" i="23"/>
  <c r="E587" i="5" a="1"/>
  <c r="E587" i="5" s="1"/>
  <c r="F373" i="14" s="1"/>
  <c r="E593" i="5" a="1"/>
  <c r="E593" i="5" s="1"/>
  <c r="E601" i="5" a="1"/>
  <c r="E601" i="5" s="1"/>
  <c r="E598" i="5" a="1"/>
  <c r="E598" i="5" s="1"/>
  <c r="E602" i="5" a="1"/>
  <c r="E602" i="5" s="1"/>
  <c r="E597" i="5" a="1"/>
  <c r="E597" i="5" s="1"/>
  <c r="E599" i="5" a="1"/>
  <c r="E599" i="5" s="1"/>
  <c r="E600" i="5" a="1"/>
  <c r="E600" i="5" s="1"/>
  <c r="E563" i="5" a="1"/>
  <c r="E563" i="5" s="1"/>
  <c r="E558" i="5" a="1"/>
  <c r="E558" i="5" s="1"/>
  <c r="E559" i="5" a="1"/>
  <c r="E559" i="5" s="1"/>
  <c r="E561" i="5" a="1"/>
  <c r="E561" i="5" s="1"/>
  <c r="K56" i="23"/>
  <c r="E556" i="5" s="1" a="1"/>
  <c r="E556" i="5" s="1"/>
  <c r="E557" i="5" a="1"/>
  <c r="E557" i="5" s="1"/>
  <c r="E560" i="5" a="1"/>
  <c r="E560" i="5" s="1"/>
  <c r="E562" i="5" a="1"/>
  <c r="E562" i="5" s="1"/>
  <c r="E521" i="5" a="1"/>
  <c r="E521" i="5" s="1"/>
  <c r="F233" i="14" s="1"/>
  <c r="E517" i="5" a="1"/>
  <c r="E517" i="5" s="1"/>
  <c r="F229" i="14" s="1"/>
  <c r="E520" i="5" a="1"/>
  <c r="E520" i="5" s="1"/>
  <c r="F232" i="14" s="1"/>
  <c r="E518" i="5" a="1"/>
  <c r="E518" i="5" s="1"/>
  <c r="F230" i="14" s="1"/>
  <c r="E527" i="5" a="1"/>
  <c r="E527" i="5" s="1"/>
  <c r="E531" i="5" a="1"/>
  <c r="E531" i="5" s="1"/>
  <c r="E528" i="5" a="1"/>
  <c r="E528" i="5" s="1"/>
  <c r="E526" i="5" a="1"/>
  <c r="E526" i="5" s="1"/>
  <c r="E529" i="5" a="1"/>
  <c r="E529" i="5" s="1"/>
  <c r="E530" i="5" a="1"/>
  <c r="E530" i="5" s="1"/>
  <c r="E519" i="5" a="1"/>
  <c r="E519" i="5" s="1"/>
  <c r="E522" i="5" a="1"/>
  <c r="E522" i="5" s="1"/>
  <c r="E532" i="5" a="1"/>
  <c r="E532" i="5" s="1"/>
  <c r="H70" i="23"/>
  <c r="E516" i="5" a="1"/>
  <c r="E516" i="5" s="1"/>
  <c r="F228" i="14" s="1"/>
  <c r="E492" i="5" a="1"/>
  <c r="E492" i="5" s="1"/>
  <c r="E490" i="5" a="1"/>
  <c r="E490" i="5" s="1"/>
  <c r="E487" i="5" a="1"/>
  <c r="E487" i="5" s="1"/>
  <c r="E489" i="5" a="1"/>
  <c r="E489" i="5" s="1"/>
  <c r="E488" i="5" a="1"/>
  <c r="E488" i="5" s="1"/>
  <c r="E486" i="5" a="1"/>
  <c r="E486" i="5" s="1"/>
  <c r="H56" i="23"/>
  <c r="E485" i="5" s="1" a="1"/>
  <c r="E485" i="5" s="1"/>
  <c r="E491" i="5" a="1"/>
  <c r="E491" i="5" s="1"/>
  <c r="F68" i="17" a="1"/>
  <c r="F68" i="17" s="1"/>
  <c r="F73" i="17" a="1"/>
  <c r="F73" i="17" s="1"/>
  <c r="F71" i="17" a="1"/>
  <c r="F71" i="17" s="1"/>
  <c r="F70" i="17" a="1"/>
  <c r="F70" i="17" s="1"/>
  <c r="F69" i="17" a="1"/>
  <c r="F69" i="17" s="1"/>
  <c r="F72" i="17" a="1"/>
  <c r="F72" i="17" s="1"/>
  <c r="F84" i="23"/>
  <c r="F67" i="17" s="1" a="1"/>
  <c r="F67" i="17" s="1"/>
  <c r="F224" i="16" l="1"/>
  <c r="F65" i="7"/>
  <c r="E424" i="5"/>
  <c r="F67" i="8" s="1"/>
  <c r="F273" i="15"/>
  <c r="F111" i="14"/>
  <c r="F151" i="15"/>
  <c r="F123" i="16"/>
  <c r="E435" i="5"/>
  <c r="F59" i="9" s="1"/>
  <c r="F400" i="16"/>
  <c r="F477" i="15"/>
  <c r="E510" i="5"/>
  <c r="F152" i="9" s="1"/>
  <c r="F494" i="16"/>
  <c r="F596" i="15"/>
  <c r="F258" i="14"/>
  <c r="E500" i="5"/>
  <c r="F163" i="8" s="1"/>
  <c r="F160" i="7"/>
  <c r="F568" i="15"/>
  <c r="F453" i="15"/>
  <c r="Z233" i="14"/>
  <c r="Z241" i="14" s="1"/>
  <c r="M233" i="14"/>
  <c r="M241" i="14" s="1"/>
  <c r="AH233" i="14"/>
  <c r="AH241" i="14" s="1"/>
  <c r="O233" i="14"/>
  <c r="O241" i="14" s="1"/>
  <c r="AC233" i="14"/>
  <c r="AC241" i="14" s="1"/>
  <c r="Q233" i="14"/>
  <c r="Q241" i="14" s="1"/>
  <c r="V233" i="14"/>
  <c r="V241" i="14" s="1"/>
  <c r="N233" i="14"/>
  <c r="N241" i="14" s="1"/>
  <c r="I233" i="14"/>
  <c r="I241" i="14" s="1"/>
  <c r="W233" i="14"/>
  <c r="W241" i="14" s="1"/>
  <c r="AL233" i="14"/>
  <c r="AL241" i="14" s="1"/>
  <c r="K233" i="14"/>
  <c r="K241" i="14" s="1"/>
  <c r="AN233" i="14"/>
  <c r="AN241" i="14" s="1"/>
  <c r="P233" i="14"/>
  <c r="P241" i="14" s="1"/>
  <c r="AG233" i="14"/>
  <c r="AG241" i="14" s="1"/>
  <c r="S233" i="14"/>
  <c r="S241" i="14" s="1"/>
  <c r="AE233" i="14"/>
  <c r="AE241" i="14" s="1"/>
  <c r="AB233" i="14"/>
  <c r="AB241" i="14" s="1"/>
  <c r="AM233" i="14"/>
  <c r="AM241" i="14" s="1"/>
  <c r="J233" i="14"/>
  <c r="J241" i="14" s="1"/>
  <c r="AI233" i="14"/>
  <c r="AI241" i="14" s="1"/>
  <c r="AA233" i="14"/>
  <c r="AA241" i="14" s="1"/>
  <c r="AK233" i="14"/>
  <c r="AK241" i="14" s="1"/>
  <c r="X233" i="14"/>
  <c r="X241" i="14" s="1"/>
  <c r="Y233" i="14"/>
  <c r="Y241" i="14" s="1"/>
  <c r="L233" i="14"/>
  <c r="L241" i="14" s="1"/>
  <c r="AJ233" i="14"/>
  <c r="AJ241" i="14" s="1"/>
  <c r="R233" i="14"/>
  <c r="R241" i="14" s="1"/>
  <c r="T233" i="14"/>
  <c r="T241" i="14" s="1"/>
  <c r="AO233" i="14"/>
  <c r="AO241" i="14" s="1"/>
  <c r="AD233" i="14"/>
  <c r="AD241" i="14" s="1"/>
  <c r="U233" i="14"/>
  <c r="U241" i="14" s="1"/>
  <c r="AF233" i="14"/>
  <c r="AF241" i="14" s="1"/>
  <c r="E573" i="5"/>
  <c r="E583" i="5"/>
  <c r="S373" i="14"/>
  <c r="S381" i="14" s="1"/>
  <c r="U373" i="14"/>
  <c r="U381" i="14" s="1"/>
  <c r="M373" i="14"/>
  <c r="M381" i="14" s="1"/>
  <c r="AB373" i="14"/>
  <c r="AB381" i="14" s="1"/>
  <c r="W373" i="14"/>
  <c r="W381" i="14" s="1"/>
  <c r="P373" i="14"/>
  <c r="P381" i="14" s="1"/>
  <c r="AM373" i="14"/>
  <c r="AM381" i="14" s="1"/>
  <c r="AK373" i="14"/>
  <c r="AK381" i="14" s="1"/>
  <c r="N373" i="14"/>
  <c r="N381" i="14" s="1"/>
  <c r="AC373" i="14"/>
  <c r="AC381" i="14" s="1"/>
  <c r="O373" i="14"/>
  <c r="O381" i="14" s="1"/>
  <c r="AA373" i="14"/>
  <c r="AA381" i="14" s="1"/>
  <c r="R373" i="14"/>
  <c r="R381" i="14" s="1"/>
  <c r="AD373" i="14"/>
  <c r="AD381" i="14" s="1"/>
  <c r="T373" i="14"/>
  <c r="T381" i="14" s="1"/>
  <c r="V373" i="14"/>
  <c r="V381" i="14" s="1"/>
  <c r="AN373" i="14"/>
  <c r="AN381" i="14" s="1"/>
  <c r="Q373" i="14"/>
  <c r="Q381" i="14" s="1"/>
  <c r="AJ373" i="14"/>
  <c r="AJ381" i="14" s="1"/>
  <c r="AL373" i="14"/>
  <c r="AL381" i="14" s="1"/>
  <c r="X373" i="14"/>
  <c r="X381" i="14" s="1"/>
  <c r="AI373" i="14"/>
  <c r="AI381" i="14" s="1"/>
  <c r="J373" i="14"/>
  <c r="J381" i="14" s="1"/>
  <c r="L373" i="14"/>
  <c r="L381" i="14" s="1"/>
  <c r="AO373" i="14"/>
  <c r="AO381" i="14" s="1"/>
  <c r="Z373" i="14"/>
  <c r="Z381" i="14" s="1"/>
  <c r="Y373" i="14"/>
  <c r="Y381" i="14" s="1"/>
  <c r="AH373" i="14"/>
  <c r="AH381" i="14" s="1"/>
  <c r="K373" i="14"/>
  <c r="K381" i="14" s="1"/>
  <c r="AF373" i="14"/>
  <c r="AF381" i="14" s="1"/>
  <c r="AG373" i="14"/>
  <c r="AG381" i="14" s="1"/>
  <c r="AE373" i="14"/>
  <c r="AE381" i="14" s="1"/>
  <c r="I373" i="14"/>
  <c r="F60" i="9"/>
  <c r="F112" i="14"/>
  <c r="F225" i="16"/>
  <c r="F274" i="15"/>
  <c r="F66" i="7"/>
  <c r="F152" i="15"/>
  <c r="E425" i="5"/>
  <c r="F68" i="8" s="1"/>
  <c r="F124" i="16"/>
  <c r="AM86" i="14"/>
  <c r="AM94" i="14" s="1"/>
  <c r="AO86" i="14"/>
  <c r="AO94" i="14" s="1"/>
  <c r="AC86" i="14"/>
  <c r="AC94" i="14" s="1"/>
  <c r="AG86" i="14"/>
  <c r="AG94" i="14" s="1"/>
  <c r="AL86" i="14"/>
  <c r="AL94" i="14" s="1"/>
  <c r="Q86" i="14"/>
  <c r="Q94" i="14" s="1"/>
  <c r="S86" i="14"/>
  <c r="S94" i="14" s="1"/>
  <c r="AI86" i="14"/>
  <c r="AI94" i="14" s="1"/>
  <c r="AK86" i="14"/>
  <c r="AK94" i="14" s="1"/>
  <c r="T86" i="14"/>
  <c r="T94" i="14" s="1"/>
  <c r="J86" i="14"/>
  <c r="J94" i="14" s="1"/>
  <c r="V86" i="14"/>
  <c r="V94" i="14" s="1"/>
  <c r="AF86" i="14"/>
  <c r="AF94" i="14" s="1"/>
  <c r="AN86" i="14"/>
  <c r="AN94" i="14" s="1"/>
  <c r="AA86" i="14"/>
  <c r="AA94" i="14" s="1"/>
  <c r="L86" i="14"/>
  <c r="L94" i="14" s="1"/>
  <c r="AE86" i="14"/>
  <c r="AE94" i="14" s="1"/>
  <c r="AD86" i="14"/>
  <c r="AD94" i="14" s="1"/>
  <c r="O86" i="14"/>
  <c r="O94" i="14" s="1"/>
  <c r="AH86" i="14"/>
  <c r="AH94" i="14" s="1"/>
  <c r="X86" i="14"/>
  <c r="X94" i="14" s="1"/>
  <c r="N86" i="14"/>
  <c r="N94" i="14" s="1"/>
  <c r="K86" i="14"/>
  <c r="K94" i="14" s="1"/>
  <c r="W86" i="14"/>
  <c r="W94" i="14" s="1"/>
  <c r="AJ86" i="14"/>
  <c r="AJ94" i="14" s="1"/>
  <c r="P86" i="14"/>
  <c r="P94" i="14" s="1"/>
  <c r="M86" i="14"/>
  <c r="M94" i="14" s="1"/>
  <c r="Y86" i="14"/>
  <c r="Y94" i="14" s="1"/>
  <c r="U86" i="14"/>
  <c r="U94" i="14" s="1"/>
  <c r="I86" i="14"/>
  <c r="Z86" i="14"/>
  <c r="Z94" i="14" s="1"/>
  <c r="R86" i="14"/>
  <c r="R94" i="14" s="1"/>
  <c r="AB86" i="14"/>
  <c r="AB94" i="14" s="1"/>
  <c r="F132" i="15"/>
  <c r="F250" i="15"/>
  <c r="N229" i="14"/>
  <c r="N237" i="14" s="1"/>
  <c r="AE229" i="14"/>
  <c r="AE237" i="14" s="1"/>
  <c r="V229" i="14"/>
  <c r="V237" i="14" s="1"/>
  <c r="AN229" i="14"/>
  <c r="AN237" i="14" s="1"/>
  <c r="W229" i="14"/>
  <c r="W237" i="14" s="1"/>
  <c r="P229" i="14"/>
  <c r="P237" i="14" s="1"/>
  <c r="U229" i="14"/>
  <c r="U237" i="14" s="1"/>
  <c r="O229" i="14"/>
  <c r="O237" i="14" s="1"/>
  <c r="AI229" i="14"/>
  <c r="AI237" i="14" s="1"/>
  <c r="T229" i="14"/>
  <c r="T237" i="14" s="1"/>
  <c r="M229" i="14"/>
  <c r="M237" i="14" s="1"/>
  <c r="AJ229" i="14"/>
  <c r="AJ237" i="14" s="1"/>
  <c r="Y229" i="14"/>
  <c r="Y237" i="14" s="1"/>
  <c r="AC229" i="14"/>
  <c r="AC237" i="14" s="1"/>
  <c r="AA229" i="14"/>
  <c r="AA237" i="14" s="1"/>
  <c r="AM229" i="14"/>
  <c r="AM237" i="14" s="1"/>
  <c r="Z229" i="14"/>
  <c r="Z237" i="14" s="1"/>
  <c r="X229" i="14"/>
  <c r="X237" i="14" s="1"/>
  <c r="I229" i="14"/>
  <c r="I237" i="14" s="1"/>
  <c r="J229" i="14"/>
  <c r="J237" i="14" s="1"/>
  <c r="AO229" i="14"/>
  <c r="AO237" i="14" s="1"/>
  <c r="AB229" i="14"/>
  <c r="AB237" i="14" s="1"/>
  <c r="L229" i="14"/>
  <c r="L237" i="14" s="1"/>
  <c r="AK229" i="14"/>
  <c r="AK237" i="14" s="1"/>
  <c r="AH229" i="14"/>
  <c r="AH237" i="14" s="1"/>
  <c r="AF229" i="14"/>
  <c r="AF237" i="14" s="1"/>
  <c r="S229" i="14"/>
  <c r="S237" i="14" s="1"/>
  <c r="Q229" i="14"/>
  <c r="Q237" i="14" s="1"/>
  <c r="AD229" i="14"/>
  <c r="AD237" i="14" s="1"/>
  <c r="AG229" i="14"/>
  <c r="AG237" i="14" s="1"/>
  <c r="R229" i="14"/>
  <c r="R237" i="14" s="1"/>
  <c r="K229" i="14"/>
  <c r="K237" i="14" s="1"/>
  <c r="AL229" i="14"/>
  <c r="AL237" i="14" s="1"/>
  <c r="Y68" i="17"/>
  <c r="Y76" i="17" s="1"/>
  <c r="K68" i="17"/>
  <c r="K76" i="17" s="1"/>
  <c r="AN68" i="17"/>
  <c r="AN76" i="17" s="1"/>
  <c r="T68" i="17"/>
  <c r="T76" i="17" s="1"/>
  <c r="X68" i="17"/>
  <c r="X76" i="17" s="1"/>
  <c r="W68" i="17"/>
  <c r="W76" i="17" s="1"/>
  <c r="J68" i="17"/>
  <c r="J76" i="17" s="1"/>
  <c r="AB68" i="17"/>
  <c r="AB76" i="17" s="1"/>
  <c r="P68" i="17"/>
  <c r="P76" i="17" s="1"/>
  <c r="AG68" i="17"/>
  <c r="AG76" i="17" s="1"/>
  <c r="AA68" i="17"/>
  <c r="AA76" i="17" s="1"/>
  <c r="AF68" i="17"/>
  <c r="AF76" i="17" s="1"/>
  <c r="AC68" i="17"/>
  <c r="AC76" i="17" s="1"/>
  <c r="AH68" i="17"/>
  <c r="AH76" i="17" s="1"/>
  <c r="AD68" i="17"/>
  <c r="AD76" i="17" s="1"/>
  <c r="Z68" i="17"/>
  <c r="Z76" i="17" s="1"/>
  <c r="R68" i="17"/>
  <c r="R76" i="17" s="1"/>
  <c r="AL68" i="17"/>
  <c r="AL76" i="17" s="1"/>
  <c r="O68" i="17"/>
  <c r="O76" i="17" s="1"/>
  <c r="AM68" i="17"/>
  <c r="AM76" i="17" s="1"/>
  <c r="AK68" i="17"/>
  <c r="AK76" i="17" s="1"/>
  <c r="V68" i="17"/>
  <c r="V76" i="17" s="1"/>
  <c r="I68" i="17"/>
  <c r="I76" i="17" s="1"/>
  <c r="AE68" i="17"/>
  <c r="AE76" i="17" s="1"/>
  <c r="Q68" i="17"/>
  <c r="Q76" i="17" s="1"/>
  <c r="AI68" i="17"/>
  <c r="AI76" i="17" s="1"/>
  <c r="S68" i="17"/>
  <c r="S76" i="17" s="1"/>
  <c r="U68" i="17"/>
  <c r="U76" i="17" s="1"/>
  <c r="L68" i="17"/>
  <c r="L76" i="17" s="1"/>
  <c r="N68" i="17"/>
  <c r="N76" i="17" s="1"/>
  <c r="AJ68" i="17"/>
  <c r="AJ76" i="17" s="1"/>
  <c r="AP68" i="17"/>
  <c r="AP76" i="17" s="1"/>
  <c r="AO68" i="17"/>
  <c r="AO76" i="17" s="1"/>
  <c r="M68" i="17"/>
  <c r="M76" i="17" s="1"/>
  <c r="E512" i="5"/>
  <c r="E502" i="5"/>
  <c r="F565" i="15"/>
  <c r="F450" i="15"/>
  <c r="F667" i="16"/>
  <c r="F915" i="15"/>
  <c r="F761" i="16"/>
  <c r="E582" i="5"/>
  <c r="F241" i="9" s="1"/>
  <c r="F404" i="14"/>
  <c r="E572" i="5"/>
  <c r="F254" i="8" s="1"/>
  <c r="F248" i="7"/>
  <c r="F796" i="15"/>
  <c r="F886" i="15"/>
  <c r="F771" i="15"/>
  <c r="E586" i="5" a="1"/>
  <c r="E586" i="5" s="1"/>
  <c r="F372" i="14" s="1"/>
  <c r="E596" i="5" a="1"/>
  <c r="E596" i="5" s="1"/>
  <c r="F68" i="7"/>
  <c r="F114" i="14"/>
  <c r="E438" i="5"/>
  <c r="F62" i="9" s="1"/>
  <c r="F227" i="16"/>
  <c r="E427" i="5"/>
  <c r="F70" i="8" s="1"/>
  <c r="F276" i="15"/>
  <c r="F126" i="16"/>
  <c r="F154" i="15"/>
  <c r="AC91" i="14"/>
  <c r="AC99" i="14" s="1"/>
  <c r="AJ91" i="14"/>
  <c r="AJ99" i="14" s="1"/>
  <c r="AG91" i="14"/>
  <c r="AG99" i="14" s="1"/>
  <c r="AE91" i="14"/>
  <c r="AE99" i="14" s="1"/>
  <c r="AN91" i="14"/>
  <c r="AN99" i="14" s="1"/>
  <c r="AI91" i="14"/>
  <c r="AI99" i="14" s="1"/>
  <c r="AM91" i="14"/>
  <c r="AM99" i="14" s="1"/>
  <c r="AH91" i="14"/>
  <c r="AH99" i="14" s="1"/>
  <c r="AD91" i="14"/>
  <c r="AD99" i="14" s="1"/>
  <c r="AF91" i="14"/>
  <c r="AF99" i="14" s="1"/>
  <c r="AO91" i="14"/>
  <c r="AO99" i="14" s="1"/>
  <c r="AK91" i="14"/>
  <c r="AK99" i="14" s="1"/>
  <c r="AL91" i="14"/>
  <c r="AL99" i="14" s="1"/>
  <c r="J91" i="14"/>
  <c r="J99" i="14" s="1"/>
  <c r="AB91" i="14"/>
  <c r="AB99" i="14" s="1"/>
  <c r="AA91" i="14"/>
  <c r="AA99" i="14" s="1"/>
  <c r="X91" i="14"/>
  <c r="X99" i="14" s="1"/>
  <c r="T91" i="14"/>
  <c r="T99" i="14" s="1"/>
  <c r="S91" i="14"/>
  <c r="S99" i="14" s="1"/>
  <c r="M91" i="14"/>
  <c r="M99" i="14" s="1"/>
  <c r="L91" i="14"/>
  <c r="L99" i="14" s="1"/>
  <c r="Z91" i="14"/>
  <c r="Z99" i="14" s="1"/>
  <c r="N91" i="14"/>
  <c r="N99" i="14" s="1"/>
  <c r="Q91" i="14"/>
  <c r="Q99" i="14" s="1"/>
  <c r="I91" i="14"/>
  <c r="I99" i="14" s="1"/>
  <c r="W91" i="14"/>
  <c r="W99" i="14" s="1"/>
  <c r="U91" i="14"/>
  <c r="U99" i="14" s="1"/>
  <c r="R91" i="14"/>
  <c r="R99" i="14" s="1"/>
  <c r="K91" i="14"/>
  <c r="K99" i="14" s="1"/>
  <c r="P91" i="14"/>
  <c r="P99" i="14" s="1"/>
  <c r="Y91" i="14"/>
  <c r="Y99" i="14" s="1"/>
  <c r="O91" i="14"/>
  <c r="O99" i="14" s="1"/>
  <c r="V91" i="14"/>
  <c r="V99" i="14" s="1"/>
  <c r="F129" i="15"/>
  <c r="F247" i="15"/>
  <c r="E507" i="5"/>
  <c r="F149" i="9" s="1"/>
  <c r="F593" i="15"/>
  <c r="F397" i="16"/>
  <c r="F255" i="14"/>
  <c r="F474" i="15"/>
  <c r="F491" i="16"/>
  <c r="E497" i="5"/>
  <c r="F160" i="8" s="1"/>
  <c r="F157" i="7"/>
  <c r="F134" i="15"/>
  <c r="F252" i="15"/>
  <c r="AJ228" i="14"/>
  <c r="AJ236" i="14" s="1"/>
  <c r="AD228" i="14"/>
  <c r="AD236" i="14" s="1"/>
  <c r="W228" i="14"/>
  <c r="W236" i="14" s="1"/>
  <c r="AG228" i="14"/>
  <c r="AG236" i="14" s="1"/>
  <c r="J228" i="14"/>
  <c r="J236" i="14" s="1"/>
  <c r="P228" i="14"/>
  <c r="P236" i="14" s="1"/>
  <c r="AE228" i="14"/>
  <c r="AE236" i="14" s="1"/>
  <c r="V228" i="14"/>
  <c r="V236" i="14" s="1"/>
  <c r="AI228" i="14"/>
  <c r="AI236" i="14" s="1"/>
  <c r="R228" i="14"/>
  <c r="R236" i="14" s="1"/>
  <c r="AF228" i="14"/>
  <c r="AF236" i="14" s="1"/>
  <c r="L228" i="14"/>
  <c r="L236" i="14" s="1"/>
  <c r="M228" i="14"/>
  <c r="M236" i="14" s="1"/>
  <c r="Q228" i="14"/>
  <c r="Q236" i="14" s="1"/>
  <c r="U228" i="14"/>
  <c r="U236" i="14" s="1"/>
  <c r="AM228" i="14"/>
  <c r="AM236" i="14" s="1"/>
  <c r="AN228" i="14"/>
  <c r="AN236" i="14" s="1"/>
  <c r="AL228" i="14"/>
  <c r="AL236" i="14" s="1"/>
  <c r="AB228" i="14"/>
  <c r="AB236" i="14" s="1"/>
  <c r="Y228" i="14"/>
  <c r="Y236" i="14" s="1"/>
  <c r="AC228" i="14"/>
  <c r="AC236" i="14" s="1"/>
  <c r="S228" i="14"/>
  <c r="S236" i="14" s="1"/>
  <c r="T228" i="14"/>
  <c r="T236" i="14" s="1"/>
  <c r="X228" i="14"/>
  <c r="X236" i="14" s="1"/>
  <c r="N228" i="14"/>
  <c r="N236" i="14" s="1"/>
  <c r="O228" i="14"/>
  <c r="O236" i="14" s="1"/>
  <c r="AH228" i="14"/>
  <c r="AH236" i="14" s="1"/>
  <c r="AA228" i="14"/>
  <c r="AA236" i="14" s="1"/>
  <c r="AO228" i="14"/>
  <c r="AO236" i="14" s="1"/>
  <c r="K228" i="14"/>
  <c r="K236" i="14" s="1"/>
  <c r="AK228" i="14"/>
  <c r="AK236" i="14" s="1"/>
  <c r="I228" i="14"/>
  <c r="Z228" i="14"/>
  <c r="Z236" i="14" s="1"/>
  <c r="F567" i="15"/>
  <c r="F452" i="15"/>
  <c r="F759" i="16"/>
  <c r="F665" i="16"/>
  <c r="F913" i="15"/>
  <c r="E580" i="5"/>
  <c r="F239" i="9" s="1"/>
  <c r="F402" i="14"/>
  <c r="E570" i="5"/>
  <c r="F252" i="8" s="1"/>
  <c r="F246" i="7"/>
  <c r="F794" i="15"/>
  <c r="F885" i="15"/>
  <c r="F770" i="15"/>
  <c r="F117" i="14"/>
  <c r="F230" i="16"/>
  <c r="E441" i="5"/>
  <c r="F65" i="9" s="1"/>
  <c r="F71" i="7"/>
  <c r="F129" i="16"/>
  <c r="F157" i="15"/>
  <c r="E430" i="5"/>
  <c r="F73" i="8" s="1"/>
  <c r="F279" i="15"/>
  <c r="AH89" i="14"/>
  <c r="AH97" i="14" s="1"/>
  <c r="AO89" i="14"/>
  <c r="AO97" i="14" s="1"/>
  <c r="AM89" i="14"/>
  <c r="AM97" i="14" s="1"/>
  <c r="AC89" i="14"/>
  <c r="AC97" i="14" s="1"/>
  <c r="AN89" i="14"/>
  <c r="AN97" i="14" s="1"/>
  <c r="AJ89" i="14"/>
  <c r="AJ97" i="14" s="1"/>
  <c r="AD89" i="14"/>
  <c r="AD97" i="14" s="1"/>
  <c r="AG89" i="14"/>
  <c r="AG97" i="14" s="1"/>
  <c r="AF89" i="14"/>
  <c r="AF97" i="14" s="1"/>
  <c r="AL89" i="14"/>
  <c r="AL97" i="14" s="1"/>
  <c r="AI89" i="14"/>
  <c r="AI97" i="14" s="1"/>
  <c r="AK89" i="14"/>
  <c r="AK97" i="14" s="1"/>
  <c r="AE89" i="14"/>
  <c r="AE97" i="14" s="1"/>
  <c r="AA89" i="14"/>
  <c r="AA97" i="14" s="1"/>
  <c r="L89" i="14"/>
  <c r="L97" i="14" s="1"/>
  <c r="R89" i="14"/>
  <c r="R97" i="14" s="1"/>
  <c r="V89" i="14"/>
  <c r="V97" i="14" s="1"/>
  <c r="M89" i="14"/>
  <c r="M97" i="14" s="1"/>
  <c r="W89" i="14"/>
  <c r="W97" i="14" s="1"/>
  <c r="T89" i="14"/>
  <c r="T97" i="14" s="1"/>
  <c r="Q89" i="14"/>
  <c r="Q97" i="14" s="1"/>
  <c r="O89" i="14"/>
  <c r="O97" i="14" s="1"/>
  <c r="N89" i="14"/>
  <c r="N97" i="14" s="1"/>
  <c r="Z89" i="14"/>
  <c r="Z97" i="14" s="1"/>
  <c r="J89" i="14"/>
  <c r="J97" i="14" s="1"/>
  <c r="AB89" i="14"/>
  <c r="AB97" i="14" s="1"/>
  <c r="X89" i="14"/>
  <c r="X97" i="14" s="1"/>
  <c r="U89" i="14"/>
  <c r="U97" i="14" s="1"/>
  <c r="Y89" i="14"/>
  <c r="Y97" i="14" s="1"/>
  <c r="S89" i="14"/>
  <c r="S97" i="14" s="1"/>
  <c r="P89" i="14"/>
  <c r="P97" i="14" s="1"/>
  <c r="K89" i="14"/>
  <c r="K97" i="14" s="1"/>
  <c r="I89" i="14"/>
  <c r="I97" i="14" s="1"/>
  <c r="F130" i="15"/>
  <c r="F248" i="15"/>
  <c r="AJ71" i="17"/>
  <c r="AJ79" i="17" s="1"/>
  <c r="I71" i="17"/>
  <c r="I79" i="17" s="1"/>
  <c r="V71" i="17"/>
  <c r="V79" i="17" s="1"/>
  <c r="Q71" i="17"/>
  <c r="Q79" i="17" s="1"/>
  <c r="AF71" i="17"/>
  <c r="AF79" i="17" s="1"/>
  <c r="AC71" i="17"/>
  <c r="AC79" i="17" s="1"/>
  <c r="T71" i="17"/>
  <c r="T79" i="17" s="1"/>
  <c r="Z71" i="17"/>
  <c r="Z79" i="17" s="1"/>
  <c r="AE71" i="17"/>
  <c r="AE79" i="17" s="1"/>
  <c r="AP71" i="17"/>
  <c r="AP79" i="17" s="1"/>
  <c r="AB71" i="17"/>
  <c r="AB79" i="17" s="1"/>
  <c r="AO71" i="17"/>
  <c r="AO79" i="17" s="1"/>
  <c r="AA71" i="17"/>
  <c r="AA79" i="17" s="1"/>
  <c r="AH71" i="17"/>
  <c r="AH79" i="17" s="1"/>
  <c r="K71" i="17"/>
  <c r="K79" i="17" s="1"/>
  <c r="AG71" i="17"/>
  <c r="AG79" i="17" s="1"/>
  <c r="S71" i="17"/>
  <c r="S79" i="17" s="1"/>
  <c r="J71" i="17"/>
  <c r="J79" i="17" s="1"/>
  <c r="W71" i="17"/>
  <c r="W79" i="17" s="1"/>
  <c r="M71" i="17"/>
  <c r="M79" i="17" s="1"/>
  <c r="AI71" i="17"/>
  <c r="AI79" i="17" s="1"/>
  <c r="N71" i="17"/>
  <c r="N79" i="17" s="1"/>
  <c r="AN71" i="17"/>
  <c r="AN79" i="17" s="1"/>
  <c r="L71" i="17"/>
  <c r="L79" i="17" s="1"/>
  <c r="AL71" i="17"/>
  <c r="AL79" i="17" s="1"/>
  <c r="U71" i="17"/>
  <c r="U79" i="17" s="1"/>
  <c r="Y71" i="17"/>
  <c r="Y79" i="17" s="1"/>
  <c r="AK71" i="17"/>
  <c r="AK79" i="17" s="1"/>
  <c r="X71" i="17"/>
  <c r="X79" i="17" s="1"/>
  <c r="O71" i="17"/>
  <c r="O79" i="17" s="1"/>
  <c r="AD71" i="17"/>
  <c r="AD79" i="17" s="1"/>
  <c r="R71" i="17"/>
  <c r="R79" i="17" s="1"/>
  <c r="AM71" i="17"/>
  <c r="AM79" i="17" s="1"/>
  <c r="P71" i="17"/>
  <c r="P79" i="17" s="1"/>
  <c r="V375" i="14"/>
  <c r="V383" i="14" s="1"/>
  <c r="P375" i="14"/>
  <c r="P383" i="14" s="1"/>
  <c r="X375" i="14"/>
  <c r="X383" i="14" s="1"/>
  <c r="AN375" i="14"/>
  <c r="AN383" i="14" s="1"/>
  <c r="R375" i="14"/>
  <c r="R383" i="14" s="1"/>
  <c r="AE375" i="14"/>
  <c r="AE383" i="14" s="1"/>
  <c r="AA375" i="14"/>
  <c r="AA383" i="14" s="1"/>
  <c r="N375" i="14"/>
  <c r="N383" i="14" s="1"/>
  <c r="AK375" i="14"/>
  <c r="AK383" i="14" s="1"/>
  <c r="Z375" i="14"/>
  <c r="Z383" i="14" s="1"/>
  <c r="S375" i="14"/>
  <c r="S383" i="14" s="1"/>
  <c r="J375" i="14"/>
  <c r="J383" i="14" s="1"/>
  <c r="AG375" i="14"/>
  <c r="AG383" i="14" s="1"/>
  <c r="Q375" i="14"/>
  <c r="Q383" i="14" s="1"/>
  <c r="AO375" i="14"/>
  <c r="AO383" i="14" s="1"/>
  <c r="I375" i="14"/>
  <c r="I383" i="14" s="1"/>
  <c r="AF375" i="14"/>
  <c r="AF383" i="14" s="1"/>
  <c r="M375" i="14"/>
  <c r="M383" i="14" s="1"/>
  <c r="AJ375" i="14"/>
  <c r="AJ383" i="14" s="1"/>
  <c r="W375" i="14"/>
  <c r="W383" i="14" s="1"/>
  <c r="AI375" i="14"/>
  <c r="AI383" i="14" s="1"/>
  <c r="Y375" i="14"/>
  <c r="Y383" i="14" s="1"/>
  <c r="AD375" i="14"/>
  <c r="AD383" i="14" s="1"/>
  <c r="U375" i="14"/>
  <c r="U383" i="14" s="1"/>
  <c r="AC375" i="14"/>
  <c r="AC383" i="14" s="1"/>
  <c r="K375" i="14"/>
  <c r="K383" i="14" s="1"/>
  <c r="AB375" i="14"/>
  <c r="AB383" i="14" s="1"/>
  <c r="T375" i="14"/>
  <c r="T383" i="14" s="1"/>
  <c r="AL375" i="14"/>
  <c r="AL383" i="14" s="1"/>
  <c r="O375" i="14"/>
  <c r="O383" i="14" s="1"/>
  <c r="AH375" i="14"/>
  <c r="AH383" i="14" s="1"/>
  <c r="L375" i="14"/>
  <c r="L383" i="14" s="1"/>
  <c r="AM375" i="14"/>
  <c r="AM383" i="14" s="1"/>
  <c r="F253" i="14"/>
  <c r="E505" i="5"/>
  <c r="F147" i="9" s="1"/>
  <c r="F472" i="15"/>
  <c r="F395" i="16"/>
  <c r="E495" i="5"/>
  <c r="F158" i="8" s="1"/>
  <c r="F155" i="7"/>
  <c r="F591" i="15"/>
  <c r="F489" i="16"/>
  <c r="E525" i="5" a="1"/>
  <c r="E525" i="5" s="1"/>
  <c r="E515" i="5" a="1"/>
  <c r="E515" i="5" s="1"/>
  <c r="F227" i="14" s="1"/>
  <c r="F570" i="15"/>
  <c r="F455" i="15"/>
  <c r="F662" i="16"/>
  <c r="E567" i="5"/>
  <c r="F249" i="8" s="1"/>
  <c r="F756" i="16"/>
  <c r="E577" i="5"/>
  <c r="F236" i="9" s="1"/>
  <c r="F399" i="14"/>
  <c r="F910" i="15"/>
  <c r="F243" i="7"/>
  <c r="F791" i="15"/>
  <c r="F883" i="15"/>
  <c r="F768" i="15"/>
  <c r="I378" i="14"/>
  <c r="I386" i="14" s="1"/>
  <c r="AO378" i="14"/>
  <c r="AO386" i="14" s="1"/>
  <c r="S378" i="14"/>
  <c r="S386" i="14" s="1"/>
  <c r="P378" i="14"/>
  <c r="P386" i="14" s="1"/>
  <c r="O378" i="14"/>
  <c r="O386" i="14" s="1"/>
  <c r="AN378" i="14"/>
  <c r="AN386" i="14" s="1"/>
  <c r="J378" i="14"/>
  <c r="J386" i="14" s="1"/>
  <c r="Q378" i="14"/>
  <c r="Q386" i="14" s="1"/>
  <c r="AB378" i="14"/>
  <c r="AB386" i="14" s="1"/>
  <c r="AM378" i="14"/>
  <c r="AM386" i="14" s="1"/>
  <c r="AA378" i="14"/>
  <c r="AA386" i="14" s="1"/>
  <c r="AC378" i="14"/>
  <c r="AC386" i="14" s="1"/>
  <c r="R378" i="14"/>
  <c r="R386" i="14" s="1"/>
  <c r="AD378" i="14"/>
  <c r="AD386" i="14" s="1"/>
  <c r="V378" i="14"/>
  <c r="V386" i="14" s="1"/>
  <c r="AK378" i="14"/>
  <c r="AK386" i="14" s="1"/>
  <c r="M378" i="14"/>
  <c r="M386" i="14" s="1"/>
  <c r="AL378" i="14"/>
  <c r="AL386" i="14" s="1"/>
  <c r="X378" i="14"/>
  <c r="X386" i="14" s="1"/>
  <c r="AJ378" i="14"/>
  <c r="AJ386" i="14" s="1"/>
  <c r="N378" i="14"/>
  <c r="N386" i="14" s="1"/>
  <c r="AE378" i="14"/>
  <c r="AE386" i="14" s="1"/>
  <c r="W378" i="14"/>
  <c r="W386" i="14" s="1"/>
  <c r="Y378" i="14"/>
  <c r="Y386" i="14" s="1"/>
  <c r="Z378" i="14"/>
  <c r="Z386" i="14" s="1"/>
  <c r="AG378" i="14"/>
  <c r="AG386" i="14" s="1"/>
  <c r="AI378" i="14"/>
  <c r="AI386" i="14" s="1"/>
  <c r="K378" i="14"/>
  <c r="K386" i="14" s="1"/>
  <c r="U378" i="14"/>
  <c r="U386" i="14" s="1"/>
  <c r="T378" i="14"/>
  <c r="T386" i="14" s="1"/>
  <c r="AF378" i="14"/>
  <c r="AF386" i="14" s="1"/>
  <c r="L378" i="14"/>
  <c r="L386" i="14" s="1"/>
  <c r="AH378" i="14"/>
  <c r="AH386" i="14" s="1"/>
  <c r="F113" i="14"/>
  <c r="F226" i="16"/>
  <c r="E437" i="5"/>
  <c r="F61" i="9" s="1"/>
  <c r="F67" i="7"/>
  <c r="F275" i="15"/>
  <c r="E426" i="5"/>
  <c r="F69" i="8" s="1"/>
  <c r="F153" i="15"/>
  <c r="F125" i="16"/>
  <c r="AG87" i="14"/>
  <c r="AG95" i="14" s="1"/>
  <c r="AH87" i="14"/>
  <c r="AH95" i="14" s="1"/>
  <c r="AN87" i="14"/>
  <c r="AN95" i="14" s="1"/>
  <c r="AJ87" i="14"/>
  <c r="AJ95" i="14" s="1"/>
  <c r="AK87" i="14"/>
  <c r="AK95" i="14" s="1"/>
  <c r="AC87" i="14"/>
  <c r="AC95" i="14" s="1"/>
  <c r="AI87" i="14"/>
  <c r="AI95" i="14" s="1"/>
  <c r="AE87" i="14"/>
  <c r="AE95" i="14" s="1"/>
  <c r="AM87" i="14"/>
  <c r="AM95" i="14" s="1"/>
  <c r="AO87" i="14"/>
  <c r="AO95" i="14" s="1"/>
  <c r="AD87" i="14"/>
  <c r="AD95" i="14" s="1"/>
  <c r="AF87" i="14"/>
  <c r="AF95" i="14" s="1"/>
  <c r="AL87" i="14"/>
  <c r="AL95" i="14" s="1"/>
  <c r="O87" i="14"/>
  <c r="O95" i="14" s="1"/>
  <c r="L87" i="14"/>
  <c r="L95" i="14" s="1"/>
  <c r="T87" i="14"/>
  <c r="T95" i="14" s="1"/>
  <c r="AA87" i="14"/>
  <c r="AA95" i="14" s="1"/>
  <c r="M87" i="14"/>
  <c r="M95" i="14" s="1"/>
  <c r="J87" i="14"/>
  <c r="J95" i="14" s="1"/>
  <c r="U87" i="14"/>
  <c r="U95" i="14" s="1"/>
  <c r="I87" i="14"/>
  <c r="I95" i="14" s="1"/>
  <c r="Z87" i="14"/>
  <c r="Z95" i="14" s="1"/>
  <c r="Q87" i="14"/>
  <c r="Q95" i="14" s="1"/>
  <c r="W87" i="14"/>
  <c r="W95" i="14" s="1"/>
  <c r="AB87" i="14"/>
  <c r="AB95" i="14" s="1"/>
  <c r="K87" i="14"/>
  <c r="K95" i="14" s="1"/>
  <c r="Y87" i="14"/>
  <c r="Y95" i="14" s="1"/>
  <c r="N87" i="14"/>
  <c r="N95" i="14" s="1"/>
  <c r="R87" i="14"/>
  <c r="R95" i="14" s="1"/>
  <c r="X87" i="14"/>
  <c r="X95" i="14" s="1"/>
  <c r="V87" i="14"/>
  <c r="V95" i="14" s="1"/>
  <c r="P87" i="14"/>
  <c r="P95" i="14" s="1"/>
  <c r="S87" i="14"/>
  <c r="S95" i="14" s="1"/>
  <c r="F133" i="15"/>
  <c r="F251" i="15"/>
  <c r="F569" i="15"/>
  <c r="F454" i="15"/>
  <c r="AJ73" i="17"/>
  <c r="AJ81" i="17" s="1"/>
  <c r="I73" i="17"/>
  <c r="I81" i="17" s="1"/>
  <c r="W73" i="17"/>
  <c r="W81" i="17" s="1"/>
  <c r="O73" i="17"/>
  <c r="O81" i="17" s="1"/>
  <c r="Y73" i="17"/>
  <c r="Y81" i="17" s="1"/>
  <c r="K73" i="17"/>
  <c r="K81" i="17" s="1"/>
  <c r="AM73" i="17"/>
  <c r="AM81" i="17" s="1"/>
  <c r="M73" i="17"/>
  <c r="M81" i="17" s="1"/>
  <c r="AD73" i="17"/>
  <c r="AD81" i="17" s="1"/>
  <c r="X73" i="17"/>
  <c r="X81" i="17" s="1"/>
  <c r="T73" i="17"/>
  <c r="T81" i="17" s="1"/>
  <c r="Z73" i="17"/>
  <c r="Z81" i="17" s="1"/>
  <c r="AE73" i="17"/>
  <c r="AE81" i="17" s="1"/>
  <c r="AB73" i="17"/>
  <c r="AB81" i="17" s="1"/>
  <c r="V73" i="17"/>
  <c r="V81" i="17" s="1"/>
  <c r="AK73" i="17"/>
  <c r="AK81" i="17" s="1"/>
  <c r="AI73" i="17"/>
  <c r="AI81" i="17" s="1"/>
  <c r="AF73" i="17"/>
  <c r="AF81" i="17" s="1"/>
  <c r="AC73" i="17"/>
  <c r="AC81" i="17" s="1"/>
  <c r="J73" i="17"/>
  <c r="J81" i="17" s="1"/>
  <c r="AH73" i="17"/>
  <c r="AH81" i="17" s="1"/>
  <c r="P73" i="17"/>
  <c r="P81" i="17" s="1"/>
  <c r="AP73" i="17"/>
  <c r="AP81" i="17" s="1"/>
  <c r="R73" i="17"/>
  <c r="R81" i="17" s="1"/>
  <c r="AN73" i="17"/>
  <c r="AN81" i="17" s="1"/>
  <c r="Q73" i="17"/>
  <c r="Q81" i="17" s="1"/>
  <c r="AL73" i="17"/>
  <c r="AL81" i="17" s="1"/>
  <c r="S73" i="17"/>
  <c r="S81" i="17" s="1"/>
  <c r="U73" i="17"/>
  <c r="U81" i="17" s="1"/>
  <c r="L73" i="17"/>
  <c r="L81" i="17" s="1"/>
  <c r="AA73" i="17"/>
  <c r="AA81" i="17" s="1"/>
  <c r="N73" i="17"/>
  <c r="N81" i="17" s="1"/>
  <c r="AO73" i="17"/>
  <c r="AO81" i="17" s="1"/>
  <c r="AG73" i="17"/>
  <c r="AG81" i="17" s="1"/>
  <c r="F490" i="16"/>
  <c r="F396" i="16"/>
  <c r="F254" i="14"/>
  <c r="E496" i="5"/>
  <c r="F159" i="8" s="1"/>
  <c r="E506" i="5"/>
  <c r="F148" i="9" s="1"/>
  <c r="F156" i="7"/>
  <c r="F473" i="15"/>
  <c r="F592" i="15"/>
  <c r="F566" i="15"/>
  <c r="F451" i="15"/>
  <c r="F242" i="7"/>
  <c r="F398" i="14"/>
  <c r="F661" i="16"/>
  <c r="E576" i="5"/>
  <c r="F235" i="9" s="1"/>
  <c r="F755" i="16"/>
  <c r="E566" i="5"/>
  <c r="F248" i="8" s="1"/>
  <c r="F909" i="15"/>
  <c r="F790" i="15"/>
  <c r="F888" i="15"/>
  <c r="F773" i="15"/>
  <c r="J374" i="14"/>
  <c r="J382" i="14" s="1"/>
  <c r="S374" i="14"/>
  <c r="S382" i="14" s="1"/>
  <c r="P374" i="14"/>
  <c r="P382" i="14" s="1"/>
  <c r="AJ374" i="14"/>
  <c r="AJ382" i="14" s="1"/>
  <c r="K374" i="14"/>
  <c r="K382" i="14" s="1"/>
  <c r="U374" i="14"/>
  <c r="U382" i="14" s="1"/>
  <c r="AC374" i="14"/>
  <c r="AC382" i="14" s="1"/>
  <c r="N374" i="14"/>
  <c r="N382" i="14" s="1"/>
  <c r="Q374" i="14"/>
  <c r="Q382" i="14" s="1"/>
  <c r="R374" i="14"/>
  <c r="R382" i="14" s="1"/>
  <c r="AD374" i="14"/>
  <c r="AD382" i="14" s="1"/>
  <c r="Y374" i="14"/>
  <c r="Y382" i="14" s="1"/>
  <c r="M374" i="14"/>
  <c r="M382" i="14" s="1"/>
  <c r="AO374" i="14"/>
  <c r="AO382" i="14" s="1"/>
  <c r="O374" i="14"/>
  <c r="O382" i="14" s="1"/>
  <c r="AI374" i="14"/>
  <c r="AI382" i="14" s="1"/>
  <c r="AE374" i="14"/>
  <c r="AE382" i="14" s="1"/>
  <c r="V374" i="14"/>
  <c r="V382" i="14" s="1"/>
  <c r="AF374" i="14"/>
  <c r="AF382" i="14" s="1"/>
  <c r="W374" i="14"/>
  <c r="W382" i="14" s="1"/>
  <c r="AA374" i="14"/>
  <c r="AA382" i="14" s="1"/>
  <c r="AK374" i="14"/>
  <c r="AK382" i="14" s="1"/>
  <c r="X374" i="14"/>
  <c r="X382" i="14" s="1"/>
  <c r="AM374" i="14"/>
  <c r="AM382" i="14" s="1"/>
  <c r="T374" i="14"/>
  <c r="T382" i="14" s="1"/>
  <c r="AL374" i="14"/>
  <c r="AL382" i="14" s="1"/>
  <c r="L374" i="14"/>
  <c r="L382" i="14" s="1"/>
  <c r="Z374" i="14"/>
  <c r="Z382" i="14" s="1"/>
  <c r="AG374" i="14"/>
  <c r="AG382" i="14" s="1"/>
  <c r="AB374" i="14"/>
  <c r="AB382" i="14" s="1"/>
  <c r="I374" i="14"/>
  <c r="I382" i="14" s="1"/>
  <c r="AH374" i="14"/>
  <c r="AH382" i="14" s="1"/>
  <c r="AN374" i="14"/>
  <c r="AN382" i="14" s="1"/>
  <c r="F116" i="14"/>
  <c r="F70" i="7"/>
  <c r="E440" i="5"/>
  <c r="F64" i="9" s="1"/>
  <c r="F229" i="16"/>
  <c r="F156" i="15"/>
  <c r="E429" i="5"/>
  <c r="F72" i="8" s="1"/>
  <c r="F278" i="15"/>
  <c r="F128" i="16"/>
  <c r="F88" i="14"/>
  <c r="E536" i="5"/>
  <c r="F911" i="15"/>
  <c r="F757" i="16"/>
  <c r="F663" i="16"/>
  <c r="E578" i="5"/>
  <c r="F237" i="9" s="1"/>
  <c r="E568" i="5"/>
  <c r="F250" i="8" s="1"/>
  <c r="F400" i="14"/>
  <c r="F244" i="7"/>
  <c r="F792" i="15"/>
  <c r="F478" i="15"/>
  <c r="F259" i="14"/>
  <c r="F401" i="16"/>
  <c r="F495" i="16"/>
  <c r="E511" i="5"/>
  <c r="F153" i="9" s="1"/>
  <c r="E501" i="5"/>
  <c r="F164" i="8" s="1"/>
  <c r="F161" i="7"/>
  <c r="F597" i="15"/>
  <c r="V72" i="17"/>
  <c r="V80" i="17" s="1"/>
  <c r="AH72" i="17"/>
  <c r="AH80" i="17" s="1"/>
  <c r="AA72" i="17"/>
  <c r="AA80" i="17" s="1"/>
  <c r="AE72" i="17"/>
  <c r="AE80" i="17" s="1"/>
  <c r="Y72" i="17"/>
  <c r="Y80" i="17" s="1"/>
  <c r="N72" i="17"/>
  <c r="N80" i="17" s="1"/>
  <c r="AN72" i="17"/>
  <c r="AN80" i="17" s="1"/>
  <c r="AI72" i="17"/>
  <c r="AI80" i="17" s="1"/>
  <c r="T72" i="17"/>
  <c r="T80" i="17" s="1"/>
  <c r="U72" i="17"/>
  <c r="U80" i="17" s="1"/>
  <c r="Q72" i="17"/>
  <c r="Q80" i="17" s="1"/>
  <c r="AP72" i="17"/>
  <c r="AP80" i="17" s="1"/>
  <c r="AO72" i="17"/>
  <c r="AO80" i="17" s="1"/>
  <c r="AD72" i="17"/>
  <c r="AD80" i="17" s="1"/>
  <c r="X72" i="17"/>
  <c r="X80" i="17" s="1"/>
  <c r="I72" i="17"/>
  <c r="I80" i="17" s="1"/>
  <c r="AM72" i="17"/>
  <c r="AM80" i="17" s="1"/>
  <c r="AB72" i="17"/>
  <c r="AB80" i="17" s="1"/>
  <c r="AJ72" i="17"/>
  <c r="AJ80" i="17" s="1"/>
  <c r="M72" i="17"/>
  <c r="M80" i="17" s="1"/>
  <c r="AK72" i="17"/>
  <c r="AK80" i="17" s="1"/>
  <c r="K72" i="17"/>
  <c r="K80" i="17" s="1"/>
  <c r="W72" i="17"/>
  <c r="W80" i="17" s="1"/>
  <c r="L72" i="17"/>
  <c r="L80" i="17" s="1"/>
  <c r="J72" i="17"/>
  <c r="J80" i="17" s="1"/>
  <c r="AF72" i="17"/>
  <c r="AF80" i="17" s="1"/>
  <c r="AG72" i="17"/>
  <c r="AG80" i="17" s="1"/>
  <c r="S72" i="17"/>
  <c r="S80" i="17" s="1"/>
  <c r="P72" i="17"/>
  <c r="P80" i="17" s="1"/>
  <c r="Z72" i="17"/>
  <c r="Z80" i="17" s="1"/>
  <c r="AL72" i="17"/>
  <c r="AL80" i="17" s="1"/>
  <c r="R72" i="17"/>
  <c r="R80" i="17" s="1"/>
  <c r="O72" i="17"/>
  <c r="O80" i="17" s="1"/>
  <c r="AC72" i="17"/>
  <c r="AC80" i="17" s="1"/>
  <c r="J69" i="17"/>
  <c r="J77" i="17" s="1"/>
  <c r="W69" i="17"/>
  <c r="W77" i="17" s="1"/>
  <c r="T69" i="17"/>
  <c r="T77" i="17" s="1"/>
  <c r="AN69" i="17"/>
  <c r="AN77" i="17" s="1"/>
  <c r="Q69" i="17"/>
  <c r="Q77" i="17" s="1"/>
  <c r="AJ69" i="17"/>
  <c r="AJ77" i="17" s="1"/>
  <c r="AI69" i="17"/>
  <c r="AI77" i="17" s="1"/>
  <c r="AM69" i="17"/>
  <c r="AM77" i="17" s="1"/>
  <c r="L69" i="17"/>
  <c r="L77" i="17" s="1"/>
  <c r="AE69" i="17"/>
  <c r="AE77" i="17" s="1"/>
  <c r="I69" i="17"/>
  <c r="I77" i="17" s="1"/>
  <c r="Z69" i="17"/>
  <c r="Z77" i="17" s="1"/>
  <c r="AO69" i="17"/>
  <c r="AO77" i="17" s="1"/>
  <c r="AF69" i="17"/>
  <c r="AF77" i="17" s="1"/>
  <c r="M69" i="17"/>
  <c r="M77" i="17" s="1"/>
  <c r="AG69" i="17"/>
  <c r="AG77" i="17" s="1"/>
  <c r="S69" i="17"/>
  <c r="S77" i="17" s="1"/>
  <c r="U69" i="17"/>
  <c r="U77" i="17" s="1"/>
  <c r="K69" i="17"/>
  <c r="K77" i="17" s="1"/>
  <c r="AK69" i="17"/>
  <c r="AK77" i="17" s="1"/>
  <c r="AH69" i="17"/>
  <c r="AH77" i="17" s="1"/>
  <c r="AC69" i="17"/>
  <c r="AC77" i="17" s="1"/>
  <c r="O69" i="17"/>
  <c r="O77" i="17" s="1"/>
  <c r="X69" i="17"/>
  <c r="X77" i="17" s="1"/>
  <c r="P69" i="17"/>
  <c r="P77" i="17" s="1"/>
  <c r="AA69" i="17"/>
  <c r="AA77" i="17" s="1"/>
  <c r="AB69" i="17"/>
  <c r="AB77" i="17" s="1"/>
  <c r="N69" i="17"/>
  <c r="N77" i="17" s="1"/>
  <c r="Y69" i="17"/>
  <c r="Y77" i="17" s="1"/>
  <c r="AD69" i="17"/>
  <c r="AD77" i="17" s="1"/>
  <c r="AP69" i="17"/>
  <c r="AP77" i="17" s="1"/>
  <c r="R69" i="17"/>
  <c r="R77" i="17" s="1"/>
  <c r="V69" i="17"/>
  <c r="V77" i="17" s="1"/>
  <c r="AL69" i="17"/>
  <c r="AL77" i="17" s="1"/>
  <c r="F398" i="16"/>
  <c r="F594" i="15"/>
  <c r="F492" i="16"/>
  <c r="F475" i="15"/>
  <c r="E508" i="5"/>
  <c r="F150" i="9" s="1"/>
  <c r="E498" i="5"/>
  <c r="F161" i="8" s="1"/>
  <c r="F256" i="14"/>
  <c r="F158" i="7"/>
  <c r="S230" i="14"/>
  <c r="S238" i="14" s="1"/>
  <c r="AL230" i="14"/>
  <c r="AL238" i="14" s="1"/>
  <c r="T230" i="14"/>
  <c r="T238" i="14" s="1"/>
  <c r="N230" i="14"/>
  <c r="N238" i="14" s="1"/>
  <c r="L230" i="14"/>
  <c r="L238" i="14" s="1"/>
  <c r="AO230" i="14"/>
  <c r="AO238" i="14" s="1"/>
  <c r="K230" i="14"/>
  <c r="K238" i="14" s="1"/>
  <c r="AE230" i="14"/>
  <c r="AE238" i="14" s="1"/>
  <c r="R230" i="14"/>
  <c r="R238" i="14" s="1"/>
  <c r="AG230" i="14"/>
  <c r="AG238" i="14" s="1"/>
  <c r="Z230" i="14"/>
  <c r="Z238" i="14" s="1"/>
  <c r="M230" i="14"/>
  <c r="M238" i="14" s="1"/>
  <c r="AK230" i="14"/>
  <c r="AK238" i="14" s="1"/>
  <c r="X230" i="14"/>
  <c r="X238" i="14" s="1"/>
  <c r="AM230" i="14"/>
  <c r="AM238" i="14" s="1"/>
  <c r="Q230" i="14"/>
  <c r="Q238" i="14" s="1"/>
  <c r="AF230" i="14"/>
  <c r="AF238" i="14" s="1"/>
  <c r="AA230" i="14"/>
  <c r="AA238" i="14" s="1"/>
  <c r="AC230" i="14"/>
  <c r="AC238" i="14" s="1"/>
  <c r="AB230" i="14"/>
  <c r="AB238" i="14" s="1"/>
  <c r="AD230" i="14"/>
  <c r="AD238" i="14" s="1"/>
  <c r="V230" i="14"/>
  <c r="V238" i="14" s="1"/>
  <c r="AJ230" i="14"/>
  <c r="AJ238" i="14" s="1"/>
  <c r="P230" i="14"/>
  <c r="P238" i="14" s="1"/>
  <c r="AN230" i="14"/>
  <c r="AN238" i="14" s="1"/>
  <c r="Y230" i="14"/>
  <c r="Y238" i="14" s="1"/>
  <c r="J230" i="14"/>
  <c r="J238" i="14" s="1"/>
  <c r="AH230" i="14"/>
  <c r="AH238" i="14" s="1"/>
  <c r="U230" i="14"/>
  <c r="U238" i="14" s="1"/>
  <c r="I230" i="14"/>
  <c r="I238" i="14" s="1"/>
  <c r="W230" i="14"/>
  <c r="W238" i="14" s="1"/>
  <c r="AI230" i="14"/>
  <c r="AI238" i="14" s="1"/>
  <c r="O230" i="14"/>
  <c r="O238" i="14" s="1"/>
  <c r="F666" i="16"/>
  <c r="F760" i="16"/>
  <c r="E581" i="5"/>
  <c r="F240" i="9" s="1"/>
  <c r="F914" i="15"/>
  <c r="E571" i="5"/>
  <c r="F253" i="8" s="1"/>
  <c r="F403" i="14"/>
  <c r="F247" i="7"/>
  <c r="F795" i="15"/>
  <c r="F884" i="15"/>
  <c r="F769" i="15"/>
  <c r="S376" i="14"/>
  <c r="S384" i="14" s="1"/>
  <c r="J376" i="14"/>
  <c r="J384" i="14" s="1"/>
  <c r="AB376" i="14"/>
  <c r="AB384" i="14" s="1"/>
  <c r="I376" i="14"/>
  <c r="I384" i="14" s="1"/>
  <c r="T376" i="14"/>
  <c r="T384" i="14" s="1"/>
  <c r="AI376" i="14"/>
  <c r="AI384" i="14" s="1"/>
  <c r="Z376" i="14"/>
  <c r="Z384" i="14" s="1"/>
  <c r="AH376" i="14"/>
  <c r="AH384" i="14" s="1"/>
  <c r="AA376" i="14"/>
  <c r="AA384" i="14" s="1"/>
  <c r="AG376" i="14"/>
  <c r="AG384" i="14" s="1"/>
  <c r="Q376" i="14"/>
  <c r="Q384" i="14" s="1"/>
  <c r="AO376" i="14"/>
  <c r="AO384" i="14" s="1"/>
  <c r="U376" i="14"/>
  <c r="U384" i="14" s="1"/>
  <c r="AL376" i="14"/>
  <c r="AL384" i="14" s="1"/>
  <c r="M376" i="14"/>
  <c r="M384" i="14" s="1"/>
  <c r="AK376" i="14"/>
  <c r="AK384" i="14" s="1"/>
  <c r="O376" i="14"/>
  <c r="O384" i="14" s="1"/>
  <c r="P376" i="14"/>
  <c r="P384" i="14" s="1"/>
  <c r="W376" i="14"/>
  <c r="W384" i="14" s="1"/>
  <c r="AF376" i="14"/>
  <c r="AF384" i="14" s="1"/>
  <c r="Y376" i="14"/>
  <c r="Y384" i="14" s="1"/>
  <c r="AN376" i="14"/>
  <c r="AN384" i="14" s="1"/>
  <c r="X376" i="14"/>
  <c r="X384" i="14" s="1"/>
  <c r="AM376" i="14"/>
  <c r="AM384" i="14" s="1"/>
  <c r="AJ376" i="14"/>
  <c r="AJ384" i="14" s="1"/>
  <c r="N376" i="14"/>
  <c r="N384" i="14" s="1"/>
  <c r="AE376" i="14"/>
  <c r="AE384" i="14" s="1"/>
  <c r="R376" i="14"/>
  <c r="R384" i="14" s="1"/>
  <c r="L376" i="14"/>
  <c r="L384" i="14" s="1"/>
  <c r="K376" i="14"/>
  <c r="K384" i="14" s="1"/>
  <c r="AD376" i="14"/>
  <c r="AD384" i="14" s="1"/>
  <c r="V376" i="14"/>
  <c r="V384" i="14" s="1"/>
  <c r="AC376" i="14"/>
  <c r="AC384" i="14" s="1"/>
  <c r="F115" i="14"/>
  <c r="F127" i="16"/>
  <c r="F155" i="15"/>
  <c r="F228" i="16"/>
  <c r="F69" i="7"/>
  <c r="E439" i="5"/>
  <c r="F63" i="9" s="1"/>
  <c r="F277" i="15"/>
  <c r="E428" i="5"/>
  <c r="F71" i="8" s="1"/>
  <c r="AI90" i="14"/>
  <c r="AI98" i="14" s="1"/>
  <c r="AL90" i="14"/>
  <c r="AL98" i="14" s="1"/>
  <c r="AH90" i="14"/>
  <c r="AH98" i="14" s="1"/>
  <c r="AJ90" i="14"/>
  <c r="AJ98" i="14" s="1"/>
  <c r="AF90" i="14"/>
  <c r="AF98" i="14" s="1"/>
  <c r="AC90" i="14"/>
  <c r="AC98" i="14" s="1"/>
  <c r="AO90" i="14"/>
  <c r="AO98" i="14" s="1"/>
  <c r="AD90" i="14"/>
  <c r="AD98" i="14" s="1"/>
  <c r="AE90" i="14"/>
  <c r="AE98" i="14" s="1"/>
  <c r="AK90" i="14"/>
  <c r="AK98" i="14" s="1"/>
  <c r="AN90" i="14"/>
  <c r="AN98" i="14" s="1"/>
  <c r="AM90" i="14"/>
  <c r="AM98" i="14" s="1"/>
  <c r="AG90" i="14"/>
  <c r="AG98" i="14" s="1"/>
  <c r="N90" i="14"/>
  <c r="N98" i="14" s="1"/>
  <c r="Q90" i="14"/>
  <c r="Q98" i="14" s="1"/>
  <c r="R90" i="14"/>
  <c r="R98" i="14" s="1"/>
  <c r="U90" i="14"/>
  <c r="U98" i="14" s="1"/>
  <c r="L90" i="14"/>
  <c r="L98" i="14" s="1"/>
  <c r="Y90" i="14"/>
  <c r="Y98" i="14" s="1"/>
  <c r="K90" i="14"/>
  <c r="K98" i="14" s="1"/>
  <c r="J90" i="14"/>
  <c r="J98" i="14" s="1"/>
  <c r="V90" i="14"/>
  <c r="V98" i="14" s="1"/>
  <c r="T90" i="14"/>
  <c r="T98" i="14" s="1"/>
  <c r="M90" i="14"/>
  <c r="M98" i="14" s="1"/>
  <c r="Z90" i="14"/>
  <c r="Z98" i="14" s="1"/>
  <c r="AA90" i="14"/>
  <c r="AA98" i="14" s="1"/>
  <c r="P90" i="14"/>
  <c r="P98" i="14" s="1"/>
  <c r="X90" i="14"/>
  <c r="X98" i="14" s="1"/>
  <c r="I90" i="14"/>
  <c r="I98" i="14" s="1"/>
  <c r="O90" i="14"/>
  <c r="O98" i="14" s="1"/>
  <c r="AB90" i="14"/>
  <c r="AB98" i="14" s="1"/>
  <c r="W90" i="14"/>
  <c r="W98" i="14" s="1"/>
  <c r="S90" i="14"/>
  <c r="S98" i="14" s="1"/>
  <c r="E455" i="5" a="1"/>
  <c r="E455" i="5" s="1"/>
  <c r="E445" i="5" a="1"/>
  <c r="E445" i="5" s="1"/>
  <c r="F85" i="14" s="1"/>
  <c r="AP67" i="17"/>
  <c r="AP75" i="17" s="1"/>
  <c r="AK67" i="17"/>
  <c r="AK75" i="17" s="1"/>
  <c r="AF67" i="17"/>
  <c r="AF75" i="17" s="1"/>
  <c r="V67" i="17"/>
  <c r="V75" i="17" s="1"/>
  <c r="AO67" i="17"/>
  <c r="AO75" i="17" s="1"/>
  <c r="AI67" i="17"/>
  <c r="AI75" i="17" s="1"/>
  <c r="P67" i="17"/>
  <c r="P75" i="17" s="1"/>
  <c r="N67" i="17"/>
  <c r="N75" i="17" s="1"/>
  <c r="Z67" i="17"/>
  <c r="Z75" i="17" s="1"/>
  <c r="AM67" i="17"/>
  <c r="AM75" i="17" s="1"/>
  <c r="X67" i="17"/>
  <c r="X75" i="17" s="1"/>
  <c r="Y67" i="17"/>
  <c r="Y75" i="17" s="1"/>
  <c r="AD67" i="17"/>
  <c r="AD75" i="17" s="1"/>
  <c r="L67" i="17"/>
  <c r="L75" i="17" s="1"/>
  <c r="AG67" i="17"/>
  <c r="AG75" i="17" s="1"/>
  <c r="R67" i="17"/>
  <c r="R75" i="17" s="1"/>
  <c r="T67" i="17"/>
  <c r="T75" i="17" s="1"/>
  <c r="AA67" i="17"/>
  <c r="AA75" i="17" s="1"/>
  <c r="AH67" i="17"/>
  <c r="AH75" i="17" s="1"/>
  <c r="S67" i="17"/>
  <c r="S75" i="17" s="1"/>
  <c r="K67" i="17"/>
  <c r="K75" i="17" s="1"/>
  <c r="AJ67" i="17"/>
  <c r="AJ75" i="17" s="1"/>
  <c r="I67" i="17"/>
  <c r="I75" i="17" s="1"/>
  <c r="AB67" i="17"/>
  <c r="AB75" i="17" s="1"/>
  <c r="Q67" i="17"/>
  <c r="Q75" i="17" s="1"/>
  <c r="AL67" i="17"/>
  <c r="AL75" i="17" s="1"/>
  <c r="W67" i="17"/>
  <c r="W75" i="17" s="1"/>
  <c r="AE67" i="17"/>
  <c r="AE75" i="17" s="1"/>
  <c r="AN67" i="17"/>
  <c r="AN75" i="17" s="1"/>
  <c r="U67" i="17"/>
  <c r="U75" i="17" s="1"/>
  <c r="O67" i="17"/>
  <c r="O75" i="17" s="1"/>
  <c r="M67" i="17"/>
  <c r="M75" i="17" s="1"/>
  <c r="J67" i="17"/>
  <c r="J75" i="17" s="1"/>
  <c r="AC67" i="17"/>
  <c r="AC75" i="17" s="1"/>
  <c r="Y70" i="17"/>
  <c r="Y78" i="17" s="1"/>
  <c r="R70" i="17"/>
  <c r="R78" i="17" s="1"/>
  <c r="AF70" i="17"/>
  <c r="AF78" i="17" s="1"/>
  <c r="M70" i="17"/>
  <c r="M78" i="17" s="1"/>
  <c r="N70" i="17"/>
  <c r="N78" i="17" s="1"/>
  <c r="V70" i="17"/>
  <c r="V78" i="17" s="1"/>
  <c r="X70" i="17"/>
  <c r="X78" i="17" s="1"/>
  <c r="AH70" i="17"/>
  <c r="AH78" i="17" s="1"/>
  <c r="Q70" i="17"/>
  <c r="Q78" i="17" s="1"/>
  <c r="AC70" i="17"/>
  <c r="AC78" i="17" s="1"/>
  <c r="AG70" i="17"/>
  <c r="AG78" i="17" s="1"/>
  <c r="L70" i="17"/>
  <c r="L78" i="17" s="1"/>
  <c r="Z70" i="17"/>
  <c r="Z78" i="17" s="1"/>
  <c r="AE70" i="17"/>
  <c r="AE78" i="17" s="1"/>
  <c r="O70" i="17"/>
  <c r="O78" i="17" s="1"/>
  <c r="AI70" i="17"/>
  <c r="AI78" i="17" s="1"/>
  <c r="AA70" i="17"/>
  <c r="AA78" i="17" s="1"/>
  <c r="W70" i="17"/>
  <c r="W78" i="17" s="1"/>
  <c r="P70" i="17"/>
  <c r="P78" i="17" s="1"/>
  <c r="U70" i="17"/>
  <c r="U78" i="17" s="1"/>
  <c r="I70" i="17"/>
  <c r="I78" i="17" s="1"/>
  <c r="AP70" i="17"/>
  <c r="AP78" i="17" s="1"/>
  <c r="T70" i="17"/>
  <c r="T78" i="17" s="1"/>
  <c r="AD70" i="17"/>
  <c r="AD78" i="17" s="1"/>
  <c r="AB70" i="17"/>
  <c r="AB78" i="17" s="1"/>
  <c r="AN70" i="17"/>
  <c r="AN78" i="17" s="1"/>
  <c r="AK70" i="17"/>
  <c r="AK78" i="17" s="1"/>
  <c r="J70" i="17"/>
  <c r="J78" i="17" s="1"/>
  <c r="AM70" i="17"/>
  <c r="AM78" i="17" s="1"/>
  <c r="AO70" i="17"/>
  <c r="AO78" i="17" s="1"/>
  <c r="AL70" i="17"/>
  <c r="AL78" i="17" s="1"/>
  <c r="S70" i="17"/>
  <c r="S78" i="17" s="1"/>
  <c r="AJ70" i="17"/>
  <c r="AJ78" i="17" s="1"/>
  <c r="K70" i="17"/>
  <c r="K78" i="17" s="1"/>
  <c r="F595" i="15"/>
  <c r="F476" i="15"/>
  <c r="E509" i="5"/>
  <c r="F151" i="9" s="1"/>
  <c r="F399" i="16"/>
  <c r="F493" i="16"/>
  <c r="F257" i="14"/>
  <c r="E499" i="5"/>
  <c r="F162" i="8" s="1"/>
  <c r="F159" i="7"/>
  <c r="F231" i="14"/>
  <c r="E607" i="5"/>
  <c r="M232" i="14"/>
  <c r="M240" i="14" s="1"/>
  <c r="AE232" i="14"/>
  <c r="AE240" i="14" s="1"/>
  <c r="S232" i="14"/>
  <c r="S240" i="14" s="1"/>
  <c r="AD232" i="14"/>
  <c r="AD240" i="14" s="1"/>
  <c r="AA232" i="14"/>
  <c r="AA240" i="14" s="1"/>
  <c r="Y232" i="14"/>
  <c r="Y240" i="14" s="1"/>
  <c r="Z232" i="14"/>
  <c r="Z240" i="14" s="1"/>
  <c r="V232" i="14"/>
  <c r="V240" i="14" s="1"/>
  <c r="AK232" i="14"/>
  <c r="AK240" i="14" s="1"/>
  <c r="U232" i="14"/>
  <c r="U240" i="14" s="1"/>
  <c r="AG232" i="14"/>
  <c r="AG240" i="14" s="1"/>
  <c r="N232" i="14"/>
  <c r="N240" i="14" s="1"/>
  <c r="AC232" i="14"/>
  <c r="AC240" i="14" s="1"/>
  <c r="K232" i="14"/>
  <c r="K240" i="14" s="1"/>
  <c r="AH232" i="14"/>
  <c r="AH240" i="14" s="1"/>
  <c r="W232" i="14"/>
  <c r="W240" i="14" s="1"/>
  <c r="I232" i="14"/>
  <c r="I240" i="14" s="1"/>
  <c r="R232" i="14"/>
  <c r="R240" i="14" s="1"/>
  <c r="P232" i="14"/>
  <c r="P240" i="14" s="1"/>
  <c r="AB232" i="14"/>
  <c r="AB240" i="14" s="1"/>
  <c r="AJ232" i="14"/>
  <c r="AJ240" i="14" s="1"/>
  <c r="X232" i="14"/>
  <c r="X240" i="14" s="1"/>
  <c r="AI232" i="14"/>
  <c r="AI240" i="14" s="1"/>
  <c r="O232" i="14"/>
  <c r="O240" i="14" s="1"/>
  <c r="AO232" i="14"/>
  <c r="AO240" i="14" s="1"/>
  <c r="L232" i="14"/>
  <c r="L240" i="14" s="1"/>
  <c r="AF232" i="14"/>
  <c r="AF240" i="14" s="1"/>
  <c r="J232" i="14"/>
  <c r="J240" i="14" s="1"/>
  <c r="T232" i="14"/>
  <c r="T240" i="14" s="1"/>
  <c r="AM232" i="14"/>
  <c r="AM240" i="14" s="1"/>
  <c r="Q232" i="14"/>
  <c r="Q240" i="14" s="1"/>
  <c r="AL232" i="14"/>
  <c r="AL240" i="14" s="1"/>
  <c r="AN232" i="14"/>
  <c r="AN240" i="14" s="1"/>
  <c r="F758" i="16"/>
  <c r="F664" i="16"/>
  <c r="E569" i="5"/>
  <c r="F251" i="8" s="1"/>
  <c r="E579" i="5"/>
  <c r="F238" i="9" s="1"/>
  <c r="F401" i="14"/>
  <c r="F912" i="15"/>
  <c r="F245" i="7"/>
  <c r="F793" i="15"/>
  <c r="F887" i="15"/>
  <c r="F772" i="15"/>
  <c r="M377" i="14"/>
  <c r="M385" i="14" s="1"/>
  <c r="AL377" i="14"/>
  <c r="AL385" i="14" s="1"/>
  <c r="AK377" i="14"/>
  <c r="AK385" i="14" s="1"/>
  <c r="Q377" i="14"/>
  <c r="Q385" i="14" s="1"/>
  <c r="AD377" i="14"/>
  <c r="AD385" i="14" s="1"/>
  <c r="X377" i="14"/>
  <c r="X385" i="14" s="1"/>
  <c r="P377" i="14"/>
  <c r="P385" i="14" s="1"/>
  <c r="Y377" i="14"/>
  <c r="Y385" i="14" s="1"/>
  <c r="K377" i="14"/>
  <c r="K385" i="14" s="1"/>
  <c r="J377" i="14"/>
  <c r="J385" i="14" s="1"/>
  <c r="O377" i="14"/>
  <c r="O385" i="14" s="1"/>
  <c r="AJ377" i="14"/>
  <c r="AJ385" i="14" s="1"/>
  <c r="AA377" i="14"/>
  <c r="AA385" i="14" s="1"/>
  <c r="AO377" i="14"/>
  <c r="AO385" i="14" s="1"/>
  <c r="S377" i="14"/>
  <c r="S385" i="14" s="1"/>
  <c r="V377" i="14"/>
  <c r="V385" i="14" s="1"/>
  <c r="AF377" i="14"/>
  <c r="AF385" i="14" s="1"/>
  <c r="I377" i="14"/>
  <c r="I385" i="14" s="1"/>
  <c r="AC377" i="14"/>
  <c r="AC385" i="14" s="1"/>
  <c r="AB377" i="14"/>
  <c r="AB385" i="14" s="1"/>
  <c r="R377" i="14"/>
  <c r="R385" i="14" s="1"/>
  <c r="U377" i="14"/>
  <c r="U385" i="14" s="1"/>
  <c r="AE377" i="14"/>
  <c r="AE385" i="14" s="1"/>
  <c r="T377" i="14"/>
  <c r="T385" i="14" s="1"/>
  <c r="W377" i="14"/>
  <c r="W385" i="14" s="1"/>
  <c r="AI377" i="14"/>
  <c r="AI385" i="14" s="1"/>
  <c r="AM377" i="14"/>
  <c r="AM385" i="14" s="1"/>
  <c r="L377" i="14"/>
  <c r="L385" i="14" s="1"/>
  <c r="AH377" i="14"/>
  <c r="AH385" i="14" s="1"/>
  <c r="N377" i="14"/>
  <c r="N385" i="14" s="1"/>
  <c r="AN377" i="14"/>
  <c r="AN385" i="14" s="1"/>
  <c r="Z377" i="14"/>
  <c r="Z385" i="14" s="1"/>
  <c r="AG377" i="14"/>
  <c r="AG385" i="14" s="1"/>
  <c r="E431" i="5"/>
  <c r="E442" i="5"/>
  <c r="F131" i="15"/>
  <c r="F249" i="15"/>
  <c r="G139" i="14" l="1"/>
  <c r="G426" i="14"/>
  <c r="Y82" i="17"/>
  <c r="Y84" i="17" s="1"/>
  <c r="J82" i="17"/>
  <c r="J84" i="17" s="1"/>
  <c r="AE82" i="17"/>
  <c r="AE84" i="17" s="1"/>
  <c r="S82" i="17"/>
  <c r="S84" i="17" s="1"/>
  <c r="V82" i="17"/>
  <c r="V84" i="17" s="1"/>
  <c r="AG82" i="17"/>
  <c r="AG84" i="17" s="1"/>
  <c r="AF82" i="17"/>
  <c r="AF84" i="17" s="1"/>
  <c r="AA82" i="17"/>
  <c r="AA84" i="17" s="1"/>
  <c r="AM82" i="17"/>
  <c r="AM84" i="17" s="1"/>
  <c r="Z82" i="17"/>
  <c r="Z84" i="17" s="1"/>
  <c r="AB82" i="17"/>
  <c r="AB84" i="17" s="1"/>
  <c r="P82" i="17"/>
  <c r="P84" i="17" s="1"/>
  <c r="Q492" i="16"/>
  <c r="Q500" i="16" s="1"/>
  <c r="AM492" i="16"/>
  <c r="AM500" i="16" s="1"/>
  <c r="AK492" i="16"/>
  <c r="AK500" i="16" s="1"/>
  <c r="AL492" i="16"/>
  <c r="AL500" i="16" s="1"/>
  <c r="P492" i="16"/>
  <c r="P500" i="16" s="1"/>
  <c r="AG492" i="16"/>
  <c r="AG500" i="16" s="1"/>
  <c r="T492" i="16"/>
  <c r="T500" i="16" s="1"/>
  <c r="AD492" i="16"/>
  <c r="AD500" i="16" s="1"/>
  <c r="L492" i="16"/>
  <c r="L500" i="16" s="1"/>
  <c r="AH492" i="16"/>
  <c r="AH500" i="16" s="1"/>
  <c r="J492" i="16"/>
  <c r="J500" i="16" s="1"/>
  <c r="AI492" i="16"/>
  <c r="AI500" i="16" s="1"/>
  <c r="O492" i="16"/>
  <c r="O500" i="16" s="1"/>
  <c r="AJ492" i="16"/>
  <c r="AJ500" i="16" s="1"/>
  <c r="R492" i="16"/>
  <c r="R500" i="16" s="1"/>
  <c r="AO492" i="16"/>
  <c r="AO500" i="16" s="1"/>
  <c r="I492" i="16"/>
  <c r="I500" i="16" s="1"/>
  <c r="AA492" i="16"/>
  <c r="AA500" i="16" s="1"/>
  <c r="W492" i="16"/>
  <c r="W500" i="16" s="1"/>
  <c r="U492" i="16"/>
  <c r="U500" i="16" s="1"/>
  <c r="AB492" i="16"/>
  <c r="AB500" i="16" s="1"/>
  <c r="AE492" i="16"/>
  <c r="AE500" i="16" s="1"/>
  <c r="N492" i="16"/>
  <c r="N500" i="16" s="1"/>
  <c r="AC492" i="16"/>
  <c r="AC500" i="16" s="1"/>
  <c r="Y492" i="16"/>
  <c r="Y500" i="16" s="1"/>
  <c r="X492" i="16"/>
  <c r="X500" i="16" s="1"/>
  <c r="AN492" i="16"/>
  <c r="AN500" i="16" s="1"/>
  <c r="K492" i="16"/>
  <c r="K500" i="16" s="1"/>
  <c r="AF492" i="16"/>
  <c r="AF500" i="16" s="1"/>
  <c r="S492" i="16"/>
  <c r="S500" i="16" s="1"/>
  <c r="V492" i="16"/>
  <c r="V500" i="16" s="1"/>
  <c r="M492" i="16"/>
  <c r="M500" i="16" s="1"/>
  <c r="Z492" i="16"/>
  <c r="Z500" i="16" s="1"/>
  <c r="AJ235" i="9"/>
  <c r="AJ243" i="9" s="1"/>
  <c r="AI235" i="9"/>
  <c r="AI243" i="9" s="1"/>
  <c r="AK235" i="9"/>
  <c r="AK243" i="9" s="1"/>
  <c r="AL235" i="9"/>
  <c r="AL243" i="9" s="1"/>
  <c r="AH235" i="9"/>
  <c r="AH243" i="9" s="1"/>
  <c r="AO235" i="9"/>
  <c r="AO243" i="9" s="1"/>
  <c r="AM235" i="9"/>
  <c r="AM243" i="9" s="1"/>
  <c r="AN235" i="9"/>
  <c r="AN243" i="9" s="1"/>
  <c r="S235" i="9"/>
  <c r="S243" i="9" s="1"/>
  <c r="AB235" i="9"/>
  <c r="AB243" i="9" s="1"/>
  <c r="N235" i="9"/>
  <c r="N243" i="9" s="1"/>
  <c r="J235" i="9"/>
  <c r="J243" i="9" s="1"/>
  <c r="AD235" i="9"/>
  <c r="AD243" i="9" s="1"/>
  <c r="R235" i="9"/>
  <c r="R243" i="9" s="1"/>
  <c r="W235" i="9"/>
  <c r="W243" i="9" s="1"/>
  <c r="AG235" i="9"/>
  <c r="AG243" i="9" s="1"/>
  <c r="Q235" i="9"/>
  <c r="Q243" i="9" s="1"/>
  <c r="AA235" i="9"/>
  <c r="AA243" i="9" s="1"/>
  <c r="Z235" i="9"/>
  <c r="Z243" i="9" s="1"/>
  <c r="O235" i="9"/>
  <c r="O243" i="9" s="1"/>
  <c r="AE235" i="9"/>
  <c r="AE243" i="9" s="1"/>
  <c r="AC235" i="9"/>
  <c r="AC243" i="9" s="1"/>
  <c r="U235" i="9"/>
  <c r="U243" i="9" s="1"/>
  <c r="X235" i="9"/>
  <c r="X243" i="9" s="1"/>
  <c r="T235" i="9"/>
  <c r="T243" i="9" s="1"/>
  <c r="AF235" i="9"/>
  <c r="AF243" i="9" s="1"/>
  <c r="P235" i="9"/>
  <c r="P243" i="9" s="1"/>
  <c r="Y235" i="9"/>
  <c r="Y243" i="9" s="1"/>
  <c r="M235" i="9"/>
  <c r="M243" i="9" s="1"/>
  <c r="I235" i="9"/>
  <c r="I243" i="9" s="1"/>
  <c r="V235" i="9"/>
  <c r="V243" i="9" s="1"/>
  <c r="L235" i="9"/>
  <c r="L243" i="9" s="1"/>
  <c r="K235" i="9"/>
  <c r="K243" i="9" s="1"/>
  <c r="P455" i="15"/>
  <c r="P463" i="15" s="1"/>
  <c r="AA455" i="15"/>
  <c r="AA463" i="15" s="1"/>
  <c r="Q455" i="15"/>
  <c r="Q463" i="15" s="1"/>
  <c r="AJ455" i="15"/>
  <c r="AJ463" i="15" s="1"/>
  <c r="M455" i="15"/>
  <c r="M463" i="15" s="1"/>
  <c r="AM455" i="15"/>
  <c r="AM463" i="15" s="1"/>
  <c r="AO455" i="15"/>
  <c r="AO463" i="15" s="1"/>
  <c r="W455" i="15"/>
  <c r="W463" i="15" s="1"/>
  <c r="V455" i="15"/>
  <c r="V463" i="15" s="1"/>
  <c r="AK455" i="15"/>
  <c r="AK463" i="15" s="1"/>
  <c r="L455" i="15"/>
  <c r="L463" i="15" s="1"/>
  <c r="AH455" i="15"/>
  <c r="AH463" i="15" s="1"/>
  <c r="N455" i="15"/>
  <c r="N463" i="15" s="1"/>
  <c r="AI455" i="15"/>
  <c r="AI463" i="15" s="1"/>
  <c r="T455" i="15"/>
  <c r="T463" i="15" s="1"/>
  <c r="AB455" i="15"/>
  <c r="AB463" i="15" s="1"/>
  <c r="X455" i="15"/>
  <c r="X463" i="15" s="1"/>
  <c r="AC455" i="15"/>
  <c r="AC463" i="15" s="1"/>
  <c r="R455" i="15"/>
  <c r="R463" i="15" s="1"/>
  <c r="Z455" i="15"/>
  <c r="Z463" i="15" s="1"/>
  <c r="AG455" i="15"/>
  <c r="AG463" i="15" s="1"/>
  <c r="I455" i="15"/>
  <c r="I463" i="15" s="1"/>
  <c r="AL455" i="15"/>
  <c r="AL463" i="15" s="1"/>
  <c r="U455" i="15"/>
  <c r="U463" i="15" s="1"/>
  <c r="Y455" i="15"/>
  <c r="Y463" i="15" s="1"/>
  <c r="O455" i="15"/>
  <c r="O463" i="15" s="1"/>
  <c r="K455" i="15"/>
  <c r="K463" i="15" s="1"/>
  <c r="AD455" i="15"/>
  <c r="AD463" i="15" s="1"/>
  <c r="AN455" i="15"/>
  <c r="AN463" i="15" s="1"/>
  <c r="S455" i="15"/>
  <c r="S463" i="15" s="1"/>
  <c r="AE455" i="15"/>
  <c r="AE463" i="15" s="1"/>
  <c r="J455" i="15"/>
  <c r="J463" i="15" s="1"/>
  <c r="AF455" i="15"/>
  <c r="AF463" i="15" s="1"/>
  <c r="K796" i="15"/>
  <c r="K804" i="15" s="1"/>
  <c r="O796" i="15"/>
  <c r="Z796" i="15"/>
  <c r="R796" i="15"/>
  <c r="AI796" i="15"/>
  <c r="P796" i="15"/>
  <c r="AC796" i="15"/>
  <c r="AG796" i="15"/>
  <c r="W796" i="15"/>
  <c r="AF796" i="15"/>
  <c r="AN796" i="15"/>
  <c r="V796" i="15"/>
  <c r="AH796" i="15"/>
  <c r="AM796" i="15"/>
  <c r="AE796" i="15"/>
  <c r="AK796" i="15"/>
  <c r="J796" i="15"/>
  <c r="J804" i="15" s="1"/>
  <c r="I796" i="15"/>
  <c r="I804" i="15" s="1"/>
  <c r="L796" i="15"/>
  <c r="AB796" i="15"/>
  <c r="AL796" i="15"/>
  <c r="S796" i="15"/>
  <c r="M796" i="15"/>
  <c r="T796" i="15"/>
  <c r="Q796" i="15"/>
  <c r="X796" i="15"/>
  <c r="Y796" i="15"/>
  <c r="AJ796" i="15"/>
  <c r="AD796" i="15"/>
  <c r="AO796" i="15"/>
  <c r="N796" i="15"/>
  <c r="U796" i="15"/>
  <c r="AA796" i="15"/>
  <c r="AJ59" i="9"/>
  <c r="AJ67" i="9" s="1"/>
  <c r="AH59" i="9"/>
  <c r="AH67" i="9" s="1"/>
  <c r="AI59" i="9"/>
  <c r="AI67" i="9" s="1"/>
  <c r="AM59" i="9"/>
  <c r="AM67" i="9" s="1"/>
  <c r="AK59" i="9"/>
  <c r="AK67" i="9" s="1"/>
  <c r="AN59" i="9"/>
  <c r="AN67" i="9" s="1"/>
  <c r="AL59" i="9"/>
  <c r="AL67" i="9" s="1"/>
  <c r="AG59" i="9"/>
  <c r="AG67" i="9" s="1"/>
  <c r="V59" i="9"/>
  <c r="V67" i="9" s="1"/>
  <c r="M59" i="9"/>
  <c r="M67" i="9" s="1"/>
  <c r="K59" i="9"/>
  <c r="K67" i="9" s="1"/>
  <c r="AD59" i="9"/>
  <c r="AD67" i="9" s="1"/>
  <c r="O59" i="9"/>
  <c r="O67" i="9" s="1"/>
  <c r="T59" i="9"/>
  <c r="T67" i="9" s="1"/>
  <c r="J59" i="9"/>
  <c r="J67" i="9" s="1"/>
  <c r="W59" i="9"/>
  <c r="W67" i="9" s="1"/>
  <c r="AE59" i="9"/>
  <c r="AE67" i="9" s="1"/>
  <c r="Z59" i="9"/>
  <c r="Z67" i="9" s="1"/>
  <c r="Y59" i="9"/>
  <c r="Y67" i="9" s="1"/>
  <c r="I59" i="9"/>
  <c r="I67" i="9" s="1"/>
  <c r="AF59" i="9"/>
  <c r="AF67" i="9" s="1"/>
  <c r="Q59" i="9"/>
  <c r="Q67" i="9" s="1"/>
  <c r="R59" i="9"/>
  <c r="R67" i="9" s="1"/>
  <c r="L59" i="9"/>
  <c r="L67" i="9" s="1"/>
  <c r="AC59" i="9"/>
  <c r="AC67" i="9" s="1"/>
  <c r="P59" i="9"/>
  <c r="P67" i="9" s="1"/>
  <c r="S59" i="9"/>
  <c r="S67" i="9" s="1"/>
  <c r="N59" i="9"/>
  <c r="N67" i="9" s="1"/>
  <c r="U59" i="9"/>
  <c r="U67" i="9" s="1"/>
  <c r="AB59" i="9"/>
  <c r="AB67" i="9" s="1"/>
  <c r="AA59" i="9"/>
  <c r="AA67" i="9" s="1"/>
  <c r="X59" i="9"/>
  <c r="X67" i="9" s="1"/>
  <c r="AM238" i="9"/>
  <c r="AM246" i="9" s="1"/>
  <c r="R238" i="9"/>
  <c r="R246" i="9" s="1"/>
  <c r="AB238" i="9"/>
  <c r="AB246" i="9" s="1"/>
  <c r="L238" i="9"/>
  <c r="L246" i="9" s="1"/>
  <c r="AE238" i="9"/>
  <c r="AE246" i="9" s="1"/>
  <c r="I238" i="9"/>
  <c r="I246" i="9" s="1"/>
  <c r="AJ238" i="9"/>
  <c r="AJ246" i="9" s="1"/>
  <c r="T238" i="9"/>
  <c r="T246" i="9" s="1"/>
  <c r="S238" i="9"/>
  <c r="S246" i="9" s="1"/>
  <c r="W238" i="9"/>
  <c r="W246" i="9" s="1"/>
  <c r="AF238" i="9"/>
  <c r="AF246" i="9" s="1"/>
  <c r="AG238" i="9"/>
  <c r="AG246" i="9" s="1"/>
  <c r="U238" i="9"/>
  <c r="U246" i="9" s="1"/>
  <c r="Z238" i="9"/>
  <c r="Z246" i="9" s="1"/>
  <c r="AA238" i="9"/>
  <c r="AA246" i="9" s="1"/>
  <c r="AN238" i="9"/>
  <c r="AN246" i="9" s="1"/>
  <c r="AO238" i="9"/>
  <c r="AO246" i="9" s="1"/>
  <c r="AH238" i="9"/>
  <c r="AH246" i="9" s="1"/>
  <c r="AI238" i="9"/>
  <c r="AI246" i="9" s="1"/>
  <c r="Q238" i="9"/>
  <c r="Q246" i="9" s="1"/>
  <c r="P238" i="9"/>
  <c r="P246" i="9" s="1"/>
  <c r="K238" i="9"/>
  <c r="K246" i="9" s="1"/>
  <c r="J238" i="9"/>
  <c r="J246" i="9" s="1"/>
  <c r="Y238" i="9"/>
  <c r="Y246" i="9" s="1"/>
  <c r="O238" i="9"/>
  <c r="O246" i="9" s="1"/>
  <c r="AC238" i="9"/>
  <c r="AC246" i="9" s="1"/>
  <c r="AD238" i="9"/>
  <c r="AD246" i="9" s="1"/>
  <c r="X238" i="9"/>
  <c r="X246" i="9" s="1"/>
  <c r="AK238" i="9"/>
  <c r="AK246" i="9" s="1"/>
  <c r="AL238" i="9"/>
  <c r="AL246" i="9" s="1"/>
  <c r="N238" i="9"/>
  <c r="N246" i="9" s="1"/>
  <c r="M238" i="9"/>
  <c r="M246" i="9" s="1"/>
  <c r="V238" i="9"/>
  <c r="V246" i="9" s="1"/>
  <c r="AE162" i="8"/>
  <c r="AE170" i="8" s="1"/>
  <c r="T162" i="8"/>
  <c r="T170" i="8" s="1"/>
  <c r="AH162" i="8"/>
  <c r="AH170" i="8" s="1"/>
  <c r="AF162" i="8"/>
  <c r="AF170" i="8" s="1"/>
  <c r="AK162" i="8"/>
  <c r="AK170" i="8" s="1"/>
  <c r="K162" i="8"/>
  <c r="K170" i="8" s="1"/>
  <c r="AN162" i="8"/>
  <c r="AN170" i="8" s="1"/>
  <c r="N162" i="8"/>
  <c r="N170" i="8" s="1"/>
  <c r="X162" i="8"/>
  <c r="X170" i="8" s="1"/>
  <c r="L162" i="8"/>
  <c r="L170" i="8" s="1"/>
  <c r="Y162" i="8"/>
  <c r="Y170" i="8" s="1"/>
  <c r="AI162" i="8"/>
  <c r="AI170" i="8" s="1"/>
  <c r="O162" i="8"/>
  <c r="O170" i="8" s="1"/>
  <c r="AB162" i="8"/>
  <c r="AB170" i="8" s="1"/>
  <c r="AJ162" i="8"/>
  <c r="AJ170" i="8" s="1"/>
  <c r="Z162" i="8"/>
  <c r="Z170" i="8" s="1"/>
  <c r="AA162" i="8"/>
  <c r="AA170" i="8" s="1"/>
  <c r="V162" i="8"/>
  <c r="V170" i="8" s="1"/>
  <c r="AO162" i="8"/>
  <c r="AO170" i="8" s="1"/>
  <c r="W162" i="8"/>
  <c r="W170" i="8" s="1"/>
  <c r="M162" i="8"/>
  <c r="M170" i="8" s="1"/>
  <c r="U162" i="8"/>
  <c r="U170" i="8" s="1"/>
  <c r="S162" i="8"/>
  <c r="S170" i="8" s="1"/>
  <c r="AG162" i="8"/>
  <c r="AG170" i="8" s="1"/>
  <c r="AM162" i="8"/>
  <c r="AM170" i="8" s="1"/>
  <c r="P162" i="8"/>
  <c r="P170" i="8" s="1"/>
  <c r="R162" i="8"/>
  <c r="R170" i="8" s="1"/>
  <c r="AC162" i="8"/>
  <c r="AC170" i="8" s="1"/>
  <c r="Q162" i="8"/>
  <c r="Q170" i="8" s="1"/>
  <c r="J162" i="8"/>
  <c r="J170" i="8" s="1"/>
  <c r="I162" i="8"/>
  <c r="AL162" i="8"/>
  <c r="AL170" i="8" s="1"/>
  <c r="AD162" i="8"/>
  <c r="AD170" i="8" s="1"/>
  <c r="W82" i="17"/>
  <c r="W84" i="17" s="1"/>
  <c r="AH82" i="17"/>
  <c r="AH84" i="17" s="1"/>
  <c r="X82" i="17"/>
  <c r="X84" i="17" s="1"/>
  <c r="AK63" i="9"/>
  <c r="AK71" i="9" s="1"/>
  <c r="AH63" i="9"/>
  <c r="AH71" i="9" s="1"/>
  <c r="AI63" i="9"/>
  <c r="AI71" i="9" s="1"/>
  <c r="AD63" i="9"/>
  <c r="AD71" i="9" s="1"/>
  <c r="AM63" i="9"/>
  <c r="AM71" i="9" s="1"/>
  <c r="AE63" i="9"/>
  <c r="AE71" i="9" s="1"/>
  <c r="AG63" i="9"/>
  <c r="AG71" i="9" s="1"/>
  <c r="AJ63" i="9"/>
  <c r="AJ71" i="9" s="1"/>
  <c r="AL63" i="9"/>
  <c r="AL71" i="9" s="1"/>
  <c r="I63" i="9"/>
  <c r="I71" i="9" s="1"/>
  <c r="AF63" i="9"/>
  <c r="AF71" i="9" s="1"/>
  <c r="AC63" i="9"/>
  <c r="AC71" i="9" s="1"/>
  <c r="AN63" i="9"/>
  <c r="AN71" i="9" s="1"/>
  <c r="W63" i="9"/>
  <c r="W71" i="9" s="1"/>
  <c r="P63" i="9"/>
  <c r="P71" i="9" s="1"/>
  <c r="L63" i="9"/>
  <c r="L71" i="9" s="1"/>
  <c r="X63" i="9"/>
  <c r="X71" i="9" s="1"/>
  <c r="Z63" i="9"/>
  <c r="Z71" i="9" s="1"/>
  <c r="R63" i="9"/>
  <c r="R71" i="9" s="1"/>
  <c r="N63" i="9"/>
  <c r="N71" i="9" s="1"/>
  <c r="Y63" i="9"/>
  <c r="Y71" i="9" s="1"/>
  <c r="AA63" i="9"/>
  <c r="AA71" i="9" s="1"/>
  <c r="U63" i="9"/>
  <c r="U71" i="9" s="1"/>
  <c r="J63" i="9"/>
  <c r="J71" i="9" s="1"/>
  <c r="T63" i="9"/>
  <c r="T71" i="9" s="1"/>
  <c r="S63" i="9"/>
  <c r="S71" i="9" s="1"/>
  <c r="K63" i="9"/>
  <c r="K71" i="9" s="1"/>
  <c r="Q63" i="9"/>
  <c r="Q71" i="9" s="1"/>
  <c r="O63" i="9"/>
  <c r="O71" i="9" s="1"/>
  <c r="V63" i="9"/>
  <c r="V71" i="9" s="1"/>
  <c r="AB63" i="9"/>
  <c r="AB71" i="9" s="1"/>
  <c r="M63" i="9"/>
  <c r="M71" i="9" s="1"/>
  <c r="K884" i="15"/>
  <c r="K892" i="15" s="1"/>
  <c r="AG884" i="15"/>
  <c r="AG892" i="15" s="1"/>
  <c r="AI884" i="15"/>
  <c r="AI892" i="15" s="1"/>
  <c r="T884" i="15"/>
  <c r="T892" i="15" s="1"/>
  <c r="J884" i="15"/>
  <c r="J892" i="15" s="1"/>
  <c r="AE884" i="15"/>
  <c r="AE892" i="15" s="1"/>
  <c r="W884" i="15"/>
  <c r="W892" i="15" s="1"/>
  <c r="P884" i="15"/>
  <c r="P892" i="15" s="1"/>
  <c r="Q884" i="15"/>
  <c r="Q892" i="15" s="1"/>
  <c r="AA884" i="15"/>
  <c r="AA892" i="15" s="1"/>
  <c r="AM884" i="15"/>
  <c r="AM892" i="15" s="1"/>
  <c r="N884" i="15"/>
  <c r="N892" i="15" s="1"/>
  <c r="AC884" i="15"/>
  <c r="AC892" i="15" s="1"/>
  <c r="AJ884" i="15"/>
  <c r="AJ892" i="15" s="1"/>
  <c r="I884" i="15"/>
  <c r="I892" i="15" s="1"/>
  <c r="Y884" i="15"/>
  <c r="Y892" i="15" s="1"/>
  <c r="AH884" i="15"/>
  <c r="AH892" i="15" s="1"/>
  <c r="AB884" i="15"/>
  <c r="AB892" i="15" s="1"/>
  <c r="U884" i="15"/>
  <c r="U892" i="15" s="1"/>
  <c r="AN884" i="15"/>
  <c r="AN892" i="15" s="1"/>
  <c r="Z884" i="15"/>
  <c r="Z892" i="15" s="1"/>
  <c r="V884" i="15"/>
  <c r="V892" i="15" s="1"/>
  <c r="AO884" i="15"/>
  <c r="AO892" i="15" s="1"/>
  <c r="O884" i="15"/>
  <c r="O892" i="15" s="1"/>
  <c r="AL884" i="15"/>
  <c r="AL892" i="15" s="1"/>
  <c r="S884" i="15"/>
  <c r="S892" i="15" s="1"/>
  <c r="X884" i="15"/>
  <c r="X892" i="15" s="1"/>
  <c r="L884" i="15"/>
  <c r="L892" i="15" s="1"/>
  <c r="AK884" i="15"/>
  <c r="AK892" i="15" s="1"/>
  <c r="AF884" i="15"/>
  <c r="AF892" i="15" s="1"/>
  <c r="M884" i="15"/>
  <c r="M892" i="15" s="1"/>
  <c r="R884" i="15"/>
  <c r="R892" i="15" s="1"/>
  <c r="AD884" i="15"/>
  <c r="AD892" i="15" s="1"/>
  <c r="AL666" i="16"/>
  <c r="AL674" i="16" s="1"/>
  <c r="AO666" i="16"/>
  <c r="AO674" i="16" s="1"/>
  <c r="Z666" i="16"/>
  <c r="Z674" i="16" s="1"/>
  <c r="AD666" i="16"/>
  <c r="AD674" i="16" s="1"/>
  <c r="J666" i="16"/>
  <c r="J674" i="16" s="1"/>
  <c r="U666" i="16"/>
  <c r="U674" i="16" s="1"/>
  <c r="X666" i="16"/>
  <c r="X674" i="16" s="1"/>
  <c r="O666" i="16"/>
  <c r="O674" i="16" s="1"/>
  <c r="AE666" i="16"/>
  <c r="AE674" i="16" s="1"/>
  <c r="Q666" i="16"/>
  <c r="Q674" i="16" s="1"/>
  <c r="AF666" i="16"/>
  <c r="AF674" i="16" s="1"/>
  <c r="N666" i="16"/>
  <c r="N674" i="16" s="1"/>
  <c r="V666" i="16"/>
  <c r="V674" i="16" s="1"/>
  <c r="AC666" i="16"/>
  <c r="AC674" i="16" s="1"/>
  <c r="AB666" i="16"/>
  <c r="AB674" i="16" s="1"/>
  <c r="Y666" i="16"/>
  <c r="Y674" i="16" s="1"/>
  <c r="P666" i="16"/>
  <c r="P674" i="16" s="1"/>
  <c r="AN666" i="16"/>
  <c r="AN674" i="16" s="1"/>
  <c r="I666" i="16"/>
  <c r="I674" i="16" s="1"/>
  <c r="W666" i="16"/>
  <c r="W674" i="16" s="1"/>
  <c r="AI666" i="16"/>
  <c r="AI674" i="16" s="1"/>
  <c r="T666" i="16"/>
  <c r="T674" i="16" s="1"/>
  <c r="AJ666" i="16"/>
  <c r="AJ674" i="16" s="1"/>
  <c r="AM666" i="16"/>
  <c r="AM674" i="16" s="1"/>
  <c r="M666" i="16"/>
  <c r="M674" i="16" s="1"/>
  <c r="L666" i="16"/>
  <c r="L674" i="16" s="1"/>
  <c r="AK666" i="16"/>
  <c r="AK674" i="16" s="1"/>
  <c r="AA666" i="16"/>
  <c r="AA674" i="16" s="1"/>
  <c r="AG666" i="16"/>
  <c r="AG674" i="16" s="1"/>
  <c r="AH666" i="16"/>
  <c r="AH674" i="16" s="1"/>
  <c r="R666" i="16"/>
  <c r="R674" i="16" s="1"/>
  <c r="K666" i="16"/>
  <c r="K674" i="16" s="1"/>
  <c r="S666" i="16"/>
  <c r="S674" i="16" s="1"/>
  <c r="R594" i="15"/>
  <c r="R602" i="15" s="1"/>
  <c r="AA594" i="15"/>
  <c r="AA602" i="15" s="1"/>
  <c r="AL594" i="15"/>
  <c r="AL602" i="15" s="1"/>
  <c r="AN594" i="15"/>
  <c r="AN602" i="15" s="1"/>
  <c r="O594" i="15"/>
  <c r="O602" i="15" s="1"/>
  <c r="AE594" i="15"/>
  <c r="AE602" i="15" s="1"/>
  <c r="L594" i="15"/>
  <c r="L602" i="15" s="1"/>
  <c r="X594" i="15"/>
  <c r="X602" i="15" s="1"/>
  <c r="I594" i="15"/>
  <c r="I602" i="15" s="1"/>
  <c r="AH594" i="15"/>
  <c r="AH602" i="15" s="1"/>
  <c r="AI594" i="15"/>
  <c r="AI602" i="15" s="1"/>
  <c r="U594" i="15"/>
  <c r="U602" i="15" s="1"/>
  <c r="Z594" i="15"/>
  <c r="Z602" i="15" s="1"/>
  <c r="M594" i="15"/>
  <c r="M602" i="15" s="1"/>
  <c r="Y594" i="15"/>
  <c r="Y602" i="15" s="1"/>
  <c r="Q594" i="15"/>
  <c r="Q602" i="15" s="1"/>
  <c r="AB594" i="15"/>
  <c r="AB602" i="15" s="1"/>
  <c r="AP594" i="15"/>
  <c r="AP602" i="15" s="1"/>
  <c r="T594" i="15"/>
  <c r="T602" i="15" s="1"/>
  <c r="AM594" i="15"/>
  <c r="AM602" i="15" s="1"/>
  <c r="AO594" i="15"/>
  <c r="AO602" i="15" s="1"/>
  <c r="AJ594" i="15"/>
  <c r="AJ602" i="15" s="1"/>
  <c r="P594" i="15"/>
  <c r="P602" i="15" s="1"/>
  <c r="AF594" i="15"/>
  <c r="AF602" i="15" s="1"/>
  <c r="S594" i="15"/>
  <c r="S602" i="15" s="1"/>
  <c r="AD594" i="15"/>
  <c r="AD602" i="15" s="1"/>
  <c r="J594" i="15"/>
  <c r="J602" i="15" s="1"/>
  <c r="V594" i="15"/>
  <c r="V602" i="15" s="1"/>
  <c r="K594" i="15"/>
  <c r="K602" i="15" s="1"/>
  <c r="AK594" i="15"/>
  <c r="AK602" i="15" s="1"/>
  <c r="N594" i="15"/>
  <c r="N602" i="15" s="1"/>
  <c r="AC594" i="15"/>
  <c r="AC602" i="15" s="1"/>
  <c r="AG594" i="15"/>
  <c r="AG602" i="15" s="1"/>
  <c r="W594" i="15"/>
  <c r="W602" i="15" s="1"/>
  <c r="AM164" i="8"/>
  <c r="AM172" i="8" s="1"/>
  <c r="AC164" i="8"/>
  <c r="AC172" i="8" s="1"/>
  <c r="L164" i="8"/>
  <c r="L172" i="8" s="1"/>
  <c r="AO164" i="8"/>
  <c r="AO172" i="8" s="1"/>
  <c r="J164" i="8"/>
  <c r="J172" i="8" s="1"/>
  <c r="AN164" i="8"/>
  <c r="AN172" i="8" s="1"/>
  <c r="AL164" i="8"/>
  <c r="AL172" i="8" s="1"/>
  <c r="N164" i="8"/>
  <c r="N172" i="8" s="1"/>
  <c r="AJ164" i="8"/>
  <c r="AJ172" i="8" s="1"/>
  <c r="V164" i="8"/>
  <c r="V172" i="8" s="1"/>
  <c r="AA164" i="8"/>
  <c r="AA172" i="8" s="1"/>
  <c r="AB164" i="8"/>
  <c r="AB172" i="8" s="1"/>
  <c r="AF164" i="8"/>
  <c r="AF172" i="8" s="1"/>
  <c r="O164" i="8"/>
  <c r="O172" i="8" s="1"/>
  <c r="AK164" i="8"/>
  <c r="AK172" i="8" s="1"/>
  <c r="AI164" i="8"/>
  <c r="AI172" i="8" s="1"/>
  <c r="W164" i="8"/>
  <c r="W172" i="8" s="1"/>
  <c r="Z164" i="8"/>
  <c r="Z172" i="8" s="1"/>
  <c r="AE164" i="8"/>
  <c r="AE172" i="8" s="1"/>
  <c r="AG164" i="8"/>
  <c r="AG172" i="8" s="1"/>
  <c r="P164" i="8"/>
  <c r="P172" i="8" s="1"/>
  <c r="AD164" i="8"/>
  <c r="AD172" i="8" s="1"/>
  <c r="M164" i="8"/>
  <c r="M172" i="8" s="1"/>
  <c r="AH164" i="8"/>
  <c r="AH172" i="8" s="1"/>
  <c r="R164" i="8"/>
  <c r="R172" i="8" s="1"/>
  <c r="X164" i="8"/>
  <c r="X172" i="8" s="1"/>
  <c r="I164" i="8"/>
  <c r="Q164" i="8"/>
  <c r="Q172" i="8" s="1"/>
  <c r="T164" i="8"/>
  <c r="T172" i="8" s="1"/>
  <c r="Y164" i="8"/>
  <c r="Y172" i="8" s="1"/>
  <c r="U164" i="8"/>
  <c r="U172" i="8" s="1"/>
  <c r="K164" i="8"/>
  <c r="K172" i="8" s="1"/>
  <c r="S164" i="8"/>
  <c r="S172" i="8" s="1"/>
  <c r="N400" i="14"/>
  <c r="N408" i="14" s="1"/>
  <c r="AP400" i="14"/>
  <c r="AP408" i="14" s="1"/>
  <c r="Y400" i="14"/>
  <c r="Y408" i="14" s="1"/>
  <c r="AE400" i="14"/>
  <c r="AE408" i="14" s="1"/>
  <c r="AN400" i="14"/>
  <c r="AN408" i="14" s="1"/>
  <c r="M400" i="14"/>
  <c r="M408" i="14" s="1"/>
  <c r="R400" i="14"/>
  <c r="R408" i="14" s="1"/>
  <c r="AJ400" i="14"/>
  <c r="AJ408" i="14" s="1"/>
  <c r="X400" i="14"/>
  <c r="X408" i="14" s="1"/>
  <c r="S400" i="14"/>
  <c r="S408" i="14" s="1"/>
  <c r="AC400" i="14"/>
  <c r="AC408" i="14" s="1"/>
  <c r="AB400" i="14"/>
  <c r="AB408" i="14" s="1"/>
  <c r="AM400" i="14"/>
  <c r="AM408" i="14" s="1"/>
  <c r="T400" i="14"/>
  <c r="T408" i="14" s="1"/>
  <c r="Q400" i="14"/>
  <c r="Q408" i="14" s="1"/>
  <c r="U400" i="14"/>
  <c r="U408" i="14" s="1"/>
  <c r="V400" i="14"/>
  <c r="V408" i="14" s="1"/>
  <c r="K400" i="14"/>
  <c r="K408" i="14" s="1"/>
  <c r="AK400" i="14"/>
  <c r="AK408" i="14" s="1"/>
  <c r="L400" i="14"/>
  <c r="L408" i="14" s="1"/>
  <c r="I400" i="14"/>
  <c r="I408" i="14" s="1"/>
  <c r="AH400" i="14"/>
  <c r="AH408" i="14" s="1"/>
  <c r="AG400" i="14"/>
  <c r="AG408" i="14" s="1"/>
  <c r="W400" i="14"/>
  <c r="W408" i="14" s="1"/>
  <c r="AI400" i="14"/>
  <c r="AI408" i="14" s="1"/>
  <c r="P400" i="14"/>
  <c r="P408" i="14" s="1"/>
  <c r="O400" i="14"/>
  <c r="O408" i="14" s="1"/>
  <c r="Z400" i="14"/>
  <c r="Z408" i="14" s="1"/>
  <c r="AA400" i="14"/>
  <c r="AA408" i="14" s="1"/>
  <c r="AD400" i="14"/>
  <c r="AD408" i="14" s="1"/>
  <c r="AL400" i="14"/>
  <c r="AL408" i="14" s="1"/>
  <c r="AO400" i="14"/>
  <c r="AO408" i="14" s="1"/>
  <c r="J400" i="14"/>
  <c r="J408" i="14" s="1"/>
  <c r="AF400" i="14"/>
  <c r="AF408" i="14" s="1"/>
  <c r="AL128" i="16"/>
  <c r="AL136" i="16" s="1"/>
  <c r="AC128" i="16"/>
  <c r="AC136" i="16" s="1"/>
  <c r="AF128" i="16"/>
  <c r="AF136" i="16" s="1"/>
  <c r="AM128" i="16"/>
  <c r="AM136" i="16" s="1"/>
  <c r="AD128" i="16"/>
  <c r="AD136" i="16" s="1"/>
  <c r="AK128" i="16"/>
  <c r="AK136" i="16" s="1"/>
  <c r="AE128" i="16"/>
  <c r="AE136" i="16" s="1"/>
  <c r="AH128" i="16"/>
  <c r="AH136" i="16" s="1"/>
  <c r="AG128" i="16"/>
  <c r="AG136" i="16" s="1"/>
  <c r="AJ128" i="16"/>
  <c r="AJ136" i="16" s="1"/>
  <c r="AN128" i="16"/>
  <c r="AN136" i="16" s="1"/>
  <c r="AI128" i="16"/>
  <c r="AI136" i="16" s="1"/>
  <c r="J128" i="16"/>
  <c r="J136" i="16" s="1"/>
  <c r="I128" i="16"/>
  <c r="I136" i="16" s="1"/>
  <c r="Y128" i="16"/>
  <c r="Y136" i="16" s="1"/>
  <c r="V128" i="16"/>
  <c r="V136" i="16" s="1"/>
  <c r="S128" i="16"/>
  <c r="S136" i="16" s="1"/>
  <c r="Q128" i="16"/>
  <c r="Q136" i="16" s="1"/>
  <c r="N128" i="16"/>
  <c r="N136" i="16" s="1"/>
  <c r="P128" i="16"/>
  <c r="P136" i="16" s="1"/>
  <c r="T128" i="16"/>
  <c r="T136" i="16" s="1"/>
  <c r="O128" i="16"/>
  <c r="O136" i="16" s="1"/>
  <c r="L128" i="16"/>
  <c r="L136" i="16" s="1"/>
  <c r="X128" i="16"/>
  <c r="X136" i="16" s="1"/>
  <c r="U128" i="16"/>
  <c r="U136" i="16" s="1"/>
  <c r="AA128" i="16"/>
  <c r="AA136" i="16" s="1"/>
  <c r="K128" i="16"/>
  <c r="K136" i="16" s="1"/>
  <c r="AB128" i="16"/>
  <c r="AB136" i="16" s="1"/>
  <c r="W128" i="16"/>
  <c r="W136" i="16" s="1"/>
  <c r="M128" i="16"/>
  <c r="M136" i="16" s="1"/>
  <c r="R128" i="16"/>
  <c r="R136" i="16" s="1"/>
  <c r="Z128" i="16"/>
  <c r="Z136" i="16" s="1"/>
  <c r="AM661" i="16"/>
  <c r="AM669" i="16" s="1"/>
  <c r="AH661" i="16"/>
  <c r="AH669" i="16" s="1"/>
  <c r="AL661" i="16"/>
  <c r="AL669" i="16" s="1"/>
  <c r="AN661" i="16"/>
  <c r="AN669" i="16" s="1"/>
  <c r="AI661" i="16"/>
  <c r="AI669" i="16" s="1"/>
  <c r="AK661" i="16"/>
  <c r="AK669" i="16" s="1"/>
  <c r="AJ661" i="16"/>
  <c r="AJ669" i="16" s="1"/>
  <c r="AO661" i="16"/>
  <c r="AO669" i="16" s="1"/>
  <c r="N661" i="16"/>
  <c r="N669" i="16" s="1"/>
  <c r="J661" i="16"/>
  <c r="J669" i="16" s="1"/>
  <c r="AA661" i="16"/>
  <c r="AA669" i="16" s="1"/>
  <c r="Y661" i="16"/>
  <c r="Y669" i="16" s="1"/>
  <c r="R661" i="16"/>
  <c r="R669" i="16" s="1"/>
  <c r="S661" i="16"/>
  <c r="S669" i="16" s="1"/>
  <c r="X661" i="16"/>
  <c r="X669" i="16" s="1"/>
  <c r="AF661" i="16"/>
  <c r="AF669" i="16" s="1"/>
  <c r="Q661" i="16"/>
  <c r="Q669" i="16" s="1"/>
  <c r="AC661" i="16"/>
  <c r="AC669" i="16" s="1"/>
  <c r="M661" i="16"/>
  <c r="M669" i="16" s="1"/>
  <c r="AB661" i="16"/>
  <c r="AB669" i="16" s="1"/>
  <c r="O661" i="16"/>
  <c r="O669" i="16" s="1"/>
  <c r="L661" i="16"/>
  <c r="L669" i="16" s="1"/>
  <c r="T661" i="16"/>
  <c r="T669" i="16" s="1"/>
  <c r="K661" i="16"/>
  <c r="K669" i="16" s="1"/>
  <c r="U661" i="16"/>
  <c r="U669" i="16" s="1"/>
  <c r="P661" i="16"/>
  <c r="P669" i="16" s="1"/>
  <c r="AD661" i="16"/>
  <c r="AD669" i="16" s="1"/>
  <c r="AG661" i="16"/>
  <c r="AG669" i="16" s="1"/>
  <c r="AE661" i="16"/>
  <c r="AE669" i="16" s="1"/>
  <c r="W661" i="16"/>
  <c r="W669" i="16" s="1"/>
  <c r="Z661" i="16"/>
  <c r="Z669" i="16" s="1"/>
  <c r="I661" i="16"/>
  <c r="I669" i="16" s="1"/>
  <c r="V661" i="16"/>
  <c r="V669" i="16" s="1"/>
  <c r="S148" i="9"/>
  <c r="S156" i="9" s="1"/>
  <c r="U148" i="9"/>
  <c r="U156" i="9" s="1"/>
  <c r="Q148" i="9"/>
  <c r="Q156" i="9" s="1"/>
  <c r="AI148" i="9"/>
  <c r="AI156" i="9" s="1"/>
  <c r="X148" i="9"/>
  <c r="X156" i="9" s="1"/>
  <c r="N148" i="9"/>
  <c r="N156" i="9" s="1"/>
  <c r="Z148" i="9"/>
  <c r="Z156" i="9" s="1"/>
  <c r="P148" i="9"/>
  <c r="P156" i="9" s="1"/>
  <c r="T148" i="9"/>
  <c r="T156" i="9" s="1"/>
  <c r="Y148" i="9"/>
  <c r="Y156" i="9" s="1"/>
  <c r="AM148" i="9"/>
  <c r="AM156" i="9" s="1"/>
  <c r="AJ148" i="9"/>
  <c r="AJ156" i="9" s="1"/>
  <c r="AC148" i="9"/>
  <c r="AC156" i="9" s="1"/>
  <c r="AD148" i="9"/>
  <c r="AD156" i="9" s="1"/>
  <c r="AF148" i="9"/>
  <c r="AF156" i="9" s="1"/>
  <c r="M148" i="9"/>
  <c r="M156" i="9" s="1"/>
  <c r="AE148" i="9"/>
  <c r="AE156" i="9" s="1"/>
  <c r="AH148" i="9"/>
  <c r="AH156" i="9" s="1"/>
  <c r="J148" i="9"/>
  <c r="J156" i="9" s="1"/>
  <c r="AB148" i="9"/>
  <c r="AB156" i="9" s="1"/>
  <c r="W148" i="9"/>
  <c r="W156" i="9" s="1"/>
  <c r="K148" i="9"/>
  <c r="K156" i="9" s="1"/>
  <c r="AA148" i="9"/>
  <c r="AA156" i="9" s="1"/>
  <c r="V148" i="9"/>
  <c r="V156" i="9" s="1"/>
  <c r="AN148" i="9"/>
  <c r="AN156" i="9" s="1"/>
  <c r="AG148" i="9"/>
  <c r="AG156" i="9" s="1"/>
  <c r="O148" i="9"/>
  <c r="O156" i="9" s="1"/>
  <c r="AL148" i="9"/>
  <c r="AL156" i="9" s="1"/>
  <c r="AK148" i="9"/>
  <c r="AK156" i="9" s="1"/>
  <c r="R148" i="9"/>
  <c r="R156" i="9" s="1"/>
  <c r="L148" i="9"/>
  <c r="L156" i="9" s="1"/>
  <c r="I148" i="9"/>
  <c r="AA569" i="15"/>
  <c r="AA577" i="15" s="1"/>
  <c r="AK569" i="15"/>
  <c r="AK577" i="15" s="1"/>
  <c r="AH569" i="15"/>
  <c r="AH577" i="15" s="1"/>
  <c r="AE569" i="15"/>
  <c r="AE577" i="15" s="1"/>
  <c r="J569" i="15"/>
  <c r="J577" i="15" s="1"/>
  <c r="AO569" i="15"/>
  <c r="AO577" i="15" s="1"/>
  <c r="O569" i="15"/>
  <c r="O577" i="15" s="1"/>
  <c r="AJ569" i="15"/>
  <c r="AJ577" i="15" s="1"/>
  <c r="V569" i="15"/>
  <c r="V577" i="15" s="1"/>
  <c r="AL569" i="15"/>
  <c r="AL577" i="15" s="1"/>
  <c r="Z569" i="15"/>
  <c r="Z577" i="15" s="1"/>
  <c r="AD569" i="15"/>
  <c r="AD577" i="15" s="1"/>
  <c r="K569" i="15"/>
  <c r="K577" i="15" s="1"/>
  <c r="AC569" i="15"/>
  <c r="AC577" i="15" s="1"/>
  <c r="AB569" i="15"/>
  <c r="AB577" i="15" s="1"/>
  <c r="N569" i="15"/>
  <c r="N577" i="15" s="1"/>
  <c r="M569" i="15"/>
  <c r="M577" i="15" s="1"/>
  <c r="AF569" i="15"/>
  <c r="AF577" i="15" s="1"/>
  <c r="AN569" i="15"/>
  <c r="AN577" i="15" s="1"/>
  <c r="W569" i="15"/>
  <c r="W577" i="15" s="1"/>
  <c r="Q569" i="15"/>
  <c r="Q577" i="15" s="1"/>
  <c r="AM569" i="15"/>
  <c r="AM577" i="15" s="1"/>
  <c r="R569" i="15"/>
  <c r="R577" i="15" s="1"/>
  <c r="AI569" i="15"/>
  <c r="AI577" i="15" s="1"/>
  <c r="L569" i="15"/>
  <c r="L577" i="15" s="1"/>
  <c r="T569" i="15"/>
  <c r="T577" i="15" s="1"/>
  <c r="P569" i="15"/>
  <c r="P577" i="15" s="1"/>
  <c r="U569" i="15"/>
  <c r="U577" i="15" s="1"/>
  <c r="AG569" i="15"/>
  <c r="AG577" i="15" s="1"/>
  <c r="S569" i="15"/>
  <c r="S577" i="15" s="1"/>
  <c r="Y569" i="15"/>
  <c r="Y577" i="15" s="1"/>
  <c r="X569" i="15"/>
  <c r="X577" i="15" s="1"/>
  <c r="I569" i="15"/>
  <c r="I577" i="15" s="1"/>
  <c r="N67" i="7"/>
  <c r="N75" i="7" s="1"/>
  <c r="S67" i="7"/>
  <c r="S75" i="7" s="1"/>
  <c r="L67" i="7"/>
  <c r="L75" i="7" s="1"/>
  <c r="U67" i="7"/>
  <c r="U75" i="7" s="1"/>
  <c r="T67" i="7"/>
  <c r="T75" i="7" s="1"/>
  <c r="V67" i="7"/>
  <c r="V75" i="7" s="1"/>
  <c r="W67" i="7"/>
  <c r="W75" i="7" s="1"/>
  <c r="R67" i="7"/>
  <c r="R75" i="7" s="1"/>
  <c r="Y67" i="7"/>
  <c r="Y75" i="7" s="1"/>
  <c r="Q67" i="7"/>
  <c r="Q75" i="7" s="1"/>
  <c r="K67" i="7"/>
  <c r="K75" i="7" s="1"/>
  <c r="X67" i="7"/>
  <c r="X75" i="7" s="1"/>
  <c r="O67" i="7"/>
  <c r="O75" i="7" s="1"/>
  <c r="M67" i="7"/>
  <c r="M75" i="7" s="1"/>
  <c r="J67" i="7"/>
  <c r="J75" i="7" s="1"/>
  <c r="Z67" i="7"/>
  <c r="Z75" i="7" s="1"/>
  <c r="AA67" i="7"/>
  <c r="AA75" i="7" s="1"/>
  <c r="P67" i="7"/>
  <c r="P75" i="7" s="1"/>
  <c r="AB67" i="7"/>
  <c r="AB75" i="7" s="1"/>
  <c r="I67" i="7"/>
  <c r="I75" i="7" s="1"/>
  <c r="AO243" i="7"/>
  <c r="AO251" i="7" s="1"/>
  <c r="AJ243" i="7"/>
  <c r="AJ251" i="7" s="1"/>
  <c r="AH243" i="7"/>
  <c r="AH251" i="7" s="1"/>
  <c r="AN243" i="7"/>
  <c r="AN251" i="7" s="1"/>
  <c r="T243" i="7"/>
  <c r="T251" i="7" s="1"/>
  <c r="AG243" i="7"/>
  <c r="AG251" i="7" s="1"/>
  <c r="AL243" i="7"/>
  <c r="AL251" i="7" s="1"/>
  <c r="AK243" i="7"/>
  <c r="AK251" i="7" s="1"/>
  <c r="AC243" i="7"/>
  <c r="AC251" i="7" s="1"/>
  <c r="AE243" i="7"/>
  <c r="AE251" i="7" s="1"/>
  <c r="AM243" i="7"/>
  <c r="AM251" i="7" s="1"/>
  <c r="AD243" i="7"/>
  <c r="AD251" i="7" s="1"/>
  <c r="AF243" i="7"/>
  <c r="AF251" i="7" s="1"/>
  <c r="AI243" i="7"/>
  <c r="AI251" i="7" s="1"/>
  <c r="O243" i="7"/>
  <c r="O251" i="7" s="1"/>
  <c r="Y243" i="7"/>
  <c r="Y251" i="7" s="1"/>
  <c r="K243" i="7"/>
  <c r="K251" i="7" s="1"/>
  <c r="N243" i="7"/>
  <c r="N251" i="7" s="1"/>
  <c r="Z243" i="7"/>
  <c r="Z251" i="7" s="1"/>
  <c r="P243" i="7"/>
  <c r="P251" i="7" s="1"/>
  <c r="X243" i="7"/>
  <c r="X251" i="7" s="1"/>
  <c r="R243" i="7"/>
  <c r="R251" i="7" s="1"/>
  <c r="U243" i="7"/>
  <c r="U251" i="7" s="1"/>
  <c r="AA243" i="7"/>
  <c r="AA251" i="7" s="1"/>
  <c r="Q243" i="7"/>
  <c r="Q251" i="7" s="1"/>
  <c r="S243" i="7"/>
  <c r="S251" i="7" s="1"/>
  <c r="L243" i="7"/>
  <c r="L251" i="7" s="1"/>
  <c r="J243" i="7"/>
  <c r="J251" i="7" s="1"/>
  <c r="M243" i="7"/>
  <c r="M251" i="7" s="1"/>
  <c r="AB243" i="7"/>
  <c r="AB251" i="7" s="1"/>
  <c r="W243" i="7"/>
  <c r="W251" i="7" s="1"/>
  <c r="V243" i="7"/>
  <c r="V251" i="7" s="1"/>
  <c r="I243" i="7"/>
  <c r="W570" i="15"/>
  <c r="W578" i="15" s="1"/>
  <c r="AO570" i="15"/>
  <c r="AO578" i="15" s="1"/>
  <c r="Q570" i="15"/>
  <c r="Q578" i="15" s="1"/>
  <c r="P570" i="15"/>
  <c r="P578" i="15" s="1"/>
  <c r="Z570" i="15"/>
  <c r="Z578" i="15" s="1"/>
  <c r="Y570" i="15"/>
  <c r="Y578" i="15" s="1"/>
  <c r="V570" i="15"/>
  <c r="V578" i="15" s="1"/>
  <c r="AL570" i="15"/>
  <c r="AL578" i="15" s="1"/>
  <c r="X570" i="15"/>
  <c r="X578" i="15" s="1"/>
  <c r="AI570" i="15"/>
  <c r="AI578" i="15" s="1"/>
  <c r="AD570" i="15"/>
  <c r="AD578" i="15" s="1"/>
  <c r="AN570" i="15"/>
  <c r="AN578" i="15" s="1"/>
  <c r="S570" i="15"/>
  <c r="S578" i="15" s="1"/>
  <c r="AM570" i="15"/>
  <c r="AM578" i="15" s="1"/>
  <c r="O570" i="15"/>
  <c r="O578" i="15" s="1"/>
  <c r="AK570" i="15"/>
  <c r="AK578" i="15" s="1"/>
  <c r="U570" i="15"/>
  <c r="U578" i="15" s="1"/>
  <c r="J570" i="15"/>
  <c r="J578" i="15" s="1"/>
  <c r="I570" i="15"/>
  <c r="I578" i="15" s="1"/>
  <c r="AA570" i="15"/>
  <c r="AA578" i="15" s="1"/>
  <c r="AE570" i="15"/>
  <c r="AE578" i="15" s="1"/>
  <c r="L570" i="15"/>
  <c r="L578" i="15" s="1"/>
  <c r="AG570" i="15"/>
  <c r="AG578" i="15" s="1"/>
  <c r="AB570" i="15"/>
  <c r="AB578" i="15" s="1"/>
  <c r="K570" i="15"/>
  <c r="K578" i="15" s="1"/>
  <c r="AJ570" i="15"/>
  <c r="AJ578" i="15" s="1"/>
  <c r="N570" i="15"/>
  <c r="N578" i="15" s="1"/>
  <c r="R570" i="15"/>
  <c r="R578" i="15" s="1"/>
  <c r="AF570" i="15"/>
  <c r="AF578" i="15" s="1"/>
  <c r="T570" i="15"/>
  <c r="T578" i="15" s="1"/>
  <c r="AH570" i="15"/>
  <c r="AH578" i="15" s="1"/>
  <c r="M570" i="15"/>
  <c r="M578" i="15" s="1"/>
  <c r="AC570" i="15"/>
  <c r="AC578" i="15" s="1"/>
  <c r="AO472" i="15"/>
  <c r="AO480" i="15" s="1"/>
  <c r="AB472" i="15"/>
  <c r="AB480" i="15" s="1"/>
  <c r="P472" i="15"/>
  <c r="P480" i="15" s="1"/>
  <c r="AC472" i="15"/>
  <c r="AC480" i="15" s="1"/>
  <c r="AN472" i="15"/>
  <c r="AN480" i="15" s="1"/>
  <c r="Y472" i="15"/>
  <c r="Y480" i="15" s="1"/>
  <c r="V472" i="15"/>
  <c r="V480" i="15" s="1"/>
  <c r="I472" i="15"/>
  <c r="I480" i="15" s="1"/>
  <c r="AI472" i="15"/>
  <c r="AI480" i="15" s="1"/>
  <c r="T472" i="15"/>
  <c r="T480" i="15" s="1"/>
  <c r="U472" i="15"/>
  <c r="U480" i="15" s="1"/>
  <c r="R472" i="15"/>
  <c r="R480" i="15" s="1"/>
  <c r="AD472" i="15"/>
  <c r="AD480" i="15" s="1"/>
  <c r="L472" i="15"/>
  <c r="L480" i="15" s="1"/>
  <c r="O472" i="15"/>
  <c r="O480" i="15" s="1"/>
  <c r="AA472" i="15"/>
  <c r="AA480" i="15" s="1"/>
  <c r="N472" i="15"/>
  <c r="N480" i="15" s="1"/>
  <c r="Z472" i="15"/>
  <c r="Z480" i="15" s="1"/>
  <c r="AK472" i="15"/>
  <c r="AK480" i="15" s="1"/>
  <c r="AM472" i="15"/>
  <c r="AM480" i="15" s="1"/>
  <c r="S472" i="15"/>
  <c r="S480" i="15" s="1"/>
  <c r="M472" i="15"/>
  <c r="M480" i="15" s="1"/>
  <c r="Q472" i="15"/>
  <c r="Q480" i="15" s="1"/>
  <c r="AF472" i="15"/>
  <c r="AF480" i="15" s="1"/>
  <c r="K472" i="15"/>
  <c r="K480" i="15" s="1"/>
  <c r="J472" i="15"/>
  <c r="J480" i="15" s="1"/>
  <c r="AG472" i="15"/>
  <c r="AG480" i="15" s="1"/>
  <c r="AH472" i="15"/>
  <c r="AH480" i="15" s="1"/>
  <c r="AL472" i="15"/>
  <c r="AL480" i="15" s="1"/>
  <c r="X472" i="15"/>
  <c r="X480" i="15" s="1"/>
  <c r="AJ472" i="15"/>
  <c r="AJ480" i="15" s="1"/>
  <c r="W472" i="15"/>
  <c r="W480" i="15" s="1"/>
  <c r="AE472" i="15"/>
  <c r="AE480" i="15" s="1"/>
  <c r="AK117" i="14"/>
  <c r="AK125" i="14" s="1"/>
  <c r="X117" i="14"/>
  <c r="X125" i="14" s="1"/>
  <c r="I117" i="14"/>
  <c r="I125" i="14" s="1"/>
  <c r="AH117" i="14"/>
  <c r="AH125" i="14" s="1"/>
  <c r="O117" i="14"/>
  <c r="O125" i="14" s="1"/>
  <c r="N117" i="14"/>
  <c r="N125" i="14" s="1"/>
  <c r="AF117" i="14"/>
  <c r="AF125" i="14" s="1"/>
  <c r="K117" i="14"/>
  <c r="K125" i="14" s="1"/>
  <c r="AP117" i="14"/>
  <c r="AP125" i="14" s="1"/>
  <c r="U117" i="14"/>
  <c r="U125" i="14" s="1"/>
  <c r="AG117" i="14"/>
  <c r="AG125" i="14" s="1"/>
  <c r="P117" i="14"/>
  <c r="P125" i="14" s="1"/>
  <c r="AN117" i="14"/>
  <c r="AN125" i="14" s="1"/>
  <c r="L117" i="14"/>
  <c r="L125" i="14" s="1"/>
  <c r="AJ117" i="14"/>
  <c r="AJ125" i="14" s="1"/>
  <c r="T117" i="14"/>
  <c r="T125" i="14" s="1"/>
  <c r="AE117" i="14"/>
  <c r="AE125" i="14" s="1"/>
  <c r="S117" i="14"/>
  <c r="S125" i="14" s="1"/>
  <c r="AB117" i="14"/>
  <c r="AB125" i="14" s="1"/>
  <c r="J117" i="14"/>
  <c r="J125" i="14" s="1"/>
  <c r="AC117" i="14"/>
  <c r="AC125" i="14" s="1"/>
  <c r="R117" i="14"/>
  <c r="R125" i="14" s="1"/>
  <c r="AD117" i="14"/>
  <c r="AD125" i="14" s="1"/>
  <c r="W117" i="14"/>
  <c r="W125" i="14" s="1"/>
  <c r="AI117" i="14"/>
  <c r="AI125" i="14" s="1"/>
  <c r="Z117" i="14"/>
  <c r="Z125" i="14" s="1"/>
  <c r="AL117" i="14"/>
  <c r="AL125" i="14" s="1"/>
  <c r="M117" i="14"/>
  <c r="M125" i="14" s="1"/>
  <c r="AO117" i="14"/>
  <c r="AO125" i="14" s="1"/>
  <c r="AA117" i="14"/>
  <c r="AA125" i="14" s="1"/>
  <c r="AM117" i="14"/>
  <c r="AM125" i="14" s="1"/>
  <c r="Q117" i="14"/>
  <c r="Q125" i="14" s="1"/>
  <c r="V117" i="14"/>
  <c r="V125" i="14" s="1"/>
  <c r="Y117" i="14"/>
  <c r="Y125" i="14" s="1"/>
  <c r="S913" i="15"/>
  <c r="S921" i="15" s="1"/>
  <c r="AB913" i="15"/>
  <c r="AB921" i="15" s="1"/>
  <c r="AG913" i="15"/>
  <c r="AG921" i="15" s="1"/>
  <c r="AD913" i="15"/>
  <c r="AD921" i="15" s="1"/>
  <c r="P913" i="15"/>
  <c r="P921" i="15" s="1"/>
  <c r="AC913" i="15"/>
  <c r="AC921" i="15" s="1"/>
  <c r="AO913" i="15"/>
  <c r="AO921" i="15" s="1"/>
  <c r="T913" i="15"/>
  <c r="T921" i="15" s="1"/>
  <c r="AL913" i="15"/>
  <c r="AL921" i="15" s="1"/>
  <c r="AE913" i="15"/>
  <c r="AE921" i="15" s="1"/>
  <c r="I913" i="15"/>
  <c r="I921" i="15" s="1"/>
  <c r="AF913" i="15"/>
  <c r="AF921" i="15" s="1"/>
  <c r="AM913" i="15"/>
  <c r="AM921" i="15" s="1"/>
  <c r="J913" i="15"/>
  <c r="J921" i="15" s="1"/>
  <c r="Y913" i="15"/>
  <c r="Y921" i="15" s="1"/>
  <c r="R913" i="15"/>
  <c r="R921" i="15" s="1"/>
  <c r="AI913" i="15"/>
  <c r="AI921" i="15" s="1"/>
  <c r="O913" i="15"/>
  <c r="O921" i="15" s="1"/>
  <c r="U913" i="15"/>
  <c r="U921" i="15" s="1"/>
  <c r="M913" i="15"/>
  <c r="M921" i="15" s="1"/>
  <c r="AA913" i="15"/>
  <c r="AA921" i="15" s="1"/>
  <c r="L913" i="15"/>
  <c r="L921" i="15" s="1"/>
  <c r="V913" i="15"/>
  <c r="V921" i="15" s="1"/>
  <c r="Q913" i="15"/>
  <c r="Q921" i="15" s="1"/>
  <c r="X913" i="15"/>
  <c r="X921" i="15" s="1"/>
  <c r="AN913" i="15"/>
  <c r="AN921" i="15" s="1"/>
  <c r="AH913" i="15"/>
  <c r="AH921" i="15" s="1"/>
  <c r="W913" i="15"/>
  <c r="W921" i="15" s="1"/>
  <c r="N913" i="15"/>
  <c r="N921" i="15" s="1"/>
  <c r="Z913" i="15"/>
  <c r="Z921" i="15" s="1"/>
  <c r="K913" i="15"/>
  <c r="K921" i="15" s="1"/>
  <c r="AK913" i="15"/>
  <c r="AK921" i="15" s="1"/>
  <c r="AP913" i="15"/>
  <c r="AP921" i="15" s="1"/>
  <c r="AJ913" i="15"/>
  <c r="AJ921" i="15" s="1"/>
  <c r="AN157" i="7"/>
  <c r="AN165" i="7" s="1"/>
  <c r="AJ157" i="7"/>
  <c r="AJ165" i="7" s="1"/>
  <c r="AL157" i="7"/>
  <c r="AL165" i="7" s="1"/>
  <c r="AO157" i="7"/>
  <c r="AO165" i="7" s="1"/>
  <c r="AF157" i="7"/>
  <c r="AF165" i="7" s="1"/>
  <c r="AM157" i="7"/>
  <c r="AM165" i="7" s="1"/>
  <c r="U157" i="7"/>
  <c r="U165" i="7" s="1"/>
  <c r="AH157" i="7"/>
  <c r="AH165" i="7" s="1"/>
  <c r="AI157" i="7"/>
  <c r="AI165" i="7" s="1"/>
  <c r="AE157" i="7"/>
  <c r="AE165" i="7" s="1"/>
  <c r="X157" i="7"/>
  <c r="X165" i="7" s="1"/>
  <c r="W157" i="7"/>
  <c r="W165" i="7" s="1"/>
  <c r="AK157" i="7"/>
  <c r="AK165" i="7" s="1"/>
  <c r="AC157" i="7"/>
  <c r="AC165" i="7" s="1"/>
  <c r="V157" i="7"/>
  <c r="V165" i="7" s="1"/>
  <c r="L157" i="7"/>
  <c r="L165" i="7" s="1"/>
  <c r="AG157" i="7"/>
  <c r="AG165" i="7" s="1"/>
  <c r="AD157" i="7"/>
  <c r="AD165" i="7" s="1"/>
  <c r="Q157" i="7"/>
  <c r="Q165" i="7" s="1"/>
  <c r="J157" i="7"/>
  <c r="J165" i="7" s="1"/>
  <c r="M157" i="7"/>
  <c r="M165" i="7" s="1"/>
  <c r="S157" i="7"/>
  <c r="S165" i="7" s="1"/>
  <c r="AA157" i="7"/>
  <c r="AA165" i="7" s="1"/>
  <c r="O157" i="7"/>
  <c r="O165" i="7" s="1"/>
  <c r="I157" i="7"/>
  <c r="T157" i="7"/>
  <c r="T165" i="7" s="1"/>
  <c r="AB157" i="7"/>
  <c r="AB165" i="7" s="1"/>
  <c r="R157" i="7"/>
  <c r="R165" i="7" s="1"/>
  <c r="N157" i="7"/>
  <c r="N165" i="7" s="1"/>
  <c r="Z157" i="7"/>
  <c r="Z165" i="7" s="1"/>
  <c r="K157" i="7"/>
  <c r="K165" i="7" s="1"/>
  <c r="P157" i="7"/>
  <c r="P165" i="7" s="1"/>
  <c r="Y157" i="7"/>
  <c r="Y165" i="7" s="1"/>
  <c r="W247" i="15"/>
  <c r="W255" i="15" s="1"/>
  <c r="L247" i="15"/>
  <c r="L255" i="15" s="1"/>
  <c r="Z247" i="15"/>
  <c r="Z255" i="15" s="1"/>
  <c r="T247" i="15"/>
  <c r="T255" i="15" s="1"/>
  <c r="S247" i="15"/>
  <c r="S255" i="15" s="1"/>
  <c r="J247" i="15"/>
  <c r="J255" i="15" s="1"/>
  <c r="O247" i="15"/>
  <c r="O255" i="15" s="1"/>
  <c r="N247" i="15"/>
  <c r="N255" i="15" s="1"/>
  <c r="K247" i="15"/>
  <c r="K255" i="15" s="1"/>
  <c r="Q247" i="15"/>
  <c r="Q255" i="15" s="1"/>
  <c r="AC247" i="15"/>
  <c r="AC255" i="15" s="1"/>
  <c r="R247" i="15"/>
  <c r="R255" i="15" s="1"/>
  <c r="V247" i="15"/>
  <c r="V255" i="15" s="1"/>
  <c r="M247" i="15"/>
  <c r="M255" i="15" s="1"/>
  <c r="U247" i="15"/>
  <c r="U255" i="15" s="1"/>
  <c r="P247" i="15"/>
  <c r="P255" i="15" s="1"/>
  <c r="X247" i="15"/>
  <c r="X255" i="15" s="1"/>
  <c r="I247" i="15"/>
  <c r="Y247" i="15"/>
  <c r="Y255" i="15" s="1"/>
  <c r="AB247" i="15"/>
  <c r="AB255" i="15" s="1"/>
  <c r="AA247" i="15"/>
  <c r="AA255" i="15" s="1"/>
  <c r="AL62" i="9"/>
  <c r="AL70" i="9" s="1"/>
  <c r="AN62" i="9"/>
  <c r="AN70" i="9" s="1"/>
  <c r="AM62" i="9"/>
  <c r="AM70" i="9" s="1"/>
  <c r="AH62" i="9"/>
  <c r="AH70" i="9" s="1"/>
  <c r="I62" i="9"/>
  <c r="I70" i="9" s="1"/>
  <c r="AJ62" i="9"/>
  <c r="AJ70" i="9" s="1"/>
  <c r="AD62" i="9"/>
  <c r="AD70" i="9" s="1"/>
  <c r="AG62" i="9"/>
  <c r="AG70" i="9" s="1"/>
  <c r="AF62" i="9"/>
  <c r="AF70" i="9" s="1"/>
  <c r="AI62" i="9"/>
  <c r="AI70" i="9" s="1"/>
  <c r="AK62" i="9"/>
  <c r="AK70" i="9" s="1"/>
  <c r="AC62" i="9"/>
  <c r="AC70" i="9" s="1"/>
  <c r="AE62" i="9"/>
  <c r="AE70" i="9" s="1"/>
  <c r="P62" i="9"/>
  <c r="P70" i="9" s="1"/>
  <c r="R62" i="9"/>
  <c r="R70" i="9" s="1"/>
  <c r="Z62" i="9"/>
  <c r="Z70" i="9" s="1"/>
  <c r="J62" i="9"/>
  <c r="J70" i="9" s="1"/>
  <c r="AA62" i="9"/>
  <c r="AA70" i="9" s="1"/>
  <c r="V62" i="9"/>
  <c r="V70" i="9" s="1"/>
  <c r="Q62" i="9"/>
  <c r="Q70" i="9" s="1"/>
  <c r="O62" i="9"/>
  <c r="O70" i="9" s="1"/>
  <c r="S62" i="9"/>
  <c r="S70" i="9" s="1"/>
  <c r="L62" i="9"/>
  <c r="L70" i="9" s="1"/>
  <c r="N62" i="9"/>
  <c r="N70" i="9" s="1"/>
  <c r="X62" i="9"/>
  <c r="X70" i="9" s="1"/>
  <c r="W62" i="9"/>
  <c r="W70" i="9" s="1"/>
  <c r="M62" i="9"/>
  <c r="M70" i="9" s="1"/>
  <c r="AB62" i="9"/>
  <c r="AB70" i="9" s="1"/>
  <c r="K62" i="9"/>
  <c r="K70" i="9" s="1"/>
  <c r="T62" i="9"/>
  <c r="T70" i="9" s="1"/>
  <c r="U62" i="9"/>
  <c r="U70" i="9" s="1"/>
  <c r="Y62" i="9"/>
  <c r="Y70" i="9" s="1"/>
  <c r="AO248" i="7"/>
  <c r="AO256" i="7" s="1"/>
  <c r="AL248" i="7"/>
  <c r="AL256" i="7" s="1"/>
  <c r="AB248" i="7"/>
  <c r="AB256" i="7" s="1"/>
  <c r="AF248" i="7"/>
  <c r="AF256" i="7" s="1"/>
  <c r="AC248" i="7"/>
  <c r="AC256" i="7" s="1"/>
  <c r="AI248" i="7"/>
  <c r="AI256" i="7" s="1"/>
  <c r="AJ248" i="7"/>
  <c r="AJ256" i="7" s="1"/>
  <c r="AH248" i="7"/>
  <c r="AH256" i="7" s="1"/>
  <c r="AG248" i="7"/>
  <c r="AG256" i="7" s="1"/>
  <c r="AM248" i="7"/>
  <c r="AM256" i="7" s="1"/>
  <c r="AK248" i="7"/>
  <c r="AK256" i="7" s="1"/>
  <c r="AN248" i="7"/>
  <c r="AN256" i="7" s="1"/>
  <c r="AD248" i="7"/>
  <c r="AD256" i="7" s="1"/>
  <c r="AE248" i="7"/>
  <c r="AE256" i="7" s="1"/>
  <c r="Z248" i="7"/>
  <c r="Z256" i="7" s="1"/>
  <c r="X248" i="7"/>
  <c r="X256" i="7" s="1"/>
  <c r="T248" i="7"/>
  <c r="T256" i="7" s="1"/>
  <c r="Q248" i="7"/>
  <c r="Q256" i="7" s="1"/>
  <c r="V248" i="7"/>
  <c r="V256" i="7" s="1"/>
  <c r="I248" i="7"/>
  <c r="Y248" i="7"/>
  <c r="Y256" i="7" s="1"/>
  <c r="P248" i="7"/>
  <c r="P256" i="7" s="1"/>
  <c r="U248" i="7"/>
  <c r="U256" i="7" s="1"/>
  <c r="M248" i="7"/>
  <c r="M256" i="7" s="1"/>
  <c r="J248" i="7"/>
  <c r="J256" i="7" s="1"/>
  <c r="K248" i="7"/>
  <c r="K256" i="7" s="1"/>
  <c r="O248" i="7"/>
  <c r="O256" i="7" s="1"/>
  <c r="W248" i="7"/>
  <c r="W256" i="7" s="1"/>
  <c r="S248" i="7"/>
  <c r="S256" i="7" s="1"/>
  <c r="L248" i="7"/>
  <c r="L256" i="7" s="1"/>
  <c r="R248" i="7"/>
  <c r="R256" i="7" s="1"/>
  <c r="N248" i="7"/>
  <c r="N256" i="7" s="1"/>
  <c r="AA248" i="7"/>
  <c r="AA256" i="7" s="1"/>
  <c r="AB565" i="15"/>
  <c r="AB573" i="15" s="1"/>
  <c r="X565" i="15"/>
  <c r="X573" i="15" s="1"/>
  <c r="M565" i="15"/>
  <c r="M573" i="15" s="1"/>
  <c r="AI565" i="15"/>
  <c r="AI573" i="15" s="1"/>
  <c r="AL565" i="15"/>
  <c r="AL573" i="15" s="1"/>
  <c r="L565" i="15"/>
  <c r="L573" i="15" s="1"/>
  <c r="K565" i="15"/>
  <c r="K573" i="15" s="1"/>
  <c r="AC565" i="15"/>
  <c r="AC573" i="15" s="1"/>
  <c r="S565" i="15"/>
  <c r="S573" i="15" s="1"/>
  <c r="AK565" i="15"/>
  <c r="AK573" i="15" s="1"/>
  <c r="AJ565" i="15"/>
  <c r="AJ573" i="15" s="1"/>
  <c r="J565" i="15"/>
  <c r="J573" i="15" s="1"/>
  <c r="AF565" i="15"/>
  <c r="AF573" i="15" s="1"/>
  <c r="AM565" i="15"/>
  <c r="AM573" i="15" s="1"/>
  <c r="Z565" i="15"/>
  <c r="Z573" i="15" s="1"/>
  <c r="AN565" i="15"/>
  <c r="AN573" i="15" s="1"/>
  <c r="V565" i="15"/>
  <c r="V573" i="15" s="1"/>
  <c r="R565" i="15"/>
  <c r="R573" i="15" s="1"/>
  <c r="N565" i="15"/>
  <c r="N573" i="15" s="1"/>
  <c r="U565" i="15"/>
  <c r="U573" i="15" s="1"/>
  <c r="O565" i="15"/>
  <c r="O573" i="15" s="1"/>
  <c r="Y565" i="15"/>
  <c r="Y573" i="15" s="1"/>
  <c r="Q565" i="15"/>
  <c r="Q573" i="15" s="1"/>
  <c r="W565" i="15"/>
  <c r="W573" i="15" s="1"/>
  <c r="AH565" i="15"/>
  <c r="AH573" i="15" s="1"/>
  <c r="T565" i="15"/>
  <c r="T573" i="15" s="1"/>
  <c r="AO565" i="15"/>
  <c r="AO573" i="15" s="1"/>
  <c r="P565" i="15"/>
  <c r="P573" i="15" s="1"/>
  <c r="AA565" i="15"/>
  <c r="AA573" i="15" s="1"/>
  <c r="AG565" i="15"/>
  <c r="AG573" i="15" s="1"/>
  <c r="AD565" i="15"/>
  <c r="AD573" i="15" s="1"/>
  <c r="AE565" i="15"/>
  <c r="AE573" i="15" s="1"/>
  <c r="I565" i="15"/>
  <c r="AE60" i="9"/>
  <c r="AE68" i="9" s="1"/>
  <c r="AD60" i="9"/>
  <c r="AD68" i="9" s="1"/>
  <c r="AC60" i="9"/>
  <c r="AC68" i="9" s="1"/>
  <c r="AF60" i="9"/>
  <c r="AF68" i="9" s="1"/>
  <c r="AJ60" i="9"/>
  <c r="AJ68" i="9" s="1"/>
  <c r="AN60" i="9"/>
  <c r="AN68" i="9" s="1"/>
  <c r="AK60" i="9"/>
  <c r="AK68" i="9" s="1"/>
  <c r="AI60" i="9"/>
  <c r="AI68" i="9" s="1"/>
  <c r="AH60" i="9"/>
  <c r="AH68" i="9" s="1"/>
  <c r="AL60" i="9"/>
  <c r="AL68" i="9" s="1"/>
  <c r="AG60" i="9"/>
  <c r="AG68" i="9" s="1"/>
  <c r="AM60" i="9"/>
  <c r="AM68" i="9" s="1"/>
  <c r="L60" i="9"/>
  <c r="L68" i="9" s="1"/>
  <c r="U60" i="9"/>
  <c r="U68" i="9" s="1"/>
  <c r="R60" i="9"/>
  <c r="R68" i="9" s="1"/>
  <c r="Z60" i="9"/>
  <c r="Z68" i="9" s="1"/>
  <c r="N60" i="9"/>
  <c r="N68" i="9" s="1"/>
  <c r="I60" i="9"/>
  <c r="AA60" i="9"/>
  <c r="AA68" i="9" s="1"/>
  <c r="Y60" i="9"/>
  <c r="Y68" i="9" s="1"/>
  <c r="V60" i="9"/>
  <c r="V68" i="9" s="1"/>
  <c r="J60" i="9"/>
  <c r="J68" i="9" s="1"/>
  <c r="X60" i="9"/>
  <c r="X68" i="9" s="1"/>
  <c r="O60" i="9"/>
  <c r="O68" i="9" s="1"/>
  <c r="M60" i="9"/>
  <c r="M68" i="9" s="1"/>
  <c r="W60" i="9"/>
  <c r="W68" i="9" s="1"/>
  <c r="T60" i="9"/>
  <c r="T68" i="9" s="1"/>
  <c r="K60" i="9"/>
  <c r="K68" i="9" s="1"/>
  <c r="AB60" i="9"/>
  <c r="AB68" i="9" s="1"/>
  <c r="Q60" i="9"/>
  <c r="Q68" i="9" s="1"/>
  <c r="P60" i="9"/>
  <c r="P68" i="9" s="1"/>
  <c r="S60" i="9"/>
  <c r="S68" i="9" s="1"/>
  <c r="R163" i="8"/>
  <c r="R171" i="8" s="1"/>
  <c r="N163" i="8"/>
  <c r="N171" i="8" s="1"/>
  <c r="AO163" i="8"/>
  <c r="AO171" i="8" s="1"/>
  <c r="AC163" i="8"/>
  <c r="AC171" i="8" s="1"/>
  <c r="P163" i="8"/>
  <c r="P171" i="8" s="1"/>
  <c r="AI163" i="8"/>
  <c r="AI171" i="8" s="1"/>
  <c r="L163" i="8"/>
  <c r="L171" i="8" s="1"/>
  <c r="AA163" i="8"/>
  <c r="AA171" i="8" s="1"/>
  <c r="AD163" i="8"/>
  <c r="AD171" i="8" s="1"/>
  <c r="V163" i="8"/>
  <c r="V171" i="8" s="1"/>
  <c r="Q163" i="8"/>
  <c r="Q171" i="8" s="1"/>
  <c r="AJ163" i="8"/>
  <c r="AJ171" i="8" s="1"/>
  <c r="AH163" i="8"/>
  <c r="AH171" i="8" s="1"/>
  <c r="Y163" i="8"/>
  <c r="Y171" i="8" s="1"/>
  <c r="AG163" i="8"/>
  <c r="AG171" i="8" s="1"/>
  <c r="S163" i="8"/>
  <c r="S171" i="8" s="1"/>
  <c r="AK163" i="8"/>
  <c r="AK171" i="8" s="1"/>
  <c r="AL163" i="8"/>
  <c r="AL171" i="8" s="1"/>
  <c r="T163" i="8"/>
  <c r="T171" i="8" s="1"/>
  <c r="W163" i="8"/>
  <c r="W171" i="8" s="1"/>
  <c r="X163" i="8"/>
  <c r="X171" i="8" s="1"/>
  <c r="AE163" i="8"/>
  <c r="AE171" i="8" s="1"/>
  <c r="AM163" i="8"/>
  <c r="AM171" i="8" s="1"/>
  <c r="AN163" i="8"/>
  <c r="AN171" i="8" s="1"/>
  <c r="J163" i="8"/>
  <c r="J171" i="8" s="1"/>
  <c r="M163" i="8"/>
  <c r="M171" i="8" s="1"/>
  <c r="I163" i="8"/>
  <c r="O163" i="8"/>
  <c r="O171" i="8" s="1"/>
  <c r="K163" i="8"/>
  <c r="K171" i="8" s="1"/>
  <c r="AF163" i="8"/>
  <c r="AF171" i="8" s="1"/>
  <c r="Z163" i="8"/>
  <c r="Z171" i="8" s="1"/>
  <c r="AB163" i="8"/>
  <c r="AB171" i="8" s="1"/>
  <c r="U163" i="8"/>
  <c r="U171" i="8" s="1"/>
  <c r="AN123" i="16"/>
  <c r="AK123" i="16"/>
  <c r="AM123" i="16"/>
  <c r="AI123" i="16"/>
  <c r="AJ123" i="16"/>
  <c r="AH123" i="16"/>
  <c r="AL123" i="16"/>
  <c r="P123" i="16"/>
  <c r="M123" i="16"/>
  <c r="Z123" i="16"/>
  <c r="N123" i="16"/>
  <c r="R123" i="16"/>
  <c r="AE123" i="16"/>
  <c r="AF123" i="16"/>
  <c r="AA123" i="16"/>
  <c r="AG123" i="16"/>
  <c r="S123" i="16"/>
  <c r="J123" i="16"/>
  <c r="W123" i="16"/>
  <c r="Y123" i="16"/>
  <c r="T123" i="16"/>
  <c r="X123" i="16"/>
  <c r="O123" i="16"/>
  <c r="L123" i="16"/>
  <c r="K123" i="16"/>
  <c r="U123" i="16"/>
  <c r="AC123" i="16"/>
  <c r="V123" i="16"/>
  <c r="Q123" i="16"/>
  <c r="I123" i="16"/>
  <c r="AD123" i="16"/>
  <c r="AB123" i="16"/>
  <c r="AL760" i="16"/>
  <c r="AL768" i="16" s="1"/>
  <c r="AM760" i="16"/>
  <c r="AM768" i="16" s="1"/>
  <c r="I760" i="16"/>
  <c r="I768" i="16" s="1"/>
  <c r="AJ760" i="16"/>
  <c r="AJ768" i="16" s="1"/>
  <c r="O760" i="16"/>
  <c r="O768" i="16" s="1"/>
  <c r="AP760" i="16"/>
  <c r="AP768" i="16" s="1"/>
  <c r="M760" i="16"/>
  <c r="M768" i="16" s="1"/>
  <c r="AK760" i="16"/>
  <c r="AK768" i="16" s="1"/>
  <c r="Q760" i="16"/>
  <c r="Q768" i="16" s="1"/>
  <c r="Z760" i="16"/>
  <c r="Z768" i="16" s="1"/>
  <c r="U760" i="16"/>
  <c r="U768" i="16" s="1"/>
  <c r="AH760" i="16"/>
  <c r="AH768" i="16" s="1"/>
  <c r="AN760" i="16"/>
  <c r="AN768" i="16" s="1"/>
  <c r="AA760" i="16"/>
  <c r="AA768" i="16" s="1"/>
  <c r="V760" i="16"/>
  <c r="V768" i="16" s="1"/>
  <c r="S760" i="16"/>
  <c r="S768" i="16" s="1"/>
  <c r="AI760" i="16"/>
  <c r="AI768" i="16" s="1"/>
  <c r="R760" i="16"/>
  <c r="R768" i="16" s="1"/>
  <c r="AO760" i="16"/>
  <c r="AO768" i="16" s="1"/>
  <c r="AB760" i="16"/>
  <c r="AB768" i="16" s="1"/>
  <c r="AG760" i="16"/>
  <c r="AG768" i="16" s="1"/>
  <c r="T760" i="16"/>
  <c r="T768" i="16" s="1"/>
  <c r="AE760" i="16"/>
  <c r="AE768" i="16" s="1"/>
  <c r="P760" i="16"/>
  <c r="P768" i="16" s="1"/>
  <c r="K760" i="16"/>
  <c r="K768" i="16" s="1"/>
  <c r="AQ760" i="16"/>
  <c r="W760" i="16"/>
  <c r="W768" i="16" s="1"/>
  <c r="AC760" i="16"/>
  <c r="AC768" i="16" s="1"/>
  <c r="L760" i="16"/>
  <c r="L768" i="16" s="1"/>
  <c r="X760" i="16"/>
  <c r="X768" i="16" s="1"/>
  <c r="AF760" i="16"/>
  <c r="AF768" i="16" s="1"/>
  <c r="J760" i="16"/>
  <c r="J768" i="16" s="1"/>
  <c r="AD760" i="16"/>
  <c r="AD768" i="16" s="1"/>
  <c r="N760" i="16"/>
  <c r="N768" i="16" s="1"/>
  <c r="Y760" i="16"/>
  <c r="Y768" i="16" s="1"/>
  <c r="AO161" i="7"/>
  <c r="AO169" i="7" s="1"/>
  <c r="AL161" i="7"/>
  <c r="AL169" i="7" s="1"/>
  <c r="AH161" i="7"/>
  <c r="AH169" i="7" s="1"/>
  <c r="AE161" i="7"/>
  <c r="AE169" i="7" s="1"/>
  <c r="AD161" i="7"/>
  <c r="AD169" i="7" s="1"/>
  <c r="AI161" i="7"/>
  <c r="AI169" i="7" s="1"/>
  <c r="AK161" i="7"/>
  <c r="AK169" i="7" s="1"/>
  <c r="S161" i="7"/>
  <c r="S169" i="7" s="1"/>
  <c r="O161" i="7"/>
  <c r="O169" i="7" s="1"/>
  <c r="AF161" i="7"/>
  <c r="AF169" i="7" s="1"/>
  <c r="AC161" i="7"/>
  <c r="AC169" i="7" s="1"/>
  <c r="AN161" i="7"/>
  <c r="AN169" i="7" s="1"/>
  <c r="AM161" i="7"/>
  <c r="AM169" i="7" s="1"/>
  <c r="AG161" i="7"/>
  <c r="AG169" i="7" s="1"/>
  <c r="AJ161" i="7"/>
  <c r="AJ169" i="7" s="1"/>
  <c r="Z161" i="7"/>
  <c r="Z169" i="7" s="1"/>
  <c r="AA161" i="7"/>
  <c r="AA169" i="7" s="1"/>
  <c r="I161" i="7"/>
  <c r="T161" i="7"/>
  <c r="T169" i="7" s="1"/>
  <c r="Q161" i="7"/>
  <c r="Q169" i="7" s="1"/>
  <c r="N161" i="7"/>
  <c r="N169" i="7" s="1"/>
  <c r="P161" i="7"/>
  <c r="P169" i="7" s="1"/>
  <c r="Y161" i="7"/>
  <c r="Y169" i="7" s="1"/>
  <c r="X161" i="7"/>
  <c r="X169" i="7" s="1"/>
  <c r="L161" i="7"/>
  <c r="L169" i="7" s="1"/>
  <c r="AB161" i="7"/>
  <c r="AB169" i="7" s="1"/>
  <c r="K161" i="7"/>
  <c r="K169" i="7" s="1"/>
  <c r="M161" i="7"/>
  <c r="M169" i="7" s="1"/>
  <c r="U161" i="7"/>
  <c r="U169" i="7" s="1"/>
  <c r="J161" i="7"/>
  <c r="J169" i="7" s="1"/>
  <c r="R161" i="7"/>
  <c r="R169" i="7" s="1"/>
  <c r="W161" i="7"/>
  <c r="W169" i="7" s="1"/>
  <c r="V161" i="7"/>
  <c r="V169" i="7" s="1"/>
  <c r="AA239" i="9"/>
  <c r="AA247" i="9" s="1"/>
  <c r="AF239" i="9"/>
  <c r="AF247" i="9" s="1"/>
  <c r="AH239" i="9"/>
  <c r="AH247" i="9" s="1"/>
  <c r="AI239" i="9"/>
  <c r="AI247" i="9" s="1"/>
  <c r="K239" i="9"/>
  <c r="K247" i="9" s="1"/>
  <c r="J239" i="9"/>
  <c r="J247" i="9" s="1"/>
  <c r="S239" i="9"/>
  <c r="S247" i="9" s="1"/>
  <c r="X239" i="9"/>
  <c r="X247" i="9" s="1"/>
  <c r="L239" i="9"/>
  <c r="L247" i="9" s="1"/>
  <c r="AC239" i="9"/>
  <c r="AC247" i="9" s="1"/>
  <c r="AK239" i="9"/>
  <c r="AK247" i="9" s="1"/>
  <c r="AL239" i="9"/>
  <c r="AL247" i="9" s="1"/>
  <c r="AE239" i="9"/>
  <c r="AE247" i="9" s="1"/>
  <c r="I239" i="9"/>
  <c r="I247" i="9" s="1"/>
  <c r="N239" i="9"/>
  <c r="N247" i="9" s="1"/>
  <c r="M239" i="9"/>
  <c r="M247" i="9" s="1"/>
  <c r="AM239" i="9"/>
  <c r="AM247" i="9" s="1"/>
  <c r="T239" i="9"/>
  <c r="T247" i="9" s="1"/>
  <c r="V239" i="9"/>
  <c r="V247" i="9" s="1"/>
  <c r="R239" i="9"/>
  <c r="R247" i="9" s="1"/>
  <c r="AJ239" i="9"/>
  <c r="AJ247" i="9" s="1"/>
  <c r="U239" i="9"/>
  <c r="U247" i="9" s="1"/>
  <c r="AD239" i="9"/>
  <c r="AD247" i="9" s="1"/>
  <c r="Z239" i="9"/>
  <c r="Z247" i="9" s="1"/>
  <c r="Y239" i="9"/>
  <c r="Y247" i="9" s="1"/>
  <c r="O239" i="9"/>
  <c r="O247" i="9" s="1"/>
  <c r="AG239" i="9"/>
  <c r="AG247" i="9" s="1"/>
  <c r="W239" i="9"/>
  <c r="W247" i="9" s="1"/>
  <c r="AN239" i="9"/>
  <c r="AN247" i="9" s="1"/>
  <c r="AO239" i="9"/>
  <c r="AO247" i="9" s="1"/>
  <c r="Q239" i="9"/>
  <c r="Q247" i="9" s="1"/>
  <c r="P239" i="9"/>
  <c r="P247" i="9" s="1"/>
  <c r="AB239" i="9"/>
  <c r="AB247" i="9" s="1"/>
  <c r="AN227" i="16"/>
  <c r="AN235" i="16" s="1"/>
  <c r="AH227" i="16"/>
  <c r="AH235" i="16" s="1"/>
  <c r="AP492" i="16"/>
  <c r="AP500" i="16" s="1"/>
  <c r="AL227" i="16"/>
  <c r="AL235" i="16" s="1"/>
  <c r="T227" i="16"/>
  <c r="T235" i="16" s="1"/>
  <c r="AD227" i="16"/>
  <c r="AD235" i="16" s="1"/>
  <c r="S227" i="16"/>
  <c r="S235" i="16" s="1"/>
  <c r="I227" i="16"/>
  <c r="I235" i="16" s="1"/>
  <c r="AM227" i="16"/>
  <c r="AM235" i="16" s="1"/>
  <c r="AF227" i="16"/>
  <c r="AF235" i="16" s="1"/>
  <c r="AE227" i="16"/>
  <c r="AE235" i="16" s="1"/>
  <c r="AG227" i="16"/>
  <c r="AG235" i="16" s="1"/>
  <c r="AI227" i="16"/>
  <c r="AI235" i="16" s="1"/>
  <c r="AK227" i="16"/>
  <c r="AK235" i="16" s="1"/>
  <c r="AP227" i="16"/>
  <c r="AP235" i="16" s="1"/>
  <c r="AC227" i="16"/>
  <c r="AC235" i="16" s="1"/>
  <c r="AO227" i="16"/>
  <c r="AO235" i="16" s="1"/>
  <c r="AA227" i="16"/>
  <c r="AA235" i="16" s="1"/>
  <c r="AJ227" i="16"/>
  <c r="AJ235" i="16" s="1"/>
  <c r="L227" i="16"/>
  <c r="L235" i="16" s="1"/>
  <c r="AB227" i="16"/>
  <c r="AB235" i="16" s="1"/>
  <c r="V227" i="16"/>
  <c r="V235" i="16" s="1"/>
  <c r="O227" i="16"/>
  <c r="O235" i="16" s="1"/>
  <c r="U227" i="16"/>
  <c r="U235" i="16" s="1"/>
  <c r="Q227" i="16"/>
  <c r="Q235" i="16" s="1"/>
  <c r="J227" i="16"/>
  <c r="J235" i="16" s="1"/>
  <c r="K227" i="16"/>
  <c r="K235" i="16" s="1"/>
  <c r="X227" i="16"/>
  <c r="X235" i="16" s="1"/>
  <c r="P227" i="16"/>
  <c r="P235" i="16" s="1"/>
  <c r="N227" i="16"/>
  <c r="N235" i="16" s="1"/>
  <c r="Y227" i="16"/>
  <c r="Y235" i="16" s="1"/>
  <c r="W227" i="16"/>
  <c r="W235" i="16" s="1"/>
  <c r="R227" i="16"/>
  <c r="R235" i="16" s="1"/>
  <c r="Z227" i="16"/>
  <c r="Z235" i="16" s="1"/>
  <c r="M227" i="16"/>
  <c r="M235" i="16" s="1"/>
  <c r="M251" i="8"/>
  <c r="M259" i="8" s="1"/>
  <c r="K251" i="8"/>
  <c r="K259" i="8" s="1"/>
  <c r="AC251" i="8"/>
  <c r="AC259" i="8" s="1"/>
  <c r="AN251" i="8"/>
  <c r="AN259" i="8" s="1"/>
  <c r="AF251" i="8"/>
  <c r="AF259" i="8" s="1"/>
  <c r="Q251" i="8"/>
  <c r="Q259" i="8" s="1"/>
  <c r="L251" i="8"/>
  <c r="L259" i="8" s="1"/>
  <c r="AK251" i="8"/>
  <c r="AK259" i="8" s="1"/>
  <c r="AI251" i="8"/>
  <c r="AI259" i="8" s="1"/>
  <c r="O251" i="8"/>
  <c r="O259" i="8" s="1"/>
  <c r="R251" i="8"/>
  <c r="R259" i="8" s="1"/>
  <c r="AD251" i="8"/>
  <c r="AD259" i="8" s="1"/>
  <c r="AE251" i="8"/>
  <c r="AE259" i="8" s="1"/>
  <c r="AL251" i="8"/>
  <c r="AL259" i="8" s="1"/>
  <c r="V251" i="8"/>
  <c r="V259" i="8" s="1"/>
  <c r="N251" i="8"/>
  <c r="N259" i="8" s="1"/>
  <c r="I251" i="8"/>
  <c r="I259" i="8" s="1"/>
  <c r="AO251" i="8"/>
  <c r="AO259" i="8" s="1"/>
  <c r="AJ251" i="8"/>
  <c r="AJ259" i="8" s="1"/>
  <c r="AH251" i="8"/>
  <c r="AH259" i="8" s="1"/>
  <c r="P251" i="8"/>
  <c r="P259" i="8" s="1"/>
  <c r="U251" i="8"/>
  <c r="U259" i="8" s="1"/>
  <c r="Y251" i="8"/>
  <c r="Y259" i="8" s="1"/>
  <c r="J251" i="8"/>
  <c r="J259" i="8" s="1"/>
  <c r="W251" i="8"/>
  <c r="W259" i="8" s="1"/>
  <c r="S251" i="8"/>
  <c r="S259" i="8" s="1"/>
  <c r="X251" i="8"/>
  <c r="X259" i="8" s="1"/>
  <c r="AG251" i="8"/>
  <c r="AG259" i="8" s="1"/>
  <c r="AB251" i="8"/>
  <c r="AB259" i="8" s="1"/>
  <c r="T251" i="8"/>
  <c r="T259" i="8" s="1"/>
  <c r="AM251" i="8"/>
  <c r="AM259" i="8" s="1"/>
  <c r="Z251" i="8"/>
  <c r="Z259" i="8" s="1"/>
  <c r="AA251" i="8"/>
  <c r="AA259" i="8" s="1"/>
  <c r="P257" i="14"/>
  <c r="P265" i="14" s="1"/>
  <c r="AP257" i="14"/>
  <c r="AP265" i="14" s="1"/>
  <c r="W257" i="14"/>
  <c r="W265" i="14" s="1"/>
  <c r="AF257" i="14"/>
  <c r="AF265" i="14" s="1"/>
  <c r="M257" i="14"/>
  <c r="M265" i="14" s="1"/>
  <c r="S257" i="14"/>
  <c r="S265" i="14" s="1"/>
  <c r="AA257" i="14"/>
  <c r="AA265" i="14" s="1"/>
  <c r="AB257" i="14"/>
  <c r="AB265" i="14" s="1"/>
  <c r="I257" i="14"/>
  <c r="I265" i="14" s="1"/>
  <c r="AD257" i="14"/>
  <c r="AD265" i="14" s="1"/>
  <c r="AG257" i="14"/>
  <c r="AG265" i="14" s="1"/>
  <c r="K257" i="14"/>
  <c r="K265" i="14" s="1"/>
  <c r="X257" i="14"/>
  <c r="X265" i="14" s="1"/>
  <c r="J257" i="14"/>
  <c r="J265" i="14" s="1"/>
  <c r="Z257" i="14"/>
  <c r="Z265" i="14" s="1"/>
  <c r="AC257" i="14"/>
  <c r="AC265" i="14" s="1"/>
  <c r="T257" i="14"/>
  <c r="T265" i="14" s="1"/>
  <c r="V257" i="14"/>
  <c r="V265" i="14" s="1"/>
  <c r="Q257" i="14"/>
  <c r="Q265" i="14" s="1"/>
  <c r="N257" i="14"/>
  <c r="N265" i="14" s="1"/>
  <c r="AM257" i="14"/>
  <c r="AM265" i="14" s="1"/>
  <c r="AO257" i="14"/>
  <c r="AO265" i="14" s="1"/>
  <c r="R257" i="14"/>
  <c r="R265" i="14" s="1"/>
  <c r="L257" i="14"/>
  <c r="L265" i="14" s="1"/>
  <c r="O257" i="14"/>
  <c r="O265" i="14" s="1"/>
  <c r="AL257" i="14"/>
  <c r="AL265" i="14" s="1"/>
  <c r="AI257" i="14"/>
  <c r="AI265" i="14" s="1"/>
  <c r="AK257" i="14"/>
  <c r="AK265" i="14" s="1"/>
  <c r="AJ257" i="14"/>
  <c r="AJ265" i="14" s="1"/>
  <c r="U257" i="14"/>
  <c r="U265" i="14" s="1"/>
  <c r="AN257" i="14"/>
  <c r="AN265" i="14" s="1"/>
  <c r="AE257" i="14"/>
  <c r="AE265" i="14" s="1"/>
  <c r="Y257" i="14"/>
  <c r="Y265" i="14" s="1"/>
  <c r="AH257" i="14"/>
  <c r="AH265" i="14" s="1"/>
  <c r="AC82" i="17"/>
  <c r="AC84" i="17" s="1"/>
  <c r="AL82" i="17"/>
  <c r="AL84" i="17" s="1"/>
  <c r="AK82" i="17"/>
  <c r="AK84" i="17" s="1"/>
  <c r="T69" i="7"/>
  <c r="T77" i="7" s="1"/>
  <c r="Z69" i="7"/>
  <c r="Z77" i="7" s="1"/>
  <c r="O69" i="7"/>
  <c r="O77" i="7" s="1"/>
  <c r="W69" i="7"/>
  <c r="W77" i="7" s="1"/>
  <c r="AB69" i="7"/>
  <c r="AB77" i="7" s="1"/>
  <c r="I69" i="7"/>
  <c r="I77" i="7" s="1"/>
  <c r="P69" i="7"/>
  <c r="P77" i="7" s="1"/>
  <c r="Q69" i="7"/>
  <c r="Q77" i="7" s="1"/>
  <c r="AA69" i="7"/>
  <c r="AA77" i="7" s="1"/>
  <c r="U69" i="7"/>
  <c r="U77" i="7" s="1"/>
  <c r="J69" i="7"/>
  <c r="J77" i="7" s="1"/>
  <c r="V69" i="7"/>
  <c r="V77" i="7" s="1"/>
  <c r="S69" i="7"/>
  <c r="S77" i="7" s="1"/>
  <c r="R69" i="7"/>
  <c r="R77" i="7" s="1"/>
  <c r="N69" i="7"/>
  <c r="N77" i="7" s="1"/>
  <c r="M69" i="7"/>
  <c r="M77" i="7" s="1"/>
  <c r="Y69" i="7"/>
  <c r="Y77" i="7" s="1"/>
  <c r="L69" i="7"/>
  <c r="L77" i="7" s="1"/>
  <c r="K69" i="7"/>
  <c r="K77" i="7" s="1"/>
  <c r="X69" i="7"/>
  <c r="X77" i="7" s="1"/>
  <c r="K795" i="15"/>
  <c r="K803" i="15" s="1"/>
  <c r="W795" i="15"/>
  <c r="W803" i="15" s="1"/>
  <c r="J795" i="15"/>
  <c r="J803" i="15" s="1"/>
  <c r="Y795" i="15"/>
  <c r="Y803" i="15" s="1"/>
  <c r="P795" i="15"/>
  <c r="P803" i="15" s="1"/>
  <c r="Z795" i="15"/>
  <c r="Z803" i="15" s="1"/>
  <c r="AL795" i="15"/>
  <c r="AL803" i="15" s="1"/>
  <c r="AD795" i="15"/>
  <c r="AD803" i="15" s="1"/>
  <c r="R795" i="15"/>
  <c r="R803" i="15" s="1"/>
  <c r="AF795" i="15"/>
  <c r="AF803" i="15" s="1"/>
  <c r="L795" i="15"/>
  <c r="L803" i="15" s="1"/>
  <c r="AI795" i="15"/>
  <c r="AI803" i="15" s="1"/>
  <c r="Q795" i="15"/>
  <c r="Q803" i="15" s="1"/>
  <c r="T795" i="15"/>
  <c r="T803" i="15" s="1"/>
  <c r="I795" i="15"/>
  <c r="I803" i="15" s="1"/>
  <c r="V795" i="15"/>
  <c r="V803" i="15" s="1"/>
  <c r="AO795" i="15"/>
  <c r="AO803" i="15" s="1"/>
  <c r="AC795" i="15"/>
  <c r="AC803" i="15" s="1"/>
  <c r="AN795" i="15"/>
  <c r="AN803" i="15" s="1"/>
  <c r="N795" i="15"/>
  <c r="N803" i="15" s="1"/>
  <c r="AK795" i="15"/>
  <c r="AK803" i="15" s="1"/>
  <c r="AB795" i="15"/>
  <c r="AB803" i="15" s="1"/>
  <c r="M795" i="15"/>
  <c r="M803" i="15" s="1"/>
  <c r="U795" i="15"/>
  <c r="U803" i="15" s="1"/>
  <c r="AH795" i="15"/>
  <c r="AH803" i="15" s="1"/>
  <c r="AE795" i="15"/>
  <c r="AE803" i="15" s="1"/>
  <c r="S795" i="15"/>
  <c r="S803" i="15" s="1"/>
  <c r="AA795" i="15"/>
  <c r="AA803" i="15" s="1"/>
  <c r="AG795" i="15"/>
  <c r="AG803" i="15" s="1"/>
  <c r="X795" i="15"/>
  <c r="X803" i="15" s="1"/>
  <c r="AM795" i="15"/>
  <c r="AM803" i="15" s="1"/>
  <c r="O795" i="15"/>
  <c r="O803" i="15" s="1"/>
  <c r="AJ795" i="15"/>
  <c r="AJ803" i="15" s="1"/>
  <c r="K398" i="16"/>
  <c r="K406" i="16" s="1"/>
  <c r="AE398" i="16"/>
  <c r="AE406" i="16" s="1"/>
  <c r="AH398" i="16"/>
  <c r="AH406" i="16" s="1"/>
  <c r="AL398" i="16"/>
  <c r="AL406" i="16" s="1"/>
  <c r="AN398" i="16"/>
  <c r="AN406" i="16" s="1"/>
  <c r="T398" i="16"/>
  <c r="T406" i="16" s="1"/>
  <c r="AJ398" i="16"/>
  <c r="AJ406" i="16" s="1"/>
  <c r="N398" i="16"/>
  <c r="N406" i="16" s="1"/>
  <c r="X398" i="16"/>
  <c r="X406" i="16" s="1"/>
  <c r="O398" i="16"/>
  <c r="O406" i="16" s="1"/>
  <c r="V398" i="16"/>
  <c r="V406" i="16" s="1"/>
  <c r="J398" i="16"/>
  <c r="J406" i="16" s="1"/>
  <c r="AI398" i="16"/>
  <c r="AI406" i="16" s="1"/>
  <c r="AG398" i="16"/>
  <c r="AG406" i="16" s="1"/>
  <c r="AB398" i="16"/>
  <c r="AB406" i="16" s="1"/>
  <c r="L398" i="16"/>
  <c r="L406" i="16" s="1"/>
  <c r="AA398" i="16"/>
  <c r="AA406" i="16" s="1"/>
  <c r="S398" i="16"/>
  <c r="S406" i="16" s="1"/>
  <c r="W398" i="16"/>
  <c r="W406" i="16" s="1"/>
  <c r="AF398" i="16"/>
  <c r="AF406" i="16" s="1"/>
  <c r="Z398" i="16"/>
  <c r="Z406" i="16" s="1"/>
  <c r="AK398" i="16"/>
  <c r="AK406" i="16" s="1"/>
  <c r="AO398" i="16"/>
  <c r="AO406" i="16" s="1"/>
  <c r="M398" i="16"/>
  <c r="M406" i="16" s="1"/>
  <c r="AM398" i="16"/>
  <c r="AM406" i="16" s="1"/>
  <c r="Q398" i="16"/>
  <c r="Q406" i="16" s="1"/>
  <c r="AC398" i="16"/>
  <c r="AC406" i="16" s="1"/>
  <c r="P398" i="16"/>
  <c r="P406" i="16" s="1"/>
  <c r="Y398" i="16"/>
  <c r="Y406" i="16" s="1"/>
  <c r="R398" i="16"/>
  <c r="R406" i="16" s="1"/>
  <c r="AD398" i="16"/>
  <c r="AD406" i="16" s="1"/>
  <c r="I398" i="16"/>
  <c r="I406" i="16" s="1"/>
  <c r="U398" i="16"/>
  <c r="U406" i="16" s="1"/>
  <c r="K153" i="9"/>
  <c r="K161" i="9" s="1"/>
  <c r="W153" i="9"/>
  <c r="W161" i="9" s="1"/>
  <c r="Q153" i="9"/>
  <c r="Q161" i="9" s="1"/>
  <c r="AL153" i="9"/>
  <c r="AL161" i="9" s="1"/>
  <c r="AH153" i="9"/>
  <c r="AH161" i="9" s="1"/>
  <c r="I153" i="9"/>
  <c r="I161" i="9" s="1"/>
  <c r="J153" i="9"/>
  <c r="J161" i="9" s="1"/>
  <c r="AG153" i="9"/>
  <c r="AG161" i="9" s="1"/>
  <c r="AJ153" i="9"/>
  <c r="AJ161" i="9" s="1"/>
  <c r="AM153" i="9"/>
  <c r="AM161" i="9" s="1"/>
  <c r="AC153" i="9"/>
  <c r="AC161" i="9" s="1"/>
  <c r="AN153" i="9"/>
  <c r="AN161" i="9" s="1"/>
  <c r="AD153" i="9"/>
  <c r="AD161" i="9" s="1"/>
  <c r="X153" i="9"/>
  <c r="X161" i="9" s="1"/>
  <c r="N153" i="9"/>
  <c r="N161" i="9" s="1"/>
  <c r="O153" i="9"/>
  <c r="O161" i="9" s="1"/>
  <c r="L153" i="9"/>
  <c r="L161" i="9" s="1"/>
  <c r="M153" i="9"/>
  <c r="M161" i="9" s="1"/>
  <c r="V153" i="9"/>
  <c r="V161" i="9" s="1"/>
  <c r="AI153" i="9"/>
  <c r="AI161" i="9" s="1"/>
  <c r="Z153" i="9"/>
  <c r="Z161" i="9" s="1"/>
  <c r="T153" i="9"/>
  <c r="T161" i="9" s="1"/>
  <c r="AK153" i="9"/>
  <c r="AK161" i="9" s="1"/>
  <c r="AF153" i="9"/>
  <c r="AF161" i="9" s="1"/>
  <c r="P153" i="9"/>
  <c r="P161" i="9" s="1"/>
  <c r="Y153" i="9"/>
  <c r="Y161" i="9" s="1"/>
  <c r="AB153" i="9"/>
  <c r="AB161" i="9" s="1"/>
  <c r="S153" i="9"/>
  <c r="S161" i="9" s="1"/>
  <c r="R153" i="9"/>
  <c r="R161" i="9" s="1"/>
  <c r="U153" i="9"/>
  <c r="U161" i="9" s="1"/>
  <c r="AA153" i="9"/>
  <c r="AA161" i="9" s="1"/>
  <c r="AE153" i="9"/>
  <c r="AE161" i="9" s="1"/>
  <c r="AK250" i="8"/>
  <c r="AK258" i="8" s="1"/>
  <c r="AC250" i="8"/>
  <c r="AC258" i="8" s="1"/>
  <c r="AG250" i="8"/>
  <c r="AG258" i="8" s="1"/>
  <c r="N250" i="8"/>
  <c r="N258" i="8" s="1"/>
  <c r="L250" i="8"/>
  <c r="L258" i="8" s="1"/>
  <c r="AB250" i="8"/>
  <c r="AB258" i="8" s="1"/>
  <c r="Q250" i="8"/>
  <c r="Q258" i="8" s="1"/>
  <c r="AO250" i="8"/>
  <c r="AO258" i="8" s="1"/>
  <c r="X250" i="8"/>
  <c r="X258" i="8" s="1"/>
  <c r="M250" i="8"/>
  <c r="M258" i="8" s="1"/>
  <c r="J250" i="8"/>
  <c r="J258" i="8" s="1"/>
  <c r="AI250" i="8"/>
  <c r="AI258" i="8" s="1"/>
  <c r="AF250" i="8"/>
  <c r="AF258" i="8" s="1"/>
  <c r="V250" i="8"/>
  <c r="V258" i="8" s="1"/>
  <c r="Z250" i="8"/>
  <c r="Z258" i="8" s="1"/>
  <c r="T250" i="8"/>
  <c r="T258" i="8" s="1"/>
  <c r="AJ250" i="8"/>
  <c r="AJ258" i="8" s="1"/>
  <c r="AH250" i="8"/>
  <c r="AH258" i="8" s="1"/>
  <c r="AN250" i="8"/>
  <c r="AN258" i="8" s="1"/>
  <c r="Y250" i="8"/>
  <c r="Y258" i="8" s="1"/>
  <c r="S250" i="8"/>
  <c r="S258" i="8" s="1"/>
  <c r="K250" i="8"/>
  <c r="K258" i="8" s="1"/>
  <c r="I250" i="8"/>
  <c r="I258" i="8" s="1"/>
  <c r="AM250" i="8"/>
  <c r="AM258" i="8" s="1"/>
  <c r="W250" i="8"/>
  <c r="W258" i="8" s="1"/>
  <c r="R250" i="8"/>
  <c r="R258" i="8" s="1"/>
  <c r="AL250" i="8"/>
  <c r="AL258" i="8" s="1"/>
  <c r="AA250" i="8"/>
  <c r="AA258" i="8" s="1"/>
  <c r="AD250" i="8"/>
  <c r="AD258" i="8" s="1"/>
  <c r="AE250" i="8"/>
  <c r="AE258" i="8" s="1"/>
  <c r="U250" i="8"/>
  <c r="U258" i="8" s="1"/>
  <c r="P250" i="8"/>
  <c r="P258" i="8" s="1"/>
  <c r="O250" i="8"/>
  <c r="O258" i="8" s="1"/>
  <c r="AG278" i="15"/>
  <c r="AG286" i="15" s="1"/>
  <c r="AJ278" i="15"/>
  <c r="AJ286" i="15" s="1"/>
  <c r="AH278" i="15"/>
  <c r="AH286" i="15" s="1"/>
  <c r="AE278" i="15"/>
  <c r="AE286" i="15" s="1"/>
  <c r="AN278" i="15"/>
  <c r="AN286" i="15" s="1"/>
  <c r="AF278" i="15"/>
  <c r="AF286" i="15" s="1"/>
  <c r="AD278" i="15"/>
  <c r="AD286" i="15" s="1"/>
  <c r="AP278" i="15"/>
  <c r="AP286" i="15" s="1"/>
  <c r="AK278" i="15"/>
  <c r="AK286" i="15" s="1"/>
  <c r="AO278" i="15"/>
  <c r="AO286" i="15" s="1"/>
  <c r="AL278" i="15"/>
  <c r="AL286" i="15" s="1"/>
  <c r="AM278" i="15"/>
  <c r="AM286" i="15" s="1"/>
  <c r="AI278" i="15"/>
  <c r="AI286" i="15" s="1"/>
  <c r="AC278" i="15"/>
  <c r="AC286" i="15" s="1"/>
  <c r="L278" i="15"/>
  <c r="L286" i="15" s="1"/>
  <c r="W278" i="15"/>
  <c r="W286" i="15" s="1"/>
  <c r="N278" i="15"/>
  <c r="N286" i="15" s="1"/>
  <c r="V278" i="15"/>
  <c r="V286" i="15" s="1"/>
  <c r="M278" i="15"/>
  <c r="M286" i="15" s="1"/>
  <c r="T278" i="15"/>
  <c r="T286" i="15" s="1"/>
  <c r="K278" i="15"/>
  <c r="K286" i="15" s="1"/>
  <c r="P278" i="15"/>
  <c r="P286" i="15" s="1"/>
  <c r="Q278" i="15"/>
  <c r="Q286" i="15" s="1"/>
  <c r="R278" i="15"/>
  <c r="R286" i="15" s="1"/>
  <c r="Y278" i="15"/>
  <c r="Y286" i="15" s="1"/>
  <c r="X278" i="15"/>
  <c r="X286" i="15" s="1"/>
  <c r="I278" i="15"/>
  <c r="I286" i="15" s="1"/>
  <c r="AB278" i="15"/>
  <c r="AB286" i="15" s="1"/>
  <c r="J278" i="15"/>
  <c r="J286" i="15" s="1"/>
  <c r="O278" i="15"/>
  <c r="O286" i="15" s="1"/>
  <c r="U278" i="15"/>
  <c r="U286" i="15" s="1"/>
  <c r="S278" i="15"/>
  <c r="S286" i="15" s="1"/>
  <c r="Z278" i="15"/>
  <c r="Z286" i="15" s="1"/>
  <c r="AA278" i="15"/>
  <c r="AA286" i="15" s="1"/>
  <c r="L773" i="15"/>
  <c r="L781" i="15" s="1"/>
  <c r="AB773" i="15"/>
  <c r="AB781" i="15" s="1"/>
  <c r="R773" i="15"/>
  <c r="R781" i="15" s="1"/>
  <c r="AD773" i="15"/>
  <c r="AD781" i="15" s="1"/>
  <c r="O773" i="15"/>
  <c r="O781" i="15" s="1"/>
  <c r="AG773" i="15"/>
  <c r="AG781" i="15" s="1"/>
  <c r="N773" i="15"/>
  <c r="N781" i="15" s="1"/>
  <c r="AL773" i="15"/>
  <c r="AL781" i="15" s="1"/>
  <c r="AO773" i="15"/>
  <c r="AO781" i="15" s="1"/>
  <c r="AK773" i="15"/>
  <c r="AK781" i="15" s="1"/>
  <c r="AN773" i="15"/>
  <c r="AN781" i="15" s="1"/>
  <c r="K773" i="15"/>
  <c r="K781" i="15" s="1"/>
  <c r="AI773" i="15"/>
  <c r="AI781" i="15" s="1"/>
  <c r="M773" i="15"/>
  <c r="M781" i="15" s="1"/>
  <c r="Y773" i="15"/>
  <c r="Y781" i="15" s="1"/>
  <c r="T773" i="15"/>
  <c r="T781" i="15" s="1"/>
  <c r="J773" i="15"/>
  <c r="J781" i="15" s="1"/>
  <c r="AH773" i="15"/>
  <c r="AH781" i="15" s="1"/>
  <c r="P773" i="15"/>
  <c r="P781" i="15" s="1"/>
  <c r="X773" i="15"/>
  <c r="X781" i="15" s="1"/>
  <c r="U773" i="15"/>
  <c r="U781" i="15" s="1"/>
  <c r="AC773" i="15"/>
  <c r="AC781" i="15" s="1"/>
  <c r="V773" i="15"/>
  <c r="V781" i="15" s="1"/>
  <c r="Z773" i="15"/>
  <c r="Z781" i="15" s="1"/>
  <c r="AM773" i="15"/>
  <c r="AM781" i="15" s="1"/>
  <c r="S773" i="15"/>
  <c r="S781" i="15" s="1"/>
  <c r="AJ773" i="15"/>
  <c r="AJ781" i="15" s="1"/>
  <c r="I773" i="15"/>
  <c r="I781" i="15" s="1"/>
  <c r="W773" i="15"/>
  <c r="W781" i="15" s="1"/>
  <c r="Q773" i="15"/>
  <c r="Q781" i="15" s="1"/>
  <c r="AA773" i="15"/>
  <c r="AA781" i="15" s="1"/>
  <c r="AF773" i="15"/>
  <c r="AF781" i="15" s="1"/>
  <c r="AE773" i="15"/>
  <c r="AE781" i="15" s="1"/>
  <c r="AI398" i="14"/>
  <c r="AI406" i="14" s="1"/>
  <c r="AP398" i="14"/>
  <c r="AP406" i="14" s="1"/>
  <c r="AK398" i="14"/>
  <c r="AK406" i="14" s="1"/>
  <c r="AO398" i="14"/>
  <c r="AO406" i="14" s="1"/>
  <c r="AL398" i="14"/>
  <c r="AL406" i="14" s="1"/>
  <c r="AN398" i="14"/>
  <c r="AN406" i="14" s="1"/>
  <c r="AJ398" i="14"/>
  <c r="AJ406" i="14" s="1"/>
  <c r="AH398" i="14"/>
  <c r="AH406" i="14" s="1"/>
  <c r="AM398" i="14"/>
  <c r="AM406" i="14" s="1"/>
  <c r="M398" i="14"/>
  <c r="M406" i="14" s="1"/>
  <c r="T398" i="14"/>
  <c r="T406" i="14" s="1"/>
  <c r="L398" i="14"/>
  <c r="L406" i="14" s="1"/>
  <c r="V398" i="14"/>
  <c r="V406" i="14" s="1"/>
  <c r="Q398" i="14"/>
  <c r="Q406" i="14" s="1"/>
  <c r="K398" i="14"/>
  <c r="K406" i="14" s="1"/>
  <c r="W398" i="14"/>
  <c r="W406" i="14" s="1"/>
  <c r="Y398" i="14"/>
  <c r="Y406" i="14" s="1"/>
  <c r="AC398" i="14"/>
  <c r="AC406" i="14" s="1"/>
  <c r="Z398" i="14"/>
  <c r="Z406" i="14" s="1"/>
  <c r="AD398" i="14"/>
  <c r="AD406" i="14" s="1"/>
  <c r="O398" i="14"/>
  <c r="O406" i="14" s="1"/>
  <c r="J398" i="14"/>
  <c r="J406" i="14" s="1"/>
  <c r="AA398" i="14"/>
  <c r="AA406" i="14" s="1"/>
  <c r="AE398" i="14"/>
  <c r="AE406" i="14" s="1"/>
  <c r="AG398" i="14"/>
  <c r="AG406" i="14" s="1"/>
  <c r="AB398" i="14"/>
  <c r="AB406" i="14" s="1"/>
  <c r="AF398" i="14"/>
  <c r="AF406" i="14" s="1"/>
  <c r="U398" i="14"/>
  <c r="U406" i="14" s="1"/>
  <c r="N398" i="14"/>
  <c r="N406" i="14" s="1"/>
  <c r="P398" i="14"/>
  <c r="P406" i="14" s="1"/>
  <c r="S398" i="14"/>
  <c r="S406" i="14" s="1"/>
  <c r="R398" i="14"/>
  <c r="R406" i="14" s="1"/>
  <c r="X398" i="14"/>
  <c r="X406" i="14" s="1"/>
  <c r="I398" i="14"/>
  <c r="I406" i="14" s="1"/>
  <c r="AK159" i="8"/>
  <c r="AK167" i="8" s="1"/>
  <c r="AD159" i="8"/>
  <c r="AD167" i="8" s="1"/>
  <c r="X159" i="8"/>
  <c r="X167" i="8" s="1"/>
  <c r="AM159" i="8"/>
  <c r="AM167" i="8" s="1"/>
  <c r="AL159" i="8"/>
  <c r="AL167" i="8" s="1"/>
  <c r="AN159" i="8"/>
  <c r="AN167" i="8" s="1"/>
  <c r="AO159" i="8"/>
  <c r="AO167" i="8" s="1"/>
  <c r="U159" i="8"/>
  <c r="U167" i="8" s="1"/>
  <c r="P159" i="8"/>
  <c r="P167" i="8" s="1"/>
  <c r="AF159" i="8"/>
  <c r="AF167" i="8" s="1"/>
  <c r="Y159" i="8"/>
  <c r="Y167" i="8" s="1"/>
  <c r="K159" i="8"/>
  <c r="K167" i="8" s="1"/>
  <c r="W159" i="8"/>
  <c r="W167" i="8" s="1"/>
  <c r="AC159" i="8"/>
  <c r="AC167" i="8" s="1"/>
  <c r="L159" i="8"/>
  <c r="L167" i="8" s="1"/>
  <c r="O159" i="8"/>
  <c r="O167" i="8" s="1"/>
  <c r="M159" i="8"/>
  <c r="M167" i="8" s="1"/>
  <c r="AE159" i="8"/>
  <c r="AE167" i="8" s="1"/>
  <c r="N159" i="8"/>
  <c r="N167" i="8" s="1"/>
  <c r="Q159" i="8"/>
  <c r="Q167" i="8" s="1"/>
  <c r="AA159" i="8"/>
  <c r="AA167" i="8" s="1"/>
  <c r="Z159" i="8"/>
  <c r="Z167" i="8" s="1"/>
  <c r="R159" i="8"/>
  <c r="R167" i="8" s="1"/>
  <c r="J159" i="8"/>
  <c r="J167" i="8" s="1"/>
  <c r="AJ159" i="8"/>
  <c r="AJ167" i="8" s="1"/>
  <c r="AB159" i="8"/>
  <c r="AB167" i="8" s="1"/>
  <c r="AG159" i="8"/>
  <c r="AG167" i="8" s="1"/>
  <c r="AH159" i="8"/>
  <c r="AH167" i="8" s="1"/>
  <c r="S159" i="8"/>
  <c r="S167" i="8" s="1"/>
  <c r="T159" i="8"/>
  <c r="T167" i="8" s="1"/>
  <c r="I159" i="8"/>
  <c r="V159" i="8"/>
  <c r="V167" i="8" s="1"/>
  <c r="AI159" i="8"/>
  <c r="AI167" i="8" s="1"/>
  <c r="M251" i="15"/>
  <c r="M259" i="15" s="1"/>
  <c r="L251" i="15"/>
  <c r="L259" i="15" s="1"/>
  <c r="T251" i="15"/>
  <c r="T259" i="15" s="1"/>
  <c r="AB251" i="15"/>
  <c r="AB259" i="15" s="1"/>
  <c r="R251" i="15"/>
  <c r="R259" i="15" s="1"/>
  <c r="AA251" i="15"/>
  <c r="AA259" i="15" s="1"/>
  <c r="V251" i="15"/>
  <c r="V259" i="15" s="1"/>
  <c r="S251" i="15"/>
  <c r="S259" i="15" s="1"/>
  <c r="N251" i="15"/>
  <c r="N259" i="15" s="1"/>
  <c r="J251" i="15"/>
  <c r="J259" i="15" s="1"/>
  <c r="W251" i="15"/>
  <c r="W259" i="15" s="1"/>
  <c r="K251" i="15"/>
  <c r="K259" i="15" s="1"/>
  <c r="AC251" i="15"/>
  <c r="AC259" i="15" s="1"/>
  <c r="O251" i="15"/>
  <c r="O259" i="15" s="1"/>
  <c r="U251" i="15"/>
  <c r="U259" i="15" s="1"/>
  <c r="Z251" i="15"/>
  <c r="Z259" i="15" s="1"/>
  <c r="P251" i="15"/>
  <c r="P259" i="15" s="1"/>
  <c r="Y251" i="15"/>
  <c r="Y259" i="15" s="1"/>
  <c r="I251" i="15"/>
  <c r="I259" i="15" s="1"/>
  <c r="Q251" i="15"/>
  <c r="Q259" i="15" s="1"/>
  <c r="X251" i="15"/>
  <c r="X259" i="15" s="1"/>
  <c r="AM61" i="9"/>
  <c r="AM69" i="9" s="1"/>
  <c r="AK61" i="9"/>
  <c r="AK69" i="9" s="1"/>
  <c r="AL61" i="9"/>
  <c r="AL69" i="9" s="1"/>
  <c r="AC61" i="9"/>
  <c r="AC69" i="9" s="1"/>
  <c r="AG61" i="9"/>
  <c r="AG69" i="9" s="1"/>
  <c r="AD61" i="9"/>
  <c r="AD69" i="9" s="1"/>
  <c r="AJ61" i="9"/>
  <c r="AJ69" i="9" s="1"/>
  <c r="AN61" i="9"/>
  <c r="AN69" i="9" s="1"/>
  <c r="AF61" i="9"/>
  <c r="AF69" i="9" s="1"/>
  <c r="I61" i="9"/>
  <c r="I69" i="9" s="1"/>
  <c r="AI61" i="9"/>
  <c r="AI69" i="9" s="1"/>
  <c r="AE61" i="9"/>
  <c r="AE69" i="9" s="1"/>
  <c r="AH61" i="9"/>
  <c r="AH69" i="9" s="1"/>
  <c r="T61" i="9"/>
  <c r="T69" i="9" s="1"/>
  <c r="Y61" i="9"/>
  <c r="Y69" i="9" s="1"/>
  <c r="U61" i="9"/>
  <c r="U69" i="9" s="1"/>
  <c r="M61" i="9"/>
  <c r="M69" i="9" s="1"/>
  <c r="R61" i="9"/>
  <c r="R69" i="9" s="1"/>
  <c r="W61" i="9"/>
  <c r="W69" i="9" s="1"/>
  <c r="K61" i="9"/>
  <c r="K69" i="9" s="1"/>
  <c r="Q61" i="9"/>
  <c r="Q69" i="9" s="1"/>
  <c r="Z61" i="9"/>
  <c r="Z69" i="9" s="1"/>
  <c r="S61" i="9"/>
  <c r="S69" i="9" s="1"/>
  <c r="L61" i="9"/>
  <c r="L69" i="9" s="1"/>
  <c r="AA61" i="9"/>
  <c r="AA69" i="9" s="1"/>
  <c r="O61" i="9"/>
  <c r="O69" i="9" s="1"/>
  <c r="P61" i="9"/>
  <c r="P69" i="9" s="1"/>
  <c r="AB61" i="9"/>
  <c r="AB69" i="9" s="1"/>
  <c r="N61" i="9"/>
  <c r="N69" i="9" s="1"/>
  <c r="X61" i="9"/>
  <c r="X69" i="9" s="1"/>
  <c r="J61" i="9"/>
  <c r="J69" i="9" s="1"/>
  <c r="V61" i="9"/>
  <c r="V69" i="9" s="1"/>
  <c r="K910" i="15"/>
  <c r="K918" i="15" s="1"/>
  <c r="AE910" i="15"/>
  <c r="AE918" i="15" s="1"/>
  <c r="L910" i="15"/>
  <c r="L918" i="15" s="1"/>
  <c r="V910" i="15"/>
  <c r="V918" i="15" s="1"/>
  <c r="R910" i="15"/>
  <c r="R918" i="15" s="1"/>
  <c r="AF910" i="15"/>
  <c r="AF918" i="15" s="1"/>
  <c r="O910" i="15"/>
  <c r="O918" i="15" s="1"/>
  <c r="T910" i="15"/>
  <c r="T918" i="15" s="1"/>
  <c r="AL910" i="15"/>
  <c r="AL918" i="15" s="1"/>
  <c r="U910" i="15"/>
  <c r="U918" i="15" s="1"/>
  <c r="AD910" i="15"/>
  <c r="AD918" i="15" s="1"/>
  <c r="AM910" i="15"/>
  <c r="AM918" i="15" s="1"/>
  <c r="AP910" i="15"/>
  <c r="AP918" i="15" s="1"/>
  <c r="AJ910" i="15"/>
  <c r="AJ918" i="15" s="1"/>
  <c r="M910" i="15"/>
  <c r="M918" i="15" s="1"/>
  <c r="AC910" i="15"/>
  <c r="AC918" i="15" s="1"/>
  <c r="P910" i="15"/>
  <c r="P918" i="15" s="1"/>
  <c r="Y910" i="15"/>
  <c r="Y918" i="15" s="1"/>
  <c r="AG910" i="15"/>
  <c r="AG918" i="15" s="1"/>
  <c r="W910" i="15"/>
  <c r="W918" i="15" s="1"/>
  <c r="Q910" i="15"/>
  <c r="Q918" i="15" s="1"/>
  <c r="AK910" i="15"/>
  <c r="AK918" i="15" s="1"/>
  <c r="N910" i="15"/>
  <c r="N918" i="15" s="1"/>
  <c r="AI910" i="15"/>
  <c r="AI918" i="15" s="1"/>
  <c r="AH910" i="15"/>
  <c r="AH918" i="15" s="1"/>
  <c r="Z910" i="15"/>
  <c r="Z918" i="15" s="1"/>
  <c r="X910" i="15"/>
  <c r="X918" i="15" s="1"/>
  <c r="AN910" i="15"/>
  <c r="AN918" i="15" s="1"/>
  <c r="AO910" i="15"/>
  <c r="AO918" i="15" s="1"/>
  <c r="AA910" i="15"/>
  <c r="AA918" i="15" s="1"/>
  <c r="S910" i="15"/>
  <c r="S918" i="15" s="1"/>
  <c r="AB910" i="15"/>
  <c r="AB918" i="15" s="1"/>
  <c r="I910" i="15"/>
  <c r="J910" i="15"/>
  <c r="J918" i="15" s="1"/>
  <c r="AH227" i="14"/>
  <c r="AH235" i="14" s="1"/>
  <c r="AN227" i="14"/>
  <c r="AN235" i="14" s="1"/>
  <c r="AK227" i="14"/>
  <c r="AK235" i="14" s="1"/>
  <c r="AI227" i="14"/>
  <c r="AI235" i="14" s="1"/>
  <c r="AM227" i="14"/>
  <c r="AM235" i="14" s="1"/>
  <c r="AL227" i="14"/>
  <c r="AL235" i="14" s="1"/>
  <c r="AJ227" i="14"/>
  <c r="AJ235" i="14" s="1"/>
  <c r="W227" i="14"/>
  <c r="W235" i="14" s="1"/>
  <c r="V227" i="14"/>
  <c r="V235" i="14" s="1"/>
  <c r="S227" i="14"/>
  <c r="S235" i="14" s="1"/>
  <c r="Q227" i="14"/>
  <c r="Q235" i="14" s="1"/>
  <c r="Z227" i="14"/>
  <c r="Z235" i="14" s="1"/>
  <c r="R227" i="14"/>
  <c r="R235" i="14" s="1"/>
  <c r="AE227" i="14"/>
  <c r="AE235" i="14" s="1"/>
  <c r="AC227" i="14"/>
  <c r="AC235" i="14" s="1"/>
  <c r="K227" i="14"/>
  <c r="K235" i="14" s="1"/>
  <c r="U227" i="14"/>
  <c r="U235" i="14" s="1"/>
  <c r="N227" i="14"/>
  <c r="N235" i="14" s="1"/>
  <c r="M227" i="14"/>
  <c r="M235" i="14" s="1"/>
  <c r="AA227" i="14"/>
  <c r="AA235" i="14" s="1"/>
  <c r="L227" i="14"/>
  <c r="L235" i="14" s="1"/>
  <c r="AG227" i="14"/>
  <c r="AG235" i="14" s="1"/>
  <c r="AD227" i="14"/>
  <c r="AD235" i="14" s="1"/>
  <c r="Y227" i="14"/>
  <c r="Y235" i="14" s="1"/>
  <c r="P227" i="14"/>
  <c r="P235" i="14" s="1"/>
  <c r="AB227" i="14"/>
  <c r="AB235" i="14" s="1"/>
  <c r="AO227" i="14"/>
  <c r="T227" i="14"/>
  <c r="T235" i="14" s="1"/>
  <c r="X227" i="14"/>
  <c r="X235" i="14" s="1"/>
  <c r="AF227" i="14"/>
  <c r="AF235" i="14" s="1"/>
  <c r="I227" i="14"/>
  <c r="I235" i="14" s="1"/>
  <c r="O227" i="14"/>
  <c r="O235" i="14" s="1"/>
  <c r="J227" i="14"/>
  <c r="J235" i="14" s="1"/>
  <c r="AM147" i="9"/>
  <c r="AM155" i="9" s="1"/>
  <c r="AL147" i="9"/>
  <c r="AL155" i="9" s="1"/>
  <c r="AK147" i="9"/>
  <c r="AK155" i="9" s="1"/>
  <c r="AJ147" i="9"/>
  <c r="AJ155" i="9" s="1"/>
  <c r="AH147" i="9"/>
  <c r="AH155" i="9" s="1"/>
  <c r="AI147" i="9"/>
  <c r="AI155" i="9" s="1"/>
  <c r="AN147" i="9"/>
  <c r="AN155" i="9" s="1"/>
  <c r="AG147" i="9"/>
  <c r="AG155" i="9" s="1"/>
  <c r="V147" i="9"/>
  <c r="V155" i="9" s="1"/>
  <c r="AC147" i="9"/>
  <c r="AC155" i="9" s="1"/>
  <c r="W147" i="9"/>
  <c r="W155" i="9" s="1"/>
  <c r="AB147" i="9"/>
  <c r="AB155" i="9" s="1"/>
  <c r="S147" i="9"/>
  <c r="S155" i="9" s="1"/>
  <c r="Q147" i="9"/>
  <c r="Q155" i="9" s="1"/>
  <c r="AA147" i="9"/>
  <c r="AA155" i="9" s="1"/>
  <c r="M147" i="9"/>
  <c r="M155" i="9" s="1"/>
  <c r="AF147" i="9"/>
  <c r="AF155" i="9" s="1"/>
  <c r="R147" i="9"/>
  <c r="R155" i="9" s="1"/>
  <c r="P147" i="9"/>
  <c r="P155" i="9" s="1"/>
  <c r="Y147" i="9"/>
  <c r="Y155" i="9" s="1"/>
  <c r="L147" i="9"/>
  <c r="L155" i="9" s="1"/>
  <c r="U147" i="9"/>
  <c r="U155" i="9" s="1"/>
  <c r="AE147" i="9"/>
  <c r="AE155" i="9" s="1"/>
  <c r="N147" i="9"/>
  <c r="N155" i="9" s="1"/>
  <c r="AD147" i="9"/>
  <c r="AD155" i="9" s="1"/>
  <c r="J147" i="9"/>
  <c r="J155" i="9" s="1"/>
  <c r="X147" i="9"/>
  <c r="X155" i="9" s="1"/>
  <c r="I147" i="9"/>
  <c r="I155" i="9" s="1"/>
  <c r="T147" i="9"/>
  <c r="T155" i="9" s="1"/>
  <c r="O147" i="9"/>
  <c r="O155" i="9" s="1"/>
  <c r="Z147" i="9"/>
  <c r="Z155" i="9" s="1"/>
  <c r="K147" i="9"/>
  <c r="K155" i="9" s="1"/>
  <c r="AE279" i="15"/>
  <c r="AE287" i="15" s="1"/>
  <c r="AG279" i="15"/>
  <c r="AG287" i="15" s="1"/>
  <c r="AO279" i="15"/>
  <c r="AO287" i="15" s="1"/>
  <c r="AL279" i="15"/>
  <c r="AL287" i="15" s="1"/>
  <c r="AK279" i="15"/>
  <c r="AK287" i="15" s="1"/>
  <c r="AH279" i="15"/>
  <c r="AH287" i="15" s="1"/>
  <c r="AF279" i="15"/>
  <c r="AF287" i="15" s="1"/>
  <c r="AN279" i="15"/>
  <c r="AN287" i="15" s="1"/>
  <c r="AJ279" i="15"/>
  <c r="AJ287" i="15" s="1"/>
  <c r="AC279" i="15"/>
  <c r="AC287" i="15" s="1"/>
  <c r="AM279" i="15"/>
  <c r="AM287" i="15" s="1"/>
  <c r="AI279" i="15"/>
  <c r="AI287" i="15" s="1"/>
  <c r="AP279" i="15"/>
  <c r="AP287" i="15" s="1"/>
  <c r="AD279" i="15"/>
  <c r="AD287" i="15" s="1"/>
  <c r="Q279" i="15"/>
  <c r="Q287" i="15" s="1"/>
  <c r="S279" i="15"/>
  <c r="S287" i="15" s="1"/>
  <c r="N279" i="15"/>
  <c r="N287" i="15" s="1"/>
  <c r="I279" i="15"/>
  <c r="I287" i="15" s="1"/>
  <c r="W279" i="15"/>
  <c r="W287" i="15" s="1"/>
  <c r="R279" i="15"/>
  <c r="R287" i="15" s="1"/>
  <c r="M279" i="15"/>
  <c r="M287" i="15" s="1"/>
  <c r="V279" i="15"/>
  <c r="V287" i="15" s="1"/>
  <c r="K279" i="15"/>
  <c r="K287" i="15" s="1"/>
  <c r="Z279" i="15"/>
  <c r="Z287" i="15" s="1"/>
  <c r="J279" i="15"/>
  <c r="J287" i="15" s="1"/>
  <c r="X279" i="15"/>
  <c r="X287" i="15" s="1"/>
  <c r="O279" i="15"/>
  <c r="O287" i="15" s="1"/>
  <c r="U279" i="15"/>
  <c r="U287" i="15" s="1"/>
  <c r="L279" i="15"/>
  <c r="L287" i="15" s="1"/>
  <c r="P279" i="15"/>
  <c r="P287" i="15" s="1"/>
  <c r="Y279" i="15"/>
  <c r="Y287" i="15" s="1"/>
  <c r="AB279" i="15"/>
  <c r="AB287" i="15" s="1"/>
  <c r="AA279" i="15"/>
  <c r="AA287" i="15" s="1"/>
  <c r="T279" i="15"/>
  <c r="T287" i="15" s="1"/>
  <c r="P770" i="15"/>
  <c r="P778" i="15" s="1"/>
  <c r="AH770" i="15"/>
  <c r="AH778" i="15" s="1"/>
  <c r="V770" i="15"/>
  <c r="V778" i="15" s="1"/>
  <c r="Z770" i="15"/>
  <c r="Z778" i="15" s="1"/>
  <c r="U770" i="15"/>
  <c r="U778" i="15" s="1"/>
  <c r="AB770" i="15"/>
  <c r="AB778" i="15" s="1"/>
  <c r="L770" i="15"/>
  <c r="L778" i="15" s="1"/>
  <c r="W770" i="15"/>
  <c r="W778" i="15" s="1"/>
  <c r="R770" i="15"/>
  <c r="R778" i="15" s="1"/>
  <c r="Y770" i="15"/>
  <c r="Y778" i="15" s="1"/>
  <c r="T770" i="15"/>
  <c r="T778" i="15" s="1"/>
  <c r="X770" i="15"/>
  <c r="X778" i="15" s="1"/>
  <c r="I770" i="15"/>
  <c r="I778" i="15" s="1"/>
  <c r="AD770" i="15"/>
  <c r="AD778" i="15" s="1"/>
  <c r="O770" i="15"/>
  <c r="O778" i="15" s="1"/>
  <c r="AG770" i="15"/>
  <c r="AG778" i="15" s="1"/>
  <c r="N770" i="15"/>
  <c r="N778" i="15" s="1"/>
  <c r="AC770" i="15"/>
  <c r="AC778" i="15" s="1"/>
  <c r="AJ770" i="15"/>
  <c r="AJ778" i="15" s="1"/>
  <c r="AM770" i="15"/>
  <c r="AM778" i="15" s="1"/>
  <c r="M770" i="15"/>
  <c r="M778" i="15" s="1"/>
  <c r="AF770" i="15"/>
  <c r="AF778" i="15" s="1"/>
  <c r="AO770" i="15"/>
  <c r="AO778" i="15" s="1"/>
  <c r="AI770" i="15"/>
  <c r="AI778" i="15" s="1"/>
  <c r="S770" i="15"/>
  <c r="S778" i="15" s="1"/>
  <c r="AE770" i="15"/>
  <c r="AE778" i="15" s="1"/>
  <c r="J770" i="15"/>
  <c r="J778" i="15" s="1"/>
  <c r="AK770" i="15"/>
  <c r="AK778" i="15" s="1"/>
  <c r="AN770" i="15"/>
  <c r="AN778" i="15" s="1"/>
  <c r="AL770" i="15"/>
  <c r="AL778" i="15" s="1"/>
  <c r="K770" i="15"/>
  <c r="K778" i="15" s="1"/>
  <c r="AA770" i="15"/>
  <c r="AA778" i="15" s="1"/>
  <c r="Q770" i="15"/>
  <c r="Q778" i="15" s="1"/>
  <c r="Z665" i="16"/>
  <c r="Z673" i="16" s="1"/>
  <c r="X665" i="16"/>
  <c r="X673" i="16" s="1"/>
  <c r="P665" i="16"/>
  <c r="P673" i="16" s="1"/>
  <c r="AH665" i="16"/>
  <c r="AH673" i="16" s="1"/>
  <c r="J665" i="16"/>
  <c r="J673" i="16" s="1"/>
  <c r="U665" i="16"/>
  <c r="U673" i="16" s="1"/>
  <c r="AL665" i="16"/>
  <c r="AL673" i="16" s="1"/>
  <c r="T665" i="16"/>
  <c r="T673" i="16" s="1"/>
  <c r="Y665" i="16"/>
  <c r="Y673" i="16" s="1"/>
  <c r="R665" i="16"/>
  <c r="R673" i="16" s="1"/>
  <c r="AM665" i="16"/>
  <c r="AM673" i="16" s="1"/>
  <c r="AG665" i="16"/>
  <c r="AG673" i="16" s="1"/>
  <c r="AK665" i="16"/>
  <c r="AK673" i="16" s="1"/>
  <c r="Q665" i="16"/>
  <c r="Q673" i="16" s="1"/>
  <c r="AD665" i="16"/>
  <c r="AD673" i="16" s="1"/>
  <c r="L665" i="16"/>
  <c r="L673" i="16" s="1"/>
  <c r="AF665" i="16"/>
  <c r="AF673" i="16" s="1"/>
  <c r="I665" i="16"/>
  <c r="I673" i="16" s="1"/>
  <c r="AN665" i="16"/>
  <c r="AN673" i="16" s="1"/>
  <c r="O665" i="16"/>
  <c r="O673" i="16" s="1"/>
  <c r="AC665" i="16"/>
  <c r="AC673" i="16" s="1"/>
  <c r="N665" i="16"/>
  <c r="N673" i="16" s="1"/>
  <c r="AA665" i="16"/>
  <c r="AA673" i="16" s="1"/>
  <c r="AB665" i="16"/>
  <c r="AB673" i="16" s="1"/>
  <c r="AJ665" i="16"/>
  <c r="AJ673" i="16" s="1"/>
  <c r="M665" i="16"/>
  <c r="M673" i="16" s="1"/>
  <c r="AE665" i="16"/>
  <c r="AE673" i="16" s="1"/>
  <c r="K665" i="16"/>
  <c r="K673" i="16" s="1"/>
  <c r="W665" i="16"/>
  <c r="W673" i="16" s="1"/>
  <c r="V665" i="16"/>
  <c r="V673" i="16" s="1"/>
  <c r="AI665" i="16"/>
  <c r="AI673" i="16" s="1"/>
  <c r="S665" i="16"/>
  <c r="S673" i="16" s="1"/>
  <c r="AO665" i="16"/>
  <c r="AO673" i="16" s="1"/>
  <c r="AC160" i="8"/>
  <c r="AC168" i="8" s="1"/>
  <c r="AE160" i="8"/>
  <c r="AE168" i="8" s="1"/>
  <c r="V160" i="8"/>
  <c r="V168" i="8" s="1"/>
  <c r="AD160" i="8"/>
  <c r="AD168" i="8" s="1"/>
  <c r="S160" i="8"/>
  <c r="S168" i="8" s="1"/>
  <c r="K160" i="8"/>
  <c r="K168" i="8" s="1"/>
  <c r="AF160" i="8"/>
  <c r="AF168" i="8" s="1"/>
  <c r="AM160" i="8"/>
  <c r="AM168" i="8" s="1"/>
  <c r="Z160" i="8"/>
  <c r="Z168" i="8" s="1"/>
  <c r="AN160" i="8"/>
  <c r="AN168" i="8" s="1"/>
  <c r="P160" i="8"/>
  <c r="P168" i="8" s="1"/>
  <c r="M160" i="8"/>
  <c r="M168" i="8" s="1"/>
  <c r="AK160" i="8"/>
  <c r="AK168" i="8" s="1"/>
  <c r="AO160" i="8"/>
  <c r="AO168" i="8" s="1"/>
  <c r="T160" i="8"/>
  <c r="T168" i="8" s="1"/>
  <c r="AB160" i="8"/>
  <c r="AB168" i="8" s="1"/>
  <c r="O160" i="8"/>
  <c r="O168" i="8" s="1"/>
  <c r="J160" i="8"/>
  <c r="J168" i="8" s="1"/>
  <c r="AI160" i="8"/>
  <c r="AI168" i="8" s="1"/>
  <c r="AH160" i="8"/>
  <c r="AH168" i="8" s="1"/>
  <c r="AJ160" i="8"/>
  <c r="AJ168" i="8" s="1"/>
  <c r="Q160" i="8"/>
  <c r="Q168" i="8" s="1"/>
  <c r="L160" i="8"/>
  <c r="L168" i="8" s="1"/>
  <c r="W160" i="8"/>
  <c r="W168" i="8" s="1"/>
  <c r="N160" i="8"/>
  <c r="N168" i="8" s="1"/>
  <c r="R160" i="8"/>
  <c r="R168" i="8" s="1"/>
  <c r="X160" i="8"/>
  <c r="X168" i="8" s="1"/>
  <c r="AA160" i="8"/>
  <c r="AA168" i="8" s="1"/>
  <c r="Y160" i="8"/>
  <c r="Y168" i="8" s="1"/>
  <c r="U160" i="8"/>
  <c r="U168" i="8" s="1"/>
  <c r="I160" i="8"/>
  <c r="AG160" i="8"/>
  <c r="AG168" i="8" s="1"/>
  <c r="AL160" i="8"/>
  <c r="AL168" i="8" s="1"/>
  <c r="N129" i="15"/>
  <c r="N137" i="15" s="1"/>
  <c r="O129" i="15"/>
  <c r="O137" i="15" s="1"/>
  <c r="I129" i="15"/>
  <c r="I137" i="15" s="1"/>
  <c r="AK129" i="15"/>
  <c r="AK137" i="15" s="1"/>
  <c r="S129" i="15"/>
  <c r="S137" i="15" s="1"/>
  <c r="AO129" i="15"/>
  <c r="AO137" i="15" s="1"/>
  <c r="AC129" i="15"/>
  <c r="AC137" i="15" s="1"/>
  <c r="AA129" i="15"/>
  <c r="AA137" i="15" s="1"/>
  <c r="W129" i="15"/>
  <c r="W137" i="15" s="1"/>
  <c r="M129" i="15"/>
  <c r="M137" i="15" s="1"/>
  <c r="Y129" i="15"/>
  <c r="Y137" i="15" s="1"/>
  <c r="AD129" i="15"/>
  <c r="AD137" i="15" s="1"/>
  <c r="AF129" i="15"/>
  <c r="AF137" i="15" s="1"/>
  <c r="X129" i="15"/>
  <c r="X137" i="15" s="1"/>
  <c r="V129" i="15"/>
  <c r="V137" i="15" s="1"/>
  <c r="R129" i="15"/>
  <c r="R137" i="15" s="1"/>
  <c r="T129" i="15"/>
  <c r="T137" i="15" s="1"/>
  <c r="AM129" i="15"/>
  <c r="AM137" i="15" s="1"/>
  <c r="L129" i="15"/>
  <c r="L137" i="15" s="1"/>
  <c r="AH129" i="15"/>
  <c r="AH137" i="15" s="1"/>
  <c r="U129" i="15"/>
  <c r="U137" i="15" s="1"/>
  <c r="J129" i="15"/>
  <c r="J137" i="15" s="1"/>
  <c r="P129" i="15"/>
  <c r="P137" i="15" s="1"/>
  <c r="Z129" i="15"/>
  <c r="Z137" i="15" s="1"/>
  <c r="AI129" i="15"/>
  <c r="AI137" i="15" s="1"/>
  <c r="AN129" i="15"/>
  <c r="AN137" i="15" s="1"/>
  <c r="K129" i="15"/>
  <c r="K137" i="15" s="1"/>
  <c r="AE129" i="15"/>
  <c r="AE137" i="15" s="1"/>
  <c r="AL129" i="15"/>
  <c r="AL137" i="15" s="1"/>
  <c r="AG129" i="15"/>
  <c r="AG137" i="15" s="1"/>
  <c r="Q129" i="15"/>
  <c r="Q137" i="15" s="1"/>
  <c r="AB129" i="15"/>
  <c r="AB137" i="15" s="1"/>
  <c r="AJ129" i="15"/>
  <c r="AJ137" i="15" s="1"/>
  <c r="AL114" i="14"/>
  <c r="AL122" i="14" s="1"/>
  <c r="AK114" i="14"/>
  <c r="AK122" i="14" s="1"/>
  <c r="AH114" i="14"/>
  <c r="AH122" i="14" s="1"/>
  <c r="AN114" i="14"/>
  <c r="AN122" i="14" s="1"/>
  <c r="AG114" i="14"/>
  <c r="AG122" i="14" s="1"/>
  <c r="AJ114" i="14"/>
  <c r="AJ122" i="14" s="1"/>
  <c r="AD114" i="14"/>
  <c r="AD122" i="14" s="1"/>
  <c r="AI114" i="14"/>
  <c r="AI122" i="14" s="1"/>
  <c r="AM114" i="14"/>
  <c r="AM122" i="14" s="1"/>
  <c r="AE114" i="14"/>
  <c r="AE122" i="14" s="1"/>
  <c r="AO114" i="14"/>
  <c r="AO122" i="14" s="1"/>
  <c r="AP114" i="14"/>
  <c r="AP122" i="14" s="1"/>
  <c r="AF114" i="14"/>
  <c r="AF122" i="14" s="1"/>
  <c r="AC114" i="14"/>
  <c r="AC122" i="14" s="1"/>
  <c r="U114" i="14"/>
  <c r="U122" i="14" s="1"/>
  <c r="X114" i="14"/>
  <c r="X122" i="14" s="1"/>
  <c r="W114" i="14"/>
  <c r="W122" i="14" s="1"/>
  <c r="K114" i="14"/>
  <c r="K122" i="14" s="1"/>
  <c r="T114" i="14"/>
  <c r="T122" i="14" s="1"/>
  <c r="P114" i="14"/>
  <c r="P122" i="14" s="1"/>
  <c r="Y114" i="14"/>
  <c r="Y122" i="14" s="1"/>
  <c r="I114" i="14"/>
  <c r="I122" i="14" s="1"/>
  <c r="AA114" i="14"/>
  <c r="AA122" i="14" s="1"/>
  <c r="Q114" i="14"/>
  <c r="Q122" i="14" s="1"/>
  <c r="V114" i="14"/>
  <c r="V122" i="14" s="1"/>
  <c r="S114" i="14"/>
  <c r="S122" i="14" s="1"/>
  <c r="M114" i="14"/>
  <c r="M122" i="14" s="1"/>
  <c r="Z114" i="14"/>
  <c r="Z122" i="14" s="1"/>
  <c r="O114" i="14"/>
  <c r="O122" i="14" s="1"/>
  <c r="L114" i="14"/>
  <c r="L122" i="14" s="1"/>
  <c r="J114" i="14"/>
  <c r="J122" i="14" s="1"/>
  <c r="N114" i="14"/>
  <c r="N122" i="14" s="1"/>
  <c r="R114" i="14"/>
  <c r="R122" i="14" s="1"/>
  <c r="AB114" i="14"/>
  <c r="AB122" i="14" s="1"/>
  <c r="M254" i="8"/>
  <c r="M262" i="8" s="1"/>
  <c r="R254" i="8"/>
  <c r="R262" i="8" s="1"/>
  <c r="AF254" i="8"/>
  <c r="AF262" i="8" s="1"/>
  <c r="P254" i="8"/>
  <c r="P262" i="8" s="1"/>
  <c r="S254" i="8"/>
  <c r="S262" i="8" s="1"/>
  <c r="AD254" i="8"/>
  <c r="AD262" i="8" s="1"/>
  <c r="AE254" i="8"/>
  <c r="AE262" i="8" s="1"/>
  <c r="I254" i="8"/>
  <c r="I262" i="8" s="1"/>
  <c r="Q254" i="8"/>
  <c r="Q262" i="8" s="1"/>
  <c r="AM254" i="8"/>
  <c r="AM262" i="8" s="1"/>
  <c r="T254" i="8"/>
  <c r="T262" i="8" s="1"/>
  <c r="X254" i="8"/>
  <c r="X262" i="8" s="1"/>
  <c r="AH254" i="8"/>
  <c r="AH262" i="8" s="1"/>
  <c r="U254" i="8"/>
  <c r="U262" i="8" s="1"/>
  <c r="AA254" i="8"/>
  <c r="AA262" i="8" s="1"/>
  <c r="J254" i="8"/>
  <c r="J262" i="8" s="1"/>
  <c r="L254" i="8"/>
  <c r="L262" i="8" s="1"/>
  <c r="AL254" i="8"/>
  <c r="AL262" i="8" s="1"/>
  <c r="AC254" i="8"/>
  <c r="AC262" i="8" s="1"/>
  <c r="AB254" i="8"/>
  <c r="AB262" i="8" s="1"/>
  <c r="K254" i="8"/>
  <c r="K262" i="8" s="1"/>
  <c r="W254" i="8"/>
  <c r="W262" i="8" s="1"/>
  <c r="N254" i="8"/>
  <c r="N262" i="8" s="1"/>
  <c r="AO254" i="8"/>
  <c r="AO262" i="8" s="1"/>
  <c r="AG254" i="8"/>
  <c r="AG262" i="8" s="1"/>
  <c r="AI254" i="8"/>
  <c r="AI262" i="8" s="1"/>
  <c r="Y254" i="8"/>
  <c r="Y262" i="8" s="1"/>
  <c r="AN254" i="8"/>
  <c r="AN262" i="8" s="1"/>
  <c r="O254" i="8"/>
  <c r="O262" i="8" s="1"/>
  <c r="AJ254" i="8"/>
  <c r="AJ262" i="8" s="1"/>
  <c r="V254" i="8"/>
  <c r="V262" i="8" s="1"/>
  <c r="Z254" i="8"/>
  <c r="Z262" i="8" s="1"/>
  <c r="AK254" i="8"/>
  <c r="AK262" i="8" s="1"/>
  <c r="AC124" i="16"/>
  <c r="AC132" i="16" s="1"/>
  <c r="AL124" i="16"/>
  <c r="AL132" i="16" s="1"/>
  <c r="AN124" i="16"/>
  <c r="AN132" i="16" s="1"/>
  <c r="AD124" i="16"/>
  <c r="AD132" i="16" s="1"/>
  <c r="AM124" i="16"/>
  <c r="AM132" i="16" s="1"/>
  <c r="AJ124" i="16"/>
  <c r="AJ132" i="16" s="1"/>
  <c r="AH124" i="16"/>
  <c r="AH132" i="16" s="1"/>
  <c r="AK124" i="16"/>
  <c r="AK132" i="16" s="1"/>
  <c r="AE124" i="16"/>
  <c r="AE132" i="16" s="1"/>
  <c r="AF124" i="16"/>
  <c r="AF132" i="16" s="1"/>
  <c r="AI124" i="16"/>
  <c r="AI132" i="16" s="1"/>
  <c r="AG124" i="16"/>
  <c r="AG132" i="16" s="1"/>
  <c r="Y124" i="16"/>
  <c r="Y132" i="16" s="1"/>
  <c r="AB124" i="16"/>
  <c r="AB132" i="16" s="1"/>
  <c r="V124" i="16"/>
  <c r="V132" i="16" s="1"/>
  <c r="Q124" i="16"/>
  <c r="Q132" i="16" s="1"/>
  <c r="N124" i="16"/>
  <c r="N132" i="16" s="1"/>
  <c r="M124" i="16"/>
  <c r="M132" i="16" s="1"/>
  <c r="Z124" i="16"/>
  <c r="Z132" i="16" s="1"/>
  <c r="O124" i="16"/>
  <c r="O132" i="16" s="1"/>
  <c r="X124" i="16"/>
  <c r="X132" i="16" s="1"/>
  <c r="W124" i="16"/>
  <c r="W132" i="16" s="1"/>
  <c r="U124" i="16"/>
  <c r="U132" i="16" s="1"/>
  <c r="L124" i="16"/>
  <c r="L132" i="16" s="1"/>
  <c r="S124" i="16"/>
  <c r="S132" i="16" s="1"/>
  <c r="R124" i="16"/>
  <c r="R132" i="16" s="1"/>
  <c r="J124" i="16"/>
  <c r="J132" i="16" s="1"/>
  <c r="AA124" i="16"/>
  <c r="AA132" i="16" s="1"/>
  <c r="P124" i="16"/>
  <c r="P132" i="16" s="1"/>
  <c r="K124" i="16"/>
  <c r="K132" i="16" s="1"/>
  <c r="T124" i="16"/>
  <c r="T132" i="16" s="1"/>
  <c r="I124" i="16"/>
  <c r="I132" i="16" s="1"/>
  <c r="I381" i="14"/>
  <c r="L258" i="14"/>
  <c r="L266" i="14" s="1"/>
  <c r="AP258" i="14"/>
  <c r="AP266" i="14" s="1"/>
  <c r="W258" i="14"/>
  <c r="W266" i="14" s="1"/>
  <c r="N258" i="14"/>
  <c r="N266" i="14" s="1"/>
  <c r="J258" i="14"/>
  <c r="J266" i="14" s="1"/>
  <c r="AC258" i="14"/>
  <c r="AC266" i="14" s="1"/>
  <c r="O258" i="14"/>
  <c r="O266" i="14" s="1"/>
  <c r="U258" i="14"/>
  <c r="U266" i="14" s="1"/>
  <c r="AI258" i="14"/>
  <c r="AI266" i="14" s="1"/>
  <c r="AL258" i="14"/>
  <c r="AL266" i="14" s="1"/>
  <c r="I258" i="14"/>
  <c r="I266" i="14" s="1"/>
  <c r="M258" i="14"/>
  <c r="M266" i="14" s="1"/>
  <c r="Z258" i="14"/>
  <c r="Z266" i="14" s="1"/>
  <c r="AM258" i="14"/>
  <c r="AM266" i="14" s="1"/>
  <c r="AO258" i="14"/>
  <c r="AO266" i="14" s="1"/>
  <c r="AH258" i="14"/>
  <c r="AH266" i="14" s="1"/>
  <c r="P258" i="14"/>
  <c r="P266" i="14" s="1"/>
  <c r="T258" i="14"/>
  <c r="T266" i="14" s="1"/>
  <c r="Y258" i="14"/>
  <c r="Y266" i="14" s="1"/>
  <c r="AA258" i="14"/>
  <c r="AA266" i="14" s="1"/>
  <c r="AF258" i="14"/>
  <c r="AF266" i="14" s="1"/>
  <c r="V258" i="14"/>
  <c r="V266" i="14" s="1"/>
  <c r="X258" i="14"/>
  <c r="X266" i="14" s="1"/>
  <c r="AK258" i="14"/>
  <c r="AK266" i="14" s="1"/>
  <c r="R258" i="14"/>
  <c r="R266" i="14" s="1"/>
  <c r="AJ258" i="14"/>
  <c r="AJ266" i="14" s="1"/>
  <c r="AE258" i="14"/>
  <c r="AE266" i="14" s="1"/>
  <c r="K258" i="14"/>
  <c r="K266" i="14" s="1"/>
  <c r="S258" i="14"/>
  <c r="S266" i="14" s="1"/>
  <c r="AG258" i="14"/>
  <c r="AG266" i="14" s="1"/>
  <c r="AD258" i="14"/>
  <c r="AD266" i="14" s="1"/>
  <c r="AN258" i="14"/>
  <c r="AN266" i="14" s="1"/>
  <c r="Q258" i="14"/>
  <c r="Q266" i="14" s="1"/>
  <c r="AB258" i="14"/>
  <c r="AB266" i="14" s="1"/>
  <c r="AM151" i="15"/>
  <c r="AI151" i="15"/>
  <c r="AK151" i="15"/>
  <c r="AN151" i="15"/>
  <c r="AL151" i="15"/>
  <c r="AO151" i="15"/>
  <c r="AJ151" i="15"/>
  <c r="AH151" i="15"/>
  <c r="O151" i="15"/>
  <c r="L151" i="15"/>
  <c r="N151" i="15"/>
  <c r="X151" i="15"/>
  <c r="J151" i="15"/>
  <c r="AC151" i="15"/>
  <c r="U151" i="15"/>
  <c r="Z151" i="15"/>
  <c r="AF151" i="15"/>
  <c r="R151" i="15"/>
  <c r="K151" i="15"/>
  <c r="P151" i="15"/>
  <c r="W151" i="15"/>
  <c r="Y151" i="15"/>
  <c r="AA151" i="15"/>
  <c r="I151" i="15"/>
  <c r="AG151" i="15"/>
  <c r="T151" i="15"/>
  <c r="AE151" i="15"/>
  <c r="M151" i="15"/>
  <c r="Q151" i="15"/>
  <c r="AD151" i="15"/>
  <c r="S151" i="15"/>
  <c r="AB151" i="15"/>
  <c r="V151" i="15"/>
  <c r="AF159" i="7"/>
  <c r="AF167" i="7" s="1"/>
  <c r="K159" i="7"/>
  <c r="K167" i="7" s="1"/>
  <c r="AN159" i="7"/>
  <c r="AN167" i="7" s="1"/>
  <c r="AE159" i="7"/>
  <c r="AE167" i="7" s="1"/>
  <c r="AK159" i="7"/>
  <c r="AK167" i="7" s="1"/>
  <c r="N159" i="7"/>
  <c r="N167" i="7" s="1"/>
  <c r="S159" i="7"/>
  <c r="S167" i="7" s="1"/>
  <c r="AI159" i="7"/>
  <c r="AI167" i="7" s="1"/>
  <c r="AH159" i="7"/>
  <c r="AH167" i="7" s="1"/>
  <c r="AG159" i="7"/>
  <c r="AG167" i="7" s="1"/>
  <c r="AJ159" i="7"/>
  <c r="AJ167" i="7" s="1"/>
  <c r="AD159" i="7"/>
  <c r="AD167" i="7" s="1"/>
  <c r="AO159" i="7"/>
  <c r="AO167" i="7" s="1"/>
  <c r="AA159" i="7"/>
  <c r="AA167" i="7" s="1"/>
  <c r="AL159" i="7"/>
  <c r="AL167" i="7" s="1"/>
  <c r="AM159" i="7"/>
  <c r="AM167" i="7" s="1"/>
  <c r="AC159" i="7"/>
  <c r="AC167" i="7" s="1"/>
  <c r="L159" i="7"/>
  <c r="L167" i="7" s="1"/>
  <c r="V159" i="7"/>
  <c r="V167" i="7" s="1"/>
  <c r="X159" i="7"/>
  <c r="X167" i="7" s="1"/>
  <c r="Z159" i="7"/>
  <c r="Z167" i="7" s="1"/>
  <c r="Y159" i="7"/>
  <c r="Y167" i="7" s="1"/>
  <c r="Q159" i="7"/>
  <c r="Q167" i="7" s="1"/>
  <c r="J159" i="7"/>
  <c r="J167" i="7" s="1"/>
  <c r="AB159" i="7"/>
  <c r="AB167" i="7" s="1"/>
  <c r="P159" i="7"/>
  <c r="P167" i="7" s="1"/>
  <c r="T159" i="7"/>
  <c r="T167" i="7" s="1"/>
  <c r="R159" i="7"/>
  <c r="R167" i="7" s="1"/>
  <c r="M159" i="7"/>
  <c r="M167" i="7" s="1"/>
  <c r="U159" i="7"/>
  <c r="U167" i="7" s="1"/>
  <c r="I159" i="7"/>
  <c r="O159" i="7"/>
  <c r="O167" i="7" s="1"/>
  <c r="W159" i="7"/>
  <c r="W167" i="7" s="1"/>
  <c r="K791" i="15"/>
  <c r="K799" i="15" s="1"/>
  <c r="AI791" i="15"/>
  <c r="AI799" i="15" s="1"/>
  <c r="O791" i="15"/>
  <c r="O799" i="15" s="1"/>
  <c r="AC791" i="15"/>
  <c r="AC799" i="15" s="1"/>
  <c r="P791" i="15"/>
  <c r="P799" i="15" s="1"/>
  <c r="AA791" i="15"/>
  <c r="AA799" i="15" s="1"/>
  <c r="N791" i="15"/>
  <c r="N799" i="15" s="1"/>
  <c r="Y791" i="15"/>
  <c r="Y799" i="15" s="1"/>
  <c r="AG791" i="15"/>
  <c r="AG799" i="15" s="1"/>
  <c r="AE791" i="15"/>
  <c r="AE799" i="15" s="1"/>
  <c r="M791" i="15"/>
  <c r="M799" i="15" s="1"/>
  <c r="Z791" i="15"/>
  <c r="Z799" i="15" s="1"/>
  <c r="AL791" i="15"/>
  <c r="AL799" i="15" s="1"/>
  <c r="AD791" i="15"/>
  <c r="AD799" i="15" s="1"/>
  <c r="AH791" i="15"/>
  <c r="AH799" i="15" s="1"/>
  <c r="W791" i="15"/>
  <c r="W799" i="15" s="1"/>
  <c r="AO791" i="15"/>
  <c r="AO799" i="15" s="1"/>
  <c r="T791" i="15"/>
  <c r="T799" i="15" s="1"/>
  <c r="Q791" i="15"/>
  <c r="Q799" i="15" s="1"/>
  <c r="AK791" i="15"/>
  <c r="AK799" i="15" s="1"/>
  <c r="L791" i="15"/>
  <c r="L799" i="15" s="1"/>
  <c r="U791" i="15"/>
  <c r="U799" i="15" s="1"/>
  <c r="S791" i="15"/>
  <c r="S799" i="15" s="1"/>
  <c r="AF791" i="15"/>
  <c r="AF799" i="15" s="1"/>
  <c r="AM791" i="15"/>
  <c r="AM799" i="15" s="1"/>
  <c r="R791" i="15"/>
  <c r="R799" i="15" s="1"/>
  <c r="AJ791" i="15"/>
  <c r="AJ799" i="15" s="1"/>
  <c r="AB791" i="15"/>
  <c r="AB799" i="15" s="1"/>
  <c r="X791" i="15"/>
  <c r="X799" i="15" s="1"/>
  <c r="I791" i="15"/>
  <c r="I799" i="15" s="1"/>
  <c r="J791" i="15"/>
  <c r="J799" i="15" s="1"/>
  <c r="AN791" i="15"/>
  <c r="AN799" i="15" s="1"/>
  <c r="V791" i="15"/>
  <c r="V799" i="15" s="1"/>
  <c r="AI230" i="16"/>
  <c r="AI238" i="16" s="1"/>
  <c r="AL230" i="16"/>
  <c r="AL238" i="16" s="1"/>
  <c r="AM230" i="16"/>
  <c r="AM238" i="16" s="1"/>
  <c r="AP495" i="16"/>
  <c r="AP503" i="16" s="1"/>
  <c r="T230" i="16"/>
  <c r="T238" i="16" s="1"/>
  <c r="AO230" i="16"/>
  <c r="AO238" i="16" s="1"/>
  <c r="AG230" i="16"/>
  <c r="AG238" i="16" s="1"/>
  <c r="AK230" i="16"/>
  <c r="AK238" i="16" s="1"/>
  <c r="Q230" i="16"/>
  <c r="Q238" i="16" s="1"/>
  <c r="AC230" i="16"/>
  <c r="AC238" i="16" s="1"/>
  <c r="AH230" i="16"/>
  <c r="AH238" i="16" s="1"/>
  <c r="AN230" i="16"/>
  <c r="AN238" i="16" s="1"/>
  <c r="Y230" i="16"/>
  <c r="Y238" i="16" s="1"/>
  <c r="AF230" i="16"/>
  <c r="AF238" i="16" s="1"/>
  <c r="I230" i="16"/>
  <c r="I238" i="16" s="1"/>
  <c r="AJ230" i="16"/>
  <c r="AJ238" i="16" s="1"/>
  <c r="AE230" i="16"/>
  <c r="AE238" i="16" s="1"/>
  <c r="O230" i="16"/>
  <c r="O238" i="16" s="1"/>
  <c r="AD230" i="16"/>
  <c r="AD238" i="16" s="1"/>
  <c r="AP230" i="16"/>
  <c r="AP238" i="16" s="1"/>
  <c r="M230" i="16"/>
  <c r="M238" i="16" s="1"/>
  <c r="U230" i="16"/>
  <c r="U238" i="16" s="1"/>
  <c r="S230" i="16"/>
  <c r="S238" i="16" s="1"/>
  <c r="W230" i="16"/>
  <c r="W238" i="16" s="1"/>
  <c r="J230" i="16"/>
  <c r="J238" i="16" s="1"/>
  <c r="L230" i="16"/>
  <c r="L238" i="16" s="1"/>
  <c r="X230" i="16"/>
  <c r="X238" i="16" s="1"/>
  <c r="AB230" i="16"/>
  <c r="AB238" i="16" s="1"/>
  <c r="N230" i="16"/>
  <c r="N238" i="16" s="1"/>
  <c r="AA230" i="16"/>
  <c r="AA238" i="16" s="1"/>
  <c r="V230" i="16"/>
  <c r="V238" i="16" s="1"/>
  <c r="P230" i="16"/>
  <c r="P238" i="16" s="1"/>
  <c r="K230" i="16"/>
  <c r="K238" i="16" s="1"/>
  <c r="Z230" i="16"/>
  <c r="Z238" i="16" s="1"/>
  <c r="R230" i="16"/>
  <c r="R238" i="16" s="1"/>
  <c r="X134" i="15"/>
  <c r="X142" i="15" s="1"/>
  <c r="AG134" i="15"/>
  <c r="AG142" i="15" s="1"/>
  <c r="AM134" i="15"/>
  <c r="AM142" i="15" s="1"/>
  <c r="T134" i="15"/>
  <c r="T142" i="15" s="1"/>
  <c r="N134" i="15"/>
  <c r="N142" i="15" s="1"/>
  <c r="M134" i="15"/>
  <c r="M142" i="15" s="1"/>
  <c r="P134" i="15"/>
  <c r="P142" i="15" s="1"/>
  <c r="W134" i="15"/>
  <c r="W142" i="15" s="1"/>
  <c r="I134" i="15"/>
  <c r="I142" i="15" s="1"/>
  <c r="AD134" i="15"/>
  <c r="AD142" i="15" s="1"/>
  <c r="U134" i="15"/>
  <c r="U142" i="15" s="1"/>
  <c r="AI134" i="15"/>
  <c r="AI142" i="15" s="1"/>
  <c r="K134" i="15"/>
  <c r="K142" i="15" s="1"/>
  <c r="J134" i="15"/>
  <c r="J142" i="15" s="1"/>
  <c r="AL134" i="15"/>
  <c r="AL142" i="15" s="1"/>
  <c r="AB134" i="15"/>
  <c r="AB142" i="15" s="1"/>
  <c r="AN134" i="15"/>
  <c r="AN142" i="15" s="1"/>
  <c r="R134" i="15"/>
  <c r="R142" i="15" s="1"/>
  <c r="V134" i="15"/>
  <c r="V142" i="15" s="1"/>
  <c r="AF134" i="15"/>
  <c r="AF142" i="15" s="1"/>
  <c r="AJ134" i="15"/>
  <c r="AJ142" i="15" s="1"/>
  <c r="AE134" i="15"/>
  <c r="AE142" i="15" s="1"/>
  <c r="L134" i="15"/>
  <c r="L142" i="15" s="1"/>
  <c r="AO134" i="15"/>
  <c r="AO142" i="15" s="1"/>
  <c r="AK134" i="15"/>
  <c r="AK142" i="15" s="1"/>
  <c r="Z134" i="15"/>
  <c r="Z142" i="15" s="1"/>
  <c r="Q134" i="15"/>
  <c r="Q142" i="15" s="1"/>
  <c r="AA134" i="15"/>
  <c r="AA142" i="15" s="1"/>
  <c r="S134" i="15"/>
  <c r="S142" i="15" s="1"/>
  <c r="Y134" i="15"/>
  <c r="Y142" i="15" s="1"/>
  <c r="O134" i="15"/>
  <c r="O142" i="15" s="1"/>
  <c r="AC134" i="15"/>
  <c r="AC142" i="15" s="1"/>
  <c r="AH134" i="15"/>
  <c r="AH142" i="15" s="1"/>
  <c r="X772" i="15"/>
  <c r="X780" i="15" s="1"/>
  <c r="AF772" i="15"/>
  <c r="AF780" i="15" s="1"/>
  <c r="U772" i="15"/>
  <c r="U780" i="15" s="1"/>
  <c r="T772" i="15"/>
  <c r="T780" i="15" s="1"/>
  <c r="K772" i="15"/>
  <c r="K780" i="15" s="1"/>
  <c r="AE772" i="15"/>
  <c r="AE780" i="15" s="1"/>
  <c r="AL772" i="15"/>
  <c r="AL780" i="15" s="1"/>
  <c r="AK772" i="15"/>
  <c r="AK780" i="15" s="1"/>
  <c r="Q772" i="15"/>
  <c r="Q780" i="15" s="1"/>
  <c r="AD772" i="15"/>
  <c r="AD780" i="15" s="1"/>
  <c r="Y772" i="15"/>
  <c r="Y780" i="15" s="1"/>
  <c r="AB772" i="15"/>
  <c r="AB780" i="15" s="1"/>
  <c r="AN772" i="15"/>
  <c r="AN780" i="15" s="1"/>
  <c r="Z772" i="15"/>
  <c r="Z780" i="15" s="1"/>
  <c r="V772" i="15"/>
  <c r="V780" i="15" s="1"/>
  <c r="R772" i="15"/>
  <c r="R780" i="15" s="1"/>
  <c r="AJ772" i="15"/>
  <c r="AJ780" i="15" s="1"/>
  <c r="AO772" i="15"/>
  <c r="AO780" i="15" s="1"/>
  <c r="AA772" i="15"/>
  <c r="AA780" i="15" s="1"/>
  <c r="AI772" i="15"/>
  <c r="AI780" i="15" s="1"/>
  <c r="O772" i="15"/>
  <c r="O780" i="15" s="1"/>
  <c r="P772" i="15"/>
  <c r="P780" i="15" s="1"/>
  <c r="I772" i="15"/>
  <c r="I780" i="15" s="1"/>
  <c r="J772" i="15"/>
  <c r="J780" i="15" s="1"/>
  <c r="AH772" i="15"/>
  <c r="AH780" i="15" s="1"/>
  <c r="M772" i="15"/>
  <c r="M780" i="15" s="1"/>
  <c r="L772" i="15"/>
  <c r="L780" i="15" s="1"/>
  <c r="N772" i="15"/>
  <c r="N780" i="15" s="1"/>
  <c r="AC772" i="15"/>
  <c r="AC780" i="15" s="1"/>
  <c r="AM772" i="15"/>
  <c r="AM780" i="15" s="1"/>
  <c r="S772" i="15"/>
  <c r="S780" i="15" s="1"/>
  <c r="AG772" i="15"/>
  <c r="AG780" i="15" s="1"/>
  <c r="W772" i="15"/>
  <c r="W780" i="15" s="1"/>
  <c r="L493" i="16"/>
  <c r="L501" i="16" s="1"/>
  <c r="AH493" i="16"/>
  <c r="AH501" i="16" s="1"/>
  <c r="AJ493" i="16"/>
  <c r="AJ501" i="16" s="1"/>
  <c r="AG493" i="16"/>
  <c r="AG501" i="16" s="1"/>
  <c r="AD493" i="16"/>
  <c r="AD501" i="16" s="1"/>
  <c r="O493" i="16"/>
  <c r="O501" i="16" s="1"/>
  <c r="N493" i="16"/>
  <c r="N501" i="16" s="1"/>
  <c r="AB493" i="16"/>
  <c r="AB501" i="16" s="1"/>
  <c r="M493" i="16"/>
  <c r="M501" i="16" s="1"/>
  <c r="Y493" i="16"/>
  <c r="Y501" i="16" s="1"/>
  <c r="R493" i="16"/>
  <c r="R501" i="16" s="1"/>
  <c r="V493" i="16"/>
  <c r="V501" i="16" s="1"/>
  <c r="Q493" i="16"/>
  <c r="Q501" i="16" s="1"/>
  <c r="U493" i="16"/>
  <c r="U501" i="16" s="1"/>
  <c r="S493" i="16"/>
  <c r="S501" i="16" s="1"/>
  <c r="AM493" i="16"/>
  <c r="AM501" i="16" s="1"/>
  <c r="T493" i="16"/>
  <c r="T501" i="16" s="1"/>
  <c r="AO493" i="16"/>
  <c r="AO501" i="16" s="1"/>
  <c r="P493" i="16"/>
  <c r="P501" i="16" s="1"/>
  <c r="AL493" i="16"/>
  <c r="AL501" i="16" s="1"/>
  <c r="J493" i="16"/>
  <c r="J501" i="16" s="1"/>
  <c r="AC493" i="16"/>
  <c r="AC501" i="16" s="1"/>
  <c r="I493" i="16"/>
  <c r="I501" i="16" s="1"/>
  <c r="AF493" i="16"/>
  <c r="AF501" i="16" s="1"/>
  <c r="AA493" i="16"/>
  <c r="AA501" i="16" s="1"/>
  <c r="W493" i="16"/>
  <c r="W501" i="16" s="1"/>
  <c r="AI493" i="16"/>
  <c r="AI501" i="16" s="1"/>
  <c r="AN493" i="16"/>
  <c r="AN501" i="16" s="1"/>
  <c r="K493" i="16"/>
  <c r="K501" i="16" s="1"/>
  <c r="AK493" i="16"/>
  <c r="AK501" i="16" s="1"/>
  <c r="Z493" i="16"/>
  <c r="Z501" i="16" s="1"/>
  <c r="X493" i="16"/>
  <c r="X501" i="16" s="1"/>
  <c r="AE493" i="16"/>
  <c r="AE501" i="16" s="1"/>
  <c r="Q82" i="17"/>
  <c r="Q84" i="17" s="1"/>
  <c r="T82" i="17"/>
  <c r="T84" i="17" s="1"/>
  <c r="AP82" i="17"/>
  <c r="AP84" i="17" s="1"/>
  <c r="T228" i="16"/>
  <c r="T236" i="16" s="1"/>
  <c r="AD228" i="16"/>
  <c r="AD236" i="16" s="1"/>
  <c r="AJ228" i="16"/>
  <c r="AJ236" i="16" s="1"/>
  <c r="S228" i="16"/>
  <c r="S236" i="16" s="1"/>
  <c r="AO228" i="16"/>
  <c r="AO236" i="16" s="1"/>
  <c r="AC228" i="16"/>
  <c r="AC236" i="16" s="1"/>
  <c r="AK228" i="16"/>
  <c r="AK236" i="16" s="1"/>
  <c r="AI228" i="16"/>
  <c r="AI236" i="16" s="1"/>
  <c r="AE228" i="16"/>
  <c r="AE236" i="16" s="1"/>
  <c r="AL228" i="16"/>
  <c r="AL236" i="16" s="1"/>
  <c r="AH228" i="16"/>
  <c r="AH236" i="16" s="1"/>
  <c r="AM228" i="16"/>
  <c r="AM236" i="16" s="1"/>
  <c r="R228" i="16"/>
  <c r="R236" i="16" s="1"/>
  <c r="AP228" i="16"/>
  <c r="AP236" i="16" s="1"/>
  <c r="U228" i="16"/>
  <c r="U236" i="16" s="1"/>
  <c r="AF228" i="16"/>
  <c r="AF236" i="16" s="1"/>
  <c r="AP493" i="16"/>
  <c r="AP501" i="16" s="1"/>
  <c r="L228" i="16"/>
  <c r="L236" i="16" s="1"/>
  <c r="K228" i="16"/>
  <c r="K236" i="16" s="1"/>
  <c r="AN228" i="16"/>
  <c r="AN236" i="16" s="1"/>
  <c r="I228" i="16"/>
  <c r="I236" i="16" s="1"/>
  <c r="AG228" i="16"/>
  <c r="AG236" i="16" s="1"/>
  <c r="N228" i="16"/>
  <c r="N236" i="16" s="1"/>
  <c r="J228" i="16"/>
  <c r="J236" i="16" s="1"/>
  <c r="Z228" i="16"/>
  <c r="Z236" i="16" s="1"/>
  <c r="AA228" i="16"/>
  <c r="AA236" i="16" s="1"/>
  <c r="X228" i="16"/>
  <c r="X236" i="16" s="1"/>
  <c r="Q228" i="16"/>
  <c r="Q236" i="16" s="1"/>
  <c r="AB228" i="16"/>
  <c r="AB236" i="16" s="1"/>
  <c r="Y228" i="16"/>
  <c r="Y236" i="16" s="1"/>
  <c r="P228" i="16"/>
  <c r="P236" i="16" s="1"/>
  <c r="W228" i="16"/>
  <c r="W236" i="16" s="1"/>
  <c r="O228" i="16"/>
  <c r="O236" i="16" s="1"/>
  <c r="M228" i="16"/>
  <c r="M236" i="16" s="1"/>
  <c r="V228" i="16"/>
  <c r="V236" i="16" s="1"/>
  <c r="AO247" i="7"/>
  <c r="AO255" i="7" s="1"/>
  <c r="AB247" i="7"/>
  <c r="AB255" i="7" s="1"/>
  <c r="AD247" i="7"/>
  <c r="AD255" i="7" s="1"/>
  <c r="AN247" i="7"/>
  <c r="AN255" i="7" s="1"/>
  <c r="AL247" i="7"/>
  <c r="AL255" i="7" s="1"/>
  <c r="AH247" i="7"/>
  <c r="AH255" i="7" s="1"/>
  <c r="K247" i="7"/>
  <c r="K255" i="7" s="1"/>
  <c r="AK247" i="7"/>
  <c r="AK255" i="7" s="1"/>
  <c r="AF247" i="7"/>
  <c r="AF255" i="7" s="1"/>
  <c r="AC247" i="7"/>
  <c r="AC255" i="7" s="1"/>
  <c r="AI247" i="7"/>
  <c r="AI255" i="7" s="1"/>
  <c r="AJ247" i="7"/>
  <c r="AJ255" i="7" s="1"/>
  <c r="AG247" i="7"/>
  <c r="AG255" i="7" s="1"/>
  <c r="AE247" i="7"/>
  <c r="AE255" i="7" s="1"/>
  <c r="AM247" i="7"/>
  <c r="AM255" i="7" s="1"/>
  <c r="X247" i="7"/>
  <c r="X255" i="7" s="1"/>
  <c r="S247" i="7"/>
  <c r="S255" i="7" s="1"/>
  <c r="U247" i="7"/>
  <c r="U255" i="7" s="1"/>
  <c r="V247" i="7"/>
  <c r="V255" i="7" s="1"/>
  <c r="Y247" i="7"/>
  <c r="Y255" i="7" s="1"/>
  <c r="M247" i="7"/>
  <c r="M255" i="7" s="1"/>
  <c r="Q247" i="7"/>
  <c r="Q255" i="7" s="1"/>
  <c r="L247" i="7"/>
  <c r="L255" i="7" s="1"/>
  <c r="W247" i="7"/>
  <c r="W255" i="7" s="1"/>
  <c r="Z247" i="7"/>
  <c r="Z255" i="7" s="1"/>
  <c r="R247" i="7"/>
  <c r="R255" i="7" s="1"/>
  <c r="P247" i="7"/>
  <c r="P255" i="7" s="1"/>
  <c r="AA247" i="7"/>
  <c r="AA255" i="7" s="1"/>
  <c r="T247" i="7"/>
  <c r="T255" i="7" s="1"/>
  <c r="J247" i="7"/>
  <c r="J255" i="7" s="1"/>
  <c r="I247" i="7"/>
  <c r="O247" i="7"/>
  <c r="O255" i="7" s="1"/>
  <c r="N247" i="7"/>
  <c r="N255" i="7" s="1"/>
  <c r="AO158" i="7"/>
  <c r="AO166" i="7" s="1"/>
  <c r="AN158" i="7"/>
  <c r="AN166" i="7" s="1"/>
  <c r="K158" i="7"/>
  <c r="K166" i="7" s="1"/>
  <c r="AM158" i="7"/>
  <c r="AM166" i="7" s="1"/>
  <c r="AK158" i="7"/>
  <c r="AK166" i="7" s="1"/>
  <c r="AH158" i="7"/>
  <c r="AH166" i="7" s="1"/>
  <c r="W158" i="7"/>
  <c r="W166" i="7" s="1"/>
  <c r="M158" i="7"/>
  <c r="M166" i="7" s="1"/>
  <c r="AL158" i="7"/>
  <c r="AL166" i="7" s="1"/>
  <c r="AD158" i="7"/>
  <c r="AD166" i="7" s="1"/>
  <c r="AI158" i="7"/>
  <c r="AI166" i="7" s="1"/>
  <c r="AC158" i="7"/>
  <c r="AC166" i="7" s="1"/>
  <c r="AJ158" i="7"/>
  <c r="AJ166" i="7" s="1"/>
  <c r="AE158" i="7"/>
  <c r="AE166" i="7" s="1"/>
  <c r="AF158" i="7"/>
  <c r="AF166" i="7" s="1"/>
  <c r="AG158" i="7"/>
  <c r="AG166" i="7" s="1"/>
  <c r="U158" i="7"/>
  <c r="U166" i="7" s="1"/>
  <c r="J158" i="7"/>
  <c r="J166" i="7" s="1"/>
  <c r="R158" i="7"/>
  <c r="R166" i="7" s="1"/>
  <c r="Q158" i="7"/>
  <c r="Q166" i="7" s="1"/>
  <c r="S158" i="7"/>
  <c r="S166" i="7" s="1"/>
  <c r="AA158" i="7"/>
  <c r="AA166" i="7" s="1"/>
  <c r="T158" i="7"/>
  <c r="T166" i="7" s="1"/>
  <c r="N158" i="7"/>
  <c r="N166" i="7" s="1"/>
  <c r="L158" i="7"/>
  <c r="L166" i="7" s="1"/>
  <c r="Z158" i="7"/>
  <c r="Z166" i="7" s="1"/>
  <c r="X158" i="7"/>
  <c r="X166" i="7" s="1"/>
  <c r="P158" i="7"/>
  <c r="P166" i="7" s="1"/>
  <c r="AB158" i="7"/>
  <c r="AB166" i="7" s="1"/>
  <c r="I158" i="7"/>
  <c r="Y158" i="7"/>
  <c r="Y166" i="7" s="1"/>
  <c r="O158" i="7"/>
  <c r="O166" i="7" s="1"/>
  <c r="V158" i="7"/>
  <c r="V166" i="7" s="1"/>
  <c r="S495" i="16"/>
  <c r="S503" i="16" s="1"/>
  <c r="AK495" i="16"/>
  <c r="AK503" i="16" s="1"/>
  <c r="Z495" i="16"/>
  <c r="Z503" i="16" s="1"/>
  <c r="AA495" i="16"/>
  <c r="AA503" i="16" s="1"/>
  <c r="L495" i="16"/>
  <c r="L503" i="16" s="1"/>
  <c r="AE495" i="16"/>
  <c r="AE503" i="16" s="1"/>
  <c r="J495" i="16"/>
  <c r="J503" i="16" s="1"/>
  <c r="V495" i="16"/>
  <c r="V503" i="16" s="1"/>
  <c r="O495" i="16"/>
  <c r="O503" i="16" s="1"/>
  <c r="W495" i="16"/>
  <c r="W503" i="16" s="1"/>
  <c r="K495" i="16"/>
  <c r="K503" i="16" s="1"/>
  <c r="AO495" i="16"/>
  <c r="AO503" i="16" s="1"/>
  <c r="I495" i="16"/>
  <c r="I503" i="16" s="1"/>
  <c r="Y495" i="16"/>
  <c r="Y503" i="16" s="1"/>
  <c r="AJ495" i="16"/>
  <c r="AJ503" i="16" s="1"/>
  <c r="AB495" i="16"/>
  <c r="AB503" i="16" s="1"/>
  <c r="AG495" i="16"/>
  <c r="AG503" i="16" s="1"/>
  <c r="AD495" i="16"/>
  <c r="AD503" i="16" s="1"/>
  <c r="T495" i="16"/>
  <c r="T503" i="16" s="1"/>
  <c r="U495" i="16"/>
  <c r="U503" i="16" s="1"/>
  <c r="R495" i="16"/>
  <c r="R503" i="16" s="1"/>
  <c r="AH495" i="16"/>
  <c r="AH503" i="16" s="1"/>
  <c r="AC495" i="16"/>
  <c r="AC503" i="16" s="1"/>
  <c r="Q495" i="16"/>
  <c r="Q503" i="16" s="1"/>
  <c r="AL495" i="16"/>
  <c r="AL503" i="16" s="1"/>
  <c r="P495" i="16"/>
  <c r="P503" i="16" s="1"/>
  <c r="X495" i="16"/>
  <c r="X503" i="16" s="1"/>
  <c r="N495" i="16"/>
  <c r="N503" i="16" s="1"/>
  <c r="AN495" i="16"/>
  <c r="AN503" i="16" s="1"/>
  <c r="M495" i="16"/>
  <c r="M503" i="16" s="1"/>
  <c r="AI495" i="16"/>
  <c r="AI503" i="16" s="1"/>
  <c r="AF495" i="16"/>
  <c r="AF503" i="16" s="1"/>
  <c r="AM495" i="16"/>
  <c r="AM503" i="16" s="1"/>
  <c r="L237" i="9"/>
  <c r="L245" i="9" s="1"/>
  <c r="AH237" i="9"/>
  <c r="AH245" i="9" s="1"/>
  <c r="AM237" i="9"/>
  <c r="AM245" i="9" s="1"/>
  <c r="T237" i="9"/>
  <c r="T245" i="9" s="1"/>
  <c r="AJ237" i="9"/>
  <c r="AJ245" i="9" s="1"/>
  <c r="U237" i="9"/>
  <c r="U245" i="9" s="1"/>
  <c r="I237" i="9"/>
  <c r="I245" i="9" s="1"/>
  <c r="AC237" i="9"/>
  <c r="AC245" i="9" s="1"/>
  <c r="AI237" i="9"/>
  <c r="AI245" i="9" s="1"/>
  <c r="AE237" i="9"/>
  <c r="AE245" i="9" s="1"/>
  <c r="Y237" i="9"/>
  <c r="Y245" i="9" s="1"/>
  <c r="O237" i="9"/>
  <c r="O245" i="9" s="1"/>
  <c r="K237" i="9"/>
  <c r="K245" i="9" s="1"/>
  <c r="J237" i="9"/>
  <c r="J245" i="9" s="1"/>
  <c r="AG237" i="9"/>
  <c r="AG245" i="9" s="1"/>
  <c r="W237" i="9"/>
  <c r="W245" i="9" s="1"/>
  <c r="S237" i="9"/>
  <c r="S245" i="9" s="1"/>
  <c r="X237" i="9"/>
  <c r="X245" i="9" s="1"/>
  <c r="AO237" i="9"/>
  <c r="AO245" i="9" s="1"/>
  <c r="AB237" i="9"/>
  <c r="AB245" i="9" s="1"/>
  <c r="AA237" i="9"/>
  <c r="AA245" i="9" s="1"/>
  <c r="AF237" i="9"/>
  <c r="AF245" i="9" s="1"/>
  <c r="Q237" i="9"/>
  <c r="Q245" i="9" s="1"/>
  <c r="P237" i="9"/>
  <c r="P245" i="9" s="1"/>
  <c r="AK237" i="9"/>
  <c r="AK245" i="9" s="1"/>
  <c r="AL237" i="9"/>
  <c r="AL245" i="9" s="1"/>
  <c r="N237" i="9"/>
  <c r="N245" i="9" s="1"/>
  <c r="M237" i="9"/>
  <c r="M245" i="9" s="1"/>
  <c r="AN237" i="9"/>
  <c r="AN245" i="9" s="1"/>
  <c r="V237" i="9"/>
  <c r="V245" i="9" s="1"/>
  <c r="R237" i="9"/>
  <c r="R245" i="9" s="1"/>
  <c r="AD237" i="9"/>
  <c r="AD245" i="9" s="1"/>
  <c r="Z237" i="9"/>
  <c r="Z245" i="9" s="1"/>
  <c r="J72" i="8"/>
  <c r="J80" i="8" s="1"/>
  <c r="AN72" i="8"/>
  <c r="AN80" i="8" s="1"/>
  <c r="AC72" i="8"/>
  <c r="AC80" i="8" s="1"/>
  <c r="AM72" i="8"/>
  <c r="AM80" i="8" s="1"/>
  <c r="AG72" i="8"/>
  <c r="AG80" i="8" s="1"/>
  <c r="AH72" i="8"/>
  <c r="AH80" i="8" s="1"/>
  <c r="AJ72" i="8"/>
  <c r="AJ80" i="8" s="1"/>
  <c r="AF72" i="8"/>
  <c r="AF80" i="8" s="1"/>
  <c r="AL72" i="8"/>
  <c r="AL80" i="8" s="1"/>
  <c r="AI72" i="8"/>
  <c r="AI80" i="8" s="1"/>
  <c r="AK72" i="8"/>
  <c r="AK80" i="8" s="1"/>
  <c r="AE72" i="8"/>
  <c r="AE80" i="8" s="1"/>
  <c r="AD72" i="8"/>
  <c r="AD80" i="8" s="1"/>
  <c r="AO72" i="8"/>
  <c r="AO80" i="8" s="1"/>
  <c r="W72" i="8"/>
  <c r="W80" i="8" s="1"/>
  <c r="Z72" i="8"/>
  <c r="Z80" i="8" s="1"/>
  <c r="S72" i="8"/>
  <c r="S80" i="8" s="1"/>
  <c r="V72" i="8"/>
  <c r="V80" i="8" s="1"/>
  <c r="U72" i="8"/>
  <c r="U80" i="8" s="1"/>
  <c r="T72" i="8"/>
  <c r="T80" i="8" s="1"/>
  <c r="I72" i="8"/>
  <c r="AB72" i="8"/>
  <c r="AB80" i="8" s="1"/>
  <c r="Q72" i="8"/>
  <c r="Q80" i="8" s="1"/>
  <c r="L72" i="8"/>
  <c r="L80" i="8" s="1"/>
  <c r="O72" i="8"/>
  <c r="O80" i="8" s="1"/>
  <c r="R72" i="8"/>
  <c r="R80" i="8" s="1"/>
  <c r="P72" i="8"/>
  <c r="P80" i="8" s="1"/>
  <c r="X72" i="8"/>
  <c r="X80" i="8" s="1"/>
  <c r="Y72" i="8"/>
  <c r="Y80" i="8" s="1"/>
  <c r="AA72" i="8"/>
  <c r="AA80" i="8" s="1"/>
  <c r="N72" i="8"/>
  <c r="N80" i="8" s="1"/>
  <c r="K72" i="8"/>
  <c r="K80" i="8" s="1"/>
  <c r="M72" i="8"/>
  <c r="M80" i="8" s="1"/>
  <c r="N888" i="15"/>
  <c r="N896" i="15" s="1"/>
  <c r="M888" i="15"/>
  <c r="M896" i="15" s="1"/>
  <c r="AG888" i="15"/>
  <c r="AG896" i="15" s="1"/>
  <c r="AK888" i="15"/>
  <c r="AK896" i="15" s="1"/>
  <c r="AI888" i="15"/>
  <c r="AI896" i="15" s="1"/>
  <c r="I888" i="15"/>
  <c r="I896" i="15" s="1"/>
  <c r="K888" i="15"/>
  <c r="K896" i="15" s="1"/>
  <c r="Q888" i="15"/>
  <c r="Q896" i="15" s="1"/>
  <c r="P888" i="15"/>
  <c r="P896" i="15" s="1"/>
  <c r="AO888" i="15"/>
  <c r="AO896" i="15" s="1"/>
  <c r="AL888" i="15"/>
  <c r="AL896" i="15" s="1"/>
  <c r="AE888" i="15"/>
  <c r="AE896" i="15" s="1"/>
  <c r="AJ888" i="15"/>
  <c r="AJ896" i="15" s="1"/>
  <c r="T888" i="15"/>
  <c r="T896" i="15" s="1"/>
  <c r="R888" i="15"/>
  <c r="R896" i="15" s="1"/>
  <c r="AH888" i="15"/>
  <c r="AH896" i="15" s="1"/>
  <c r="L888" i="15"/>
  <c r="L896" i="15" s="1"/>
  <c r="AM888" i="15"/>
  <c r="AM896" i="15" s="1"/>
  <c r="S888" i="15"/>
  <c r="S896" i="15" s="1"/>
  <c r="Z888" i="15"/>
  <c r="Z896" i="15" s="1"/>
  <c r="AB888" i="15"/>
  <c r="AB896" i="15" s="1"/>
  <c r="Y888" i="15"/>
  <c r="Y896" i="15" s="1"/>
  <c r="X888" i="15"/>
  <c r="X896" i="15" s="1"/>
  <c r="AC888" i="15"/>
  <c r="AC896" i="15" s="1"/>
  <c r="AF888" i="15"/>
  <c r="AF896" i="15" s="1"/>
  <c r="AN888" i="15"/>
  <c r="AN896" i="15" s="1"/>
  <c r="AA888" i="15"/>
  <c r="AA896" i="15" s="1"/>
  <c r="O888" i="15"/>
  <c r="O896" i="15" s="1"/>
  <c r="W888" i="15"/>
  <c r="W896" i="15" s="1"/>
  <c r="V888" i="15"/>
  <c r="V896" i="15" s="1"/>
  <c r="U888" i="15"/>
  <c r="U896" i="15" s="1"/>
  <c r="J888" i="15"/>
  <c r="J896" i="15" s="1"/>
  <c r="AD888" i="15"/>
  <c r="AD896" i="15" s="1"/>
  <c r="AH242" i="7"/>
  <c r="AH250" i="7" s="1"/>
  <c r="AM242" i="7"/>
  <c r="AM250" i="7" s="1"/>
  <c r="AI242" i="7"/>
  <c r="AI250" i="7" s="1"/>
  <c r="AJ242" i="7"/>
  <c r="AJ250" i="7" s="1"/>
  <c r="AL242" i="7"/>
  <c r="AL250" i="7" s="1"/>
  <c r="AN242" i="7"/>
  <c r="AN250" i="7" s="1"/>
  <c r="AK242" i="7"/>
  <c r="AK250" i="7" s="1"/>
  <c r="AO242" i="7"/>
  <c r="AO250" i="7" s="1"/>
  <c r="AG242" i="7"/>
  <c r="AG250" i="7" s="1"/>
  <c r="T242" i="7"/>
  <c r="T250" i="7" s="1"/>
  <c r="P242" i="7"/>
  <c r="P250" i="7" s="1"/>
  <c r="AE242" i="7"/>
  <c r="AE250" i="7" s="1"/>
  <c r="N242" i="7"/>
  <c r="N250" i="7" s="1"/>
  <c r="Q242" i="7"/>
  <c r="Q250" i="7" s="1"/>
  <c r="S242" i="7"/>
  <c r="S250" i="7" s="1"/>
  <c r="O242" i="7"/>
  <c r="O250" i="7" s="1"/>
  <c r="U242" i="7"/>
  <c r="U250" i="7" s="1"/>
  <c r="M242" i="7"/>
  <c r="M250" i="7" s="1"/>
  <c r="Y242" i="7"/>
  <c r="Y250" i="7" s="1"/>
  <c r="X242" i="7"/>
  <c r="X250" i="7" s="1"/>
  <c r="L242" i="7"/>
  <c r="L250" i="7" s="1"/>
  <c r="V242" i="7"/>
  <c r="V250" i="7" s="1"/>
  <c r="I242" i="7"/>
  <c r="AD242" i="7"/>
  <c r="AD250" i="7" s="1"/>
  <c r="Z242" i="7"/>
  <c r="Z250" i="7" s="1"/>
  <c r="R242" i="7"/>
  <c r="R250" i="7" s="1"/>
  <c r="AB242" i="7"/>
  <c r="AB250" i="7" s="1"/>
  <c r="AF242" i="7"/>
  <c r="AF250" i="7" s="1"/>
  <c r="J242" i="7"/>
  <c r="J250" i="7" s="1"/>
  <c r="AC242" i="7"/>
  <c r="AC250" i="7" s="1"/>
  <c r="AA242" i="7"/>
  <c r="AA250" i="7" s="1"/>
  <c r="K242" i="7"/>
  <c r="K250" i="7" s="1"/>
  <c r="W242" i="7"/>
  <c r="W250" i="7" s="1"/>
  <c r="Z254" i="14"/>
  <c r="Z262" i="14" s="1"/>
  <c r="AH254" i="14"/>
  <c r="AH262" i="14" s="1"/>
  <c r="Q254" i="14"/>
  <c r="Q262" i="14" s="1"/>
  <c r="K254" i="14"/>
  <c r="K262" i="14" s="1"/>
  <c r="W254" i="14"/>
  <c r="W262" i="14" s="1"/>
  <c r="O254" i="14"/>
  <c r="O262" i="14" s="1"/>
  <c r="AC254" i="14"/>
  <c r="AC262" i="14" s="1"/>
  <c r="R254" i="14"/>
  <c r="R262" i="14" s="1"/>
  <c r="M254" i="14"/>
  <c r="M262" i="14" s="1"/>
  <c r="AA254" i="14"/>
  <c r="AA262" i="14" s="1"/>
  <c r="T254" i="14"/>
  <c r="T262" i="14" s="1"/>
  <c r="AM254" i="14"/>
  <c r="AM262" i="14" s="1"/>
  <c r="AL254" i="14"/>
  <c r="AL262" i="14" s="1"/>
  <c r="N254" i="14"/>
  <c r="N262" i="14" s="1"/>
  <c r="Y254" i="14"/>
  <c r="Y262" i="14" s="1"/>
  <c r="X254" i="14"/>
  <c r="X262" i="14" s="1"/>
  <c r="L254" i="14"/>
  <c r="L262" i="14" s="1"/>
  <c r="AF254" i="14"/>
  <c r="AF262" i="14" s="1"/>
  <c r="AK254" i="14"/>
  <c r="AK262" i="14" s="1"/>
  <c r="P254" i="14"/>
  <c r="P262" i="14" s="1"/>
  <c r="S254" i="14"/>
  <c r="S262" i="14" s="1"/>
  <c r="AD254" i="14"/>
  <c r="AD262" i="14" s="1"/>
  <c r="AO254" i="14"/>
  <c r="AO262" i="14" s="1"/>
  <c r="J254" i="14"/>
  <c r="J262" i="14" s="1"/>
  <c r="V254" i="14"/>
  <c r="V262" i="14" s="1"/>
  <c r="AI254" i="14"/>
  <c r="AI262" i="14" s="1"/>
  <c r="AE254" i="14"/>
  <c r="AE262" i="14" s="1"/>
  <c r="U254" i="14"/>
  <c r="U262" i="14" s="1"/>
  <c r="AB254" i="14"/>
  <c r="AB262" i="14" s="1"/>
  <c r="AN254" i="14"/>
  <c r="AN262" i="14" s="1"/>
  <c r="AJ254" i="14"/>
  <c r="AJ262" i="14" s="1"/>
  <c r="I254" i="14"/>
  <c r="AG254" i="14"/>
  <c r="AG262" i="14" s="1"/>
  <c r="AP254" i="14"/>
  <c r="AP262" i="14" s="1"/>
  <c r="I133" i="15"/>
  <c r="I141" i="15" s="1"/>
  <c r="K133" i="15"/>
  <c r="K141" i="15" s="1"/>
  <c r="U133" i="15"/>
  <c r="U141" i="15" s="1"/>
  <c r="AM133" i="15"/>
  <c r="AM141" i="15" s="1"/>
  <c r="Q133" i="15"/>
  <c r="Q141" i="15" s="1"/>
  <c r="AK133" i="15"/>
  <c r="AK141" i="15" s="1"/>
  <c r="AD133" i="15"/>
  <c r="AD141" i="15" s="1"/>
  <c r="AE133" i="15"/>
  <c r="AE141" i="15" s="1"/>
  <c r="Y133" i="15"/>
  <c r="Y141" i="15" s="1"/>
  <c r="AN133" i="15"/>
  <c r="AN141" i="15" s="1"/>
  <c r="AI133" i="15"/>
  <c r="AI141" i="15" s="1"/>
  <c r="AF133" i="15"/>
  <c r="AF141" i="15" s="1"/>
  <c r="AB133" i="15"/>
  <c r="AB141" i="15" s="1"/>
  <c r="AC133" i="15"/>
  <c r="AC141" i="15" s="1"/>
  <c r="V133" i="15"/>
  <c r="V141" i="15" s="1"/>
  <c r="AL133" i="15"/>
  <c r="AL141" i="15" s="1"/>
  <c r="T133" i="15"/>
  <c r="T141" i="15" s="1"/>
  <c r="L133" i="15"/>
  <c r="L141" i="15" s="1"/>
  <c r="X133" i="15"/>
  <c r="X141" i="15" s="1"/>
  <c r="AJ133" i="15"/>
  <c r="AJ141" i="15" s="1"/>
  <c r="P133" i="15"/>
  <c r="P141" i="15" s="1"/>
  <c r="AO133" i="15"/>
  <c r="AO141" i="15" s="1"/>
  <c r="O133" i="15"/>
  <c r="O141" i="15" s="1"/>
  <c r="R133" i="15"/>
  <c r="R141" i="15" s="1"/>
  <c r="W133" i="15"/>
  <c r="W141" i="15" s="1"/>
  <c r="AG133" i="15"/>
  <c r="AG141" i="15" s="1"/>
  <c r="N133" i="15"/>
  <c r="N141" i="15" s="1"/>
  <c r="AH133" i="15"/>
  <c r="AH141" i="15" s="1"/>
  <c r="S133" i="15"/>
  <c r="S141" i="15" s="1"/>
  <c r="AA133" i="15"/>
  <c r="AA141" i="15" s="1"/>
  <c r="M133" i="15"/>
  <c r="M141" i="15" s="1"/>
  <c r="J133" i="15"/>
  <c r="J141" i="15" s="1"/>
  <c r="Z133" i="15"/>
  <c r="Z141" i="15" s="1"/>
  <c r="AG226" i="16"/>
  <c r="AG234" i="16" s="1"/>
  <c r="AF226" i="16"/>
  <c r="AF234" i="16" s="1"/>
  <c r="R226" i="16"/>
  <c r="R234" i="16" s="1"/>
  <c r="AO226" i="16"/>
  <c r="AO234" i="16" s="1"/>
  <c r="T226" i="16"/>
  <c r="T234" i="16" s="1"/>
  <c r="AP491" i="16"/>
  <c r="AP499" i="16" s="1"/>
  <c r="AJ226" i="16"/>
  <c r="AJ234" i="16" s="1"/>
  <c r="AK226" i="16"/>
  <c r="AK234" i="16" s="1"/>
  <c r="AC226" i="16"/>
  <c r="AC234" i="16" s="1"/>
  <c r="AH226" i="16"/>
  <c r="AH234" i="16" s="1"/>
  <c r="S226" i="16"/>
  <c r="S234" i="16" s="1"/>
  <c r="AN226" i="16"/>
  <c r="AN234" i="16" s="1"/>
  <c r="AD226" i="16"/>
  <c r="AD234" i="16" s="1"/>
  <c r="AL226" i="16"/>
  <c r="AL234" i="16" s="1"/>
  <c r="AA226" i="16"/>
  <c r="AA234" i="16" s="1"/>
  <c r="AM226" i="16"/>
  <c r="AM234" i="16" s="1"/>
  <c r="AP226" i="16"/>
  <c r="AP234" i="16" s="1"/>
  <c r="I226" i="16"/>
  <c r="I234" i="16" s="1"/>
  <c r="X226" i="16"/>
  <c r="X234" i="16" s="1"/>
  <c r="AE226" i="16"/>
  <c r="AE234" i="16" s="1"/>
  <c r="O226" i="16"/>
  <c r="O234" i="16" s="1"/>
  <c r="AI226" i="16"/>
  <c r="AI234" i="16" s="1"/>
  <c r="N226" i="16"/>
  <c r="N234" i="16" s="1"/>
  <c r="L226" i="16"/>
  <c r="L234" i="16" s="1"/>
  <c r="M226" i="16"/>
  <c r="M234" i="16" s="1"/>
  <c r="Z226" i="16"/>
  <c r="Z234" i="16" s="1"/>
  <c r="AB226" i="16"/>
  <c r="AB234" i="16" s="1"/>
  <c r="Q226" i="16"/>
  <c r="Q234" i="16" s="1"/>
  <c r="U226" i="16"/>
  <c r="U234" i="16" s="1"/>
  <c r="W226" i="16"/>
  <c r="W234" i="16" s="1"/>
  <c r="P226" i="16"/>
  <c r="P234" i="16" s="1"/>
  <c r="J226" i="16"/>
  <c r="J234" i="16" s="1"/>
  <c r="K226" i="16"/>
  <c r="K234" i="16" s="1"/>
  <c r="V226" i="16"/>
  <c r="V234" i="16" s="1"/>
  <c r="Y226" i="16"/>
  <c r="Y234" i="16" s="1"/>
  <c r="AE399" i="14"/>
  <c r="AE407" i="14" s="1"/>
  <c r="AK399" i="14"/>
  <c r="AK407" i="14" s="1"/>
  <c r="AB399" i="14"/>
  <c r="AB407" i="14" s="1"/>
  <c r="Q399" i="14"/>
  <c r="Q407" i="14" s="1"/>
  <c r="AM399" i="14"/>
  <c r="AM407" i="14" s="1"/>
  <c r="X399" i="14"/>
  <c r="X407" i="14" s="1"/>
  <c r="AN399" i="14"/>
  <c r="AN407" i="14" s="1"/>
  <c r="AC399" i="14"/>
  <c r="AC407" i="14" s="1"/>
  <c r="M399" i="14"/>
  <c r="M407" i="14" s="1"/>
  <c r="K399" i="14"/>
  <c r="K407" i="14" s="1"/>
  <c r="AD399" i="14"/>
  <c r="AD407" i="14" s="1"/>
  <c r="P399" i="14"/>
  <c r="P407" i="14" s="1"/>
  <c r="AG399" i="14"/>
  <c r="AG407" i="14" s="1"/>
  <c r="U399" i="14"/>
  <c r="U407" i="14" s="1"/>
  <c r="L399" i="14"/>
  <c r="L407" i="14" s="1"/>
  <c r="V399" i="14"/>
  <c r="V407" i="14" s="1"/>
  <c r="Y399" i="14"/>
  <c r="Y407" i="14" s="1"/>
  <c r="T399" i="14"/>
  <c r="T407" i="14" s="1"/>
  <c r="AO399" i="14"/>
  <c r="AO407" i="14" s="1"/>
  <c r="S399" i="14"/>
  <c r="S407" i="14" s="1"/>
  <c r="AF399" i="14"/>
  <c r="AF407" i="14" s="1"/>
  <c r="AH399" i="14"/>
  <c r="AH407" i="14" s="1"/>
  <c r="AA399" i="14"/>
  <c r="AA407" i="14" s="1"/>
  <c r="O399" i="14"/>
  <c r="O407" i="14" s="1"/>
  <c r="AJ399" i="14"/>
  <c r="AJ407" i="14" s="1"/>
  <c r="AI399" i="14"/>
  <c r="AI407" i="14" s="1"/>
  <c r="N399" i="14"/>
  <c r="N407" i="14" s="1"/>
  <c r="R399" i="14"/>
  <c r="R407" i="14" s="1"/>
  <c r="AL399" i="14"/>
  <c r="AL407" i="14" s="1"/>
  <c r="AP399" i="14"/>
  <c r="AP407" i="14" s="1"/>
  <c r="J399" i="14"/>
  <c r="J407" i="14" s="1"/>
  <c r="Z399" i="14"/>
  <c r="Z407" i="14" s="1"/>
  <c r="W399" i="14"/>
  <c r="W407" i="14" s="1"/>
  <c r="I399" i="14"/>
  <c r="F564" i="15"/>
  <c r="F449" i="15"/>
  <c r="AO253" i="14"/>
  <c r="AO261" i="14" s="1"/>
  <c r="AI253" i="14"/>
  <c r="AI261" i="14" s="1"/>
  <c r="AN253" i="14"/>
  <c r="AN261" i="14" s="1"/>
  <c r="AK253" i="14"/>
  <c r="AK261" i="14" s="1"/>
  <c r="AJ253" i="14"/>
  <c r="AJ261" i="14" s="1"/>
  <c r="AH253" i="14"/>
  <c r="AH261" i="14" s="1"/>
  <c r="AL253" i="14"/>
  <c r="AL261" i="14" s="1"/>
  <c r="AM253" i="14"/>
  <c r="AM261" i="14" s="1"/>
  <c r="AP253" i="14"/>
  <c r="AP261" i="14" s="1"/>
  <c r="W253" i="14"/>
  <c r="W261" i="14" s="1"/>
  <c r="N253" i="14"/>
  <c r="N261" i="14" s="1"/>
  <c r="AC253" i="14"/>
  <c r="AC261" i="14" s="1"/>
  <c r="L253" i="14"/>
  <c r="L261" i="14" s="1"/>
  <c r="S253" i="14"/>
  <c r="S261" i="14" s="1"/>
  <c r="U253" i="14"/>
  <c r="U261" i="14" s="1"/>
  <c r="I253" i="14"/>
  <c r="I261" i="14" s="1"/>
  <c r="Q253" i="14"/>
  <c r="Q261" i="14" s="1"/>
  <c r="Y253" i="14"/>
  <c r="Y261" i="14" s="1"/>
  <c r="R253" i="14"/>
  <c r="R261" i="14" s="1"/>
  <c r="AD253" i="14"/>
  <c r="AD261" i="14" s="1"/>
  <c r="M253" i="14"/>
  <c r="M261" i="14" s="1"/>
  <c r="P253" i="14"/>
  <c r="P261" i="14" s="1"/>
  <c r="O253" i="14"/>
  <c r="O261" i="14" s="1"/>
  <c r="J253" i="14"/>
  <c r="J261" i="14" s="1"/>
  <c r="AB253" i="14"/>
  <c r="AB261" i="14" s="1"/>
  <c r="K253" i="14"/>
  <c r="K261" i="14" s="1"/>
  <c r="Z253" i="14"/>
  <c r="Z261" i="14" s="1"/>
  <c r="AA253" i="14"/>
  <c r="AA261" i="14" s="1"/>
  <c r="V253" i="14"/>
  <c r="V261" i="14" s="1"/>
  <c r="X253" i="14"/>
  <c r="X261" i="14" s="1"/>
  <c r="AF253" i="14"/>
  <c r="AF261" i="14" s="1"/>
  <c r="AG253" i="14"/>
  <c r="AG261" i="14" s="1"/>
  <c r="AE253" i="14"/>
  <c r="AE261" i="14" s="1"/>
  <c r="T253" i="14"/>
  <c r="T261" i="14" s="1"/>
  <c r="K73" i="8"/>
  <c r="K81" i="8" s="1"/>
  <c r="AC73" i="8"/>
  <c r="AC81" i="8" s="1"/>
  <c r="AI73" i="8"/>
  <c r="AI81" i="8" s="1"/>
  <c r="AD73" i="8"/>
  <c r="AD81" i="8" s="1"/>
  <c r="AN73" i="8"/>
  <c r="AN81" i="8" s="1"/>
  <c r="AK73" i="8"/>
  <c r="AK81" i="8" s="1"/>
  <c r="AG73" i="8"/>
  <c r="AG81" i="8" s="1"/>
  <c r="AF73" i="8"/>
  <c r="AF81" i="8" s="1"/>
  <c r="AM73" i="8"/>
  <c r="AM81" i="8" s="1"/>
  <c r="AO73" i="8"/>
  <c r="AO81" i="8" s="1"/>
  <c r="AE73" i="8"/>
  <c r="AE81" i="8" s="1"/>
  <c r="AH73" i="8"/>
  <c r="AH81" i="8" s="1"/>
  <c r="AJ73" i="8"/>
  <c r="AJ81" i="8" s="1"/>
  <c r="AL73" i="8"/>
  <c r="AL81" i="8" s="1"/>
  <c r="Z73" i="8"/>
  <c r="Z81" i="8" s="1"/>
  <c r="N73" i="8"/>
  <c r="N81" i="8" s="1"/>
  <c r="I73" i="8"/>
  <c r="AA73" i="8"/>
  <c r="AA81" i="8" s="1"/>
  <c r="W73" i="8"/>
  <c r="W81" i="8" s="1"/>
  <c r="S73" i="8"/>
  <c r="S81" i="8" s="1"/>
  <c r="U73" i="8"/>
  <c r="U81" i="8" s="1"/>
  <c r="R73" i="8"/>
  <c r="R81" i="8" s="1"/>
  <c r="X73" i="8"/>
  <c r="X81" i="8" s="1"/>
  <c r="T73" i="8"/>
  <c r="T81" i="8" s="1"/>
  <c r="Q73" i="8"/>
  <c r="Q81" i="8" s="1"/>
  <c r="AB73" i="8"/>
  <c r="AB81" i="8" s="1"/>
  <c r="Y73" i="8"/>
  <c r="Y81" i="8" s="1"/>
  <c r="V73" i="8"/>
  <c r="V81" i="8" s="1"/>
  <c r="P73" i="8"/>
  <c r="P81" i="8" s="1"/>
  <c r="O73" i="8"/>
  <c r="O81" i="8" s="1"/>
  <c r="L73" i="8"/>
  <c r="L81" i="8" s="1"/>
  <c r="J73" i="8"/>
  <c r="J81" i="8" s="1"/>
  <c r="M73" i="8"/>
  <c r="M81" i="8" s="1"/>
  <c r="AH885" i="15"/>
  <c r="AH893" i="15" s="1"/>
  <c r="O885" i="15"/>
  <c r="O893" i="15" s="1"/>
  <c r="V885" i="15"/>
  <c r="V893" i="15" s="1"/>
  <c r="L885" i="15"/>
  <c r="L893" i="15" s="1"/>
  <c r="AA885" i="15"/>
  <c r="AA893" i="15" s="1"/>
  <c r="I885" i="15"/>
  <c r="I893" i="15" s="1"/>
  <c r="S885" i="15"/>
  <c r="S893" i="15" s="1"/>
  <c r="AC885" i="15"/>
  <c r="AC893" i="15" s="1"/>
  <c r="AI885" i="15"/>
  <c r="AI893" i="15" s="1"/>
  <c r="AG885" i="15"/>
  <c r="AG893" i="15" s="1"/>
  <c r="Y885" i="15"/>
  <c r="Y893" i="15" s="1"/>
  <c r="AN885" i="15"/>
  <c r="AN893" i="15" s="1"/>
  <c r="P885" i="15"/>
  <c r="P893" i="15" s="1"/>
  <c r="AF885" i="15"/>
  <c r="AF893" i="15" s="1"/>
  <c r="AM885" i="15"/>
  <c r="AM893" i="15" s="1"/>
  <c r="AE885" i="15"/>
  <c r="AE893" i="15" s="1"/>
  <c r="M885" i="15"/>
  <c r="M893" i="15" s="1"/>
  <c r="AJ885" i="15"/>
  <c r="AJ893" i="15" s="1"/>
  <c r="AO885" i="15"/>
  <c r="AO893" i="15" s="1"/>
  <c r="Q885" i="15"/>
  <c r="Q893" i="15" s="1"/>
  <c r="K885" i="15"/>
  <c r="K893" i="15" s="1"/>
  <c r="W885" i="15"/>
  <c r="W893" i="15" s="1"/>
  <c r="R885" i="15"/>
  <c r="R893" i="15" s="1"/>
  <c r="U885" i="15"/>
  <c r="U893" i="15" s="1"/>
  <c r="Z885" i="15"/>
  <c r="Z893" i="15" s="1"/>
  <c r="T885" i="15"/>
  <c r="T893" i="15" s="1"/>
  <c r="N885" i="15"/>
  <c r="N893" i="15" s="1"/>
  <c r="AK885" i="15"/>
  <c r="AK893" i="15" s="1"/>
  <c r="J885" i="15"/>
  <c r="J893" i="15" s="1"/>
  <c r="AL885" i="15"/>
  <c r="AL893" i="15" s="1"/>
  <c r="AB885" i="15"/>
  <c r="AB893" i="15" s="1"/>
  <c r="X885" i="15"/>
  <c r="X893" i="15" s="1"/>
  <c r="AD885" i="15"/>
  <c r="AD893" i="15" s="1"/>
  <c r="M759" i="16"/>
  <c r="M767" i="16" s="1"/>
  <c r="AF759" i="16"/>
  <c r="AF767" i="16" s="1"/>
  <c r="J759" i="16"/>
  <c r="J767" i="16" s="1"/>
  <c r="AK759" i="16"/>
  <c r="AK767" i="16" s="1"/>
  <c r="AL759" i="16"/>
  <c r="AL767" i="16" s="1"/>
  <c r="P759" i="16"/>
  <c r="P767" i="16" s="1"/>
  <c r="AG759" i="16"/>
  <c r="AG767" i="16" s="1"/>
  <c r="N759" i="16"/>
  <c r="N767" i="16" s="1"/>
  <c r="AH759" i="16"/>
  <c r="AH767" i="16" s="1"/>
  <c r="AM759" i="16"/>
  <c r="AM767" i="16" s="1"/>
  <c r="AD759" i="16"/>
  <c r="AD767" i="16" s="1"/>
  <c r="X759" i="16"/>
  <c r="X767" i="16" s="1"/>
  <c r="AN759" i="16"/>
  <c r="AN767" i="16" s="1"/>
  <c r="Q759" i="16"/>
  <c r="Q767" i="16" s="1"/>
  <c r="Y759" i="16"/>
  <c r="Y767" i="16" s="1"/>
  <c r="R759" i="16"/>
  <c r="R767" i="16" s="1"/>
  <c r="AP759" i="16"/>
  <c r="AP767" i="16" s="1"/>
  <c r="AC759" i="16"/>
  <c r="AC767" i="16" s="1"/>
  <c r="L759" i="16"/>
  <c r="L767" i="16" s="1"/>
  <c r="AI759" i="16"/>
  <c r="AI767" i="16" s="1"/>
  <c r="O759" i="16"/>
  <c r="O767" i="16" s="1"/>
  <c r="AQ759" i="16"/>
  <c r="U759" i="16"/>
  <c r="U767" i="16" s="1"/>
  <c r="K759" i="16"/>
  <c r="K767" i="16" s="1"/>
  <c r="V759" i="16"/>
  <c r="V767" i="16" s="1"/>
  <c r="Z759" i="16"/>
  <c r="Z767" i="16" s="1"/>
  <c r="AO759" i="16"/>
  <c r="AO767" i="16" s="1"/>
  <c r="T759" i="16"/>
  <c r="T767" i="16" s="1"/>
  <c r="AA759" i="16"/>
  <c r="AA767" i="16" s="1"/>
  <c r="S759" i="16"/>
  <c r="S767" i="16" s="1"/>
  <c r="AJ759" i="16"/>
  <c r="AJ767" i="16" s="1"/>
  <c r="W759" i="16"/>
  <c r="W767" i="16" s="1"/>
  <c r="AB759" i="16"/>
  <c r="AB767" i="16" s="1"/>
  <c r="I759" i="16"/>
  <c r="I767" i="16" s="1"/>
  <c r="AE759" i="16"/>
  <c r="AE767" i="16" s="1"/>
  <c r="P491" i="16"/>
  <c r="P499" i="16" s="1"/>
  <c r="Y491" i="16"/>
  <c r="Y499" i="16" s="1"/>
  <c r="AD491" i="16"/>
  <c r="AD499" i="16" s="1"/>
  <c r="AI491" i="16"/>
  <c r="AI499" i="16" s="1"/>
  <c r="I491" i="16"/>
  <c r="I499" i="16" s="1"/>
  <c r="AB491" i="16"/>
  <c r="AB499" i="16" s="1"/>
  <c r="M491" i="16"/>
  <c r="M499" i="16" s="1"/>
  <c r="AH491" i="16"/>
  <c r="AH499" i="16" s="1"/>
  <c r="K491" i="16"/>
  <c r="K499" i="16" s="1"/>
  <c r="U491" i="16"/>
  <c r="U499" i="16" s="1"/>
  <c r="R491" i="16"/>
  <c r="R499" i="16" s="1"/>
  <c r="V491" i="16"/>
  <c r="V499" i="16" s="1"/>
  <c r="S491" i="16"/>
  <c r="S499" i="16" s="1"/>
  <c r="W491" i="16"/>
  <c r="W499" i="16" s="1"/>
  <c r="AG491" i="16"/>
  <c r="AG499" i="16" s="1"/>
  <c r="AJ491" i="16"/>
  <c r="AJ499" i="16" s="1"/>
  <c r="J491" i="16"/>
  <c r="J499" i="16" s="1"/>
  <c r="AL491" i="16"/>
  <c r="AL499" i="16" s="1"/>
  <c r="O491" i="16"/>
  <c r="O499" i="16" s="1"/>
  <c r="AO491" i="16"/>
  <c r="AO499" i="16" s="1"/>
  <c r="X491" i="16"/>
  <c r="X499" i="16" s="1"/>
  <c r="AC491" i="16"/>
  <c r="AC499" i="16" s="1"/>
  <c r="Z491" i="16"/>
  <c r="Z499" i="16" s="1"/>
  <c r="N491" i="16"/>
  <c r="N499" i="16" s="1"/>
  <c r="AF491" i="16"/>
  <c r="AF499" i="16" s="1"/>
  <c r="AM491" i="16"/>
  <c r="AM499" i="16" s="1"/>
  <c r="Q491" i="16"/>
  <c r="Q499" i="16" s="1"/>
  <c r="AK491" i="16"/>
  <c r="AK499" i="16" s="1"/>
  <c r="T491" i="16"/>
  <c r="T499" i="16" s="1"/>
  <c r="AN491" i="16"/>
  <c r="AN499" i="16" s="1"/>
  <c r="L491" i="16"/>
  <c r="L499" i="16" s="1"/>
  <c r="AA491" i="16"/>
  <c r="AA499" i="16" s="1"/>
  <c r="AE491" i="16"/>
  <c r="AE499" i="16" s="1"/>
  <c r="S68" i="7"/>
  <c r="S76" i="7" s="1"/>
  <c r="U68" i="7"/>
  <c r="U76" i="7" s="1"/>
  <c r="M68" i="7"/>
  <c r="M76" i="7" s="1"/>
  <c r="O68" i="7"/>
  <c r="O76" i="7" s="1"/>
  <c r="J68" i="7"/>
  <c r="J76" i="7" s="1"/>
  <c r="Q68" i="7"/>
  <c r="Q76" i="7" s="1"/>
  <c r="AB68" i="7"/>
  <c r="AB76" i="7" s="1"/>
  <c r="V68" i="7"/>
  <c r="V76" i="7" s="1"/>
  <c r="I68" i="7"/>
  <c r="I76" i="7" s="1"/>
  <c r="Y68" i="7"/>
  <c r="Y76" i="7" s="1"/>
  <c r="T68" i="7"/>
  <c r="T76" i="7" s="1"/>
  <c r="K68" i="7"/>
  <c r="K76" i="7" s="1"/>
  <c r="P68" i="7"/>
  <c r="P76" i="7" s="1"/>
  <c r="W68" i="7"/>
  <c r="W76" i="7" s="1"/>
  <c r="Z68" i="7"/>
  <c r="Z76" i="7" s="1"/>
  <c r="AA68" i="7"/>
  <c r="AA76" i="7" s="1"/>
  <c r="X68" i="7"/>
  <c r="X76" i="7" s="1"/>
  <c r="N68" i="7"/>
  <c r="N76" i="7" s="1"/>
  <c r="L68" i="7"/>
  <c r="L76" i="7" s="1"/>
  <c r="R68" i="7"/>
  <c r="R76" i="7" s="1"/>
  <c r="Y404" i="14"/>
  <c r="Y412" i="14" s="1"/>
  <c r="O404" i="14"/>
  <c r="O412" i="14" s="1"/>
  <c r="V404" i="14"/>
  <c r="V412" i="14" s="1"/>
  <c r="U404" i="14"/>
  <c r="U412" i="14" s="1"/>
  <c r="AB404" i="14"/>
  <c r="AB412" i="14" s="1"/>
  <c r="T404" i="14"/>
  <c r="T412" i="14" s="1"/>
  <c r="AP404" i="14"/>
  <c r="AP412" i="14" s="1"/>
  <c r="AO404" i="14"/>
  <c r="AO412" i="14" s="1"/>
  <c r="AN404" i="14"/>
  <c r="AN412" i="14" s="1"/>
  <c r="AF404" i="14"/>
  <c r="AF412" i="14" s="1"/>
  <c r="AG404" i="14"/>
  <c r="AG412" i="14" s="1"/>
  <c r="W404" i="14"/>
  <c r="W412" i="14" s="1"/>
  <c r="AA404" i="14"/>
  <c r="AA412" i="14" s="1"/>
  <c r="X404" i="14"/>
  <c r="X412" i="14" s="1"/>
  <c r="I404" i="14"/>
  <c r="I412" i="14" s="1"/>
  <c r="AJ404" i="14"/>
  <c r="AJ412" i="14" s="1"/>
  <c r="AD404" i="14"/>
  <c r="AD412" i="14" s="1"/>
  <c r="AI404" i="14"/>
  <c r="AI412" i="14" s="1"/>
  <c r="AK404" i="14"/>
  <c r="AK412" i="14" s="1"/>
  <c r="R404" i="14"/>
  <c r="R412" i="14" s="1"/>
  <c r="AE404" i="14"/>
  <c r="AE412" i="14" s="1"/>
  <c r="AC404" i="14"/>
  <c r="AC412" i="14" s="1"/>
  <c r="AL404" i="14"/>
  <c r="AL412" i="14" s="1"/>
  <c r="L404" i="14"/>
  <c r="L412" i="14" s="1"/>
  <c r="S404" i="14"/>
  <c r="S412" i="14" s="1"/>
  <c r="J404" i="14"/>
  <c r="J412" i="14" s="1"/>
  <c r="Q404" i="14"/>
  <c r="Q412" i="14" s="1"/>
  <c r="P404" i="14"/>
  <c r="P412" i="14" s="1"/>
  <c r="K404" i="14"/>
  <c r="K412" i="14" s="1"/>
  <c r="Z404" i="14"/>
  <c r="Z412" i="14" s="1"/>
  <c r="M404" i="14"/>
  <c r="M412" i="14" s="1"/>
  <c r="AM404" i="14"/>
  <c r="AM412" i="14" s="1"/>
  <c r="N404" i="14"/>
  <c r="N412" i="14" s="1"/>
  <c r="AH404" i="14"/>
  <c r="AH412" i="14" s="1"/>
  <c r="AD68" i="8"/>
  <c r="AD76" i="8" s="1"/>
  <c r="AM68" i="8"/>
  <c r="AM76" i="8" s="1"/>
  <c r="AE68" i="8"/>
  <c r="AE76" i="8" s="1"/>
  <c r="AO68" i="8"/>
  <c r="AO76" i="8" s="1"/>
  <c r="AK68" i="8"/>
  <c r="AK76" i="8" s="1"/>
  <c r="AI68" i="8"/>
  <c r="AI76" i="8" s="1"/>
  <c r="AH68" i="8"/>
  <c r="AH76" i="8" s="1"/>
  <c r="AN68" i="8"/>
  <c r="AN76" i="8" s="1"/>
  <c r="AL68" i="8"/>
  <c r="AL76" i="8" s="1"/>
  <c r="AJ68" i="8"/>
  <c r="AJ76" i="8" s="1"/>
  <c r="AF68" i="8"/>
  <c r="AF76" i="8" s="1"/>
  <c r="AC68" i="8"/>
  <c r="AC76" i="8" s="1"/>
  <c r="AG68" i="8"/>
  <c r="AG76" i="8" s="1"/>
  <c r="K68" i="8"/>
  <c r="K76" i="8" s="1"/>
  <c r="R68" i="8"/>
  <c r="R76" i="8" s="1"/>
  <c r="N68" i="8"/>
  <c r="N76" i="8" s="1"/>
  <c r="AA68" i="8"/>
  <c r="AA76" i="8" s="1"/>
  <c r="W68" i="8"/>
  <c r="W76" i="8" s="1"/>
  <c r="Y68" i="8"/>
  <c r="Y76" i="8" s="1"/>
  <c r="O68" i="8"/>
  <c r="O76" i="8" s="1"/>
  <c r="AB68" i="8"/>
  <c r="AB76" i="8" s="1"/>
  <c r="X68" i="8"/>
  <c r="X76" i="8" s="1"/>
  <c r="Q68" i="8"/>
  <c r="Q76" i="8" s="1"/>
  <c r="Z68" i="8"/>
  <c r="Z76" i="8" s="1"/>
  <c r="V68" i="8"/>
  <c r="V76" i="8" s="1"/>
  <c r="P68" i="8"/>
  <c r="P76" i="8" s="1"/>
  <c r="T68" i="8"/>
  <c r="T76" i="8" s="1"/>
  <c r="M68" i="8"/>
  <c r="M76" i="8" s="1"/>
  <c r="S68" i="8"/>
  <c r="S76" i="8" s="1"/>
  <c r="U68" i="8"/>
  <c r="U76" i="8" s="1"/>
  <c r="L68" i="8"/>
  <c r="L76" i="8" s="1"/>
  <c r="I68" i="8"/>
  <c r="J68" i="8"/>
  <c r="J76" i="8" s="1"/>
  <c r="AI596" i="15"/>
  <c r="AI604" i="15" s="1"/>
  <c r="X596" i="15"/>
  <c r="X604" i="15" s="1"/>
  <c r="M596" i="15"/>
  <c r="M604" i="15" s="1"/>
  <c r="V596" i="15"/>
  <c r="V604" i="15" s="1"/>
  <c r="Q596" i="15"/>
  <c r="Q604" i="15" s="1"/>
  <c r="AE596" i="15"/>
  <c r="AE604" i="15" s="1"/>
  <c r="AL596" i="15"/>
  <c r="AL604" i="15" s="1"/>
  <c r="AN596" i="15"/>
  <c r="AN604" i="15" s="1"/>
  <c r="J596" i="15"/>
  <c r="J604" i="15" s="1"/>
  <c r="AK596" i="15"/>
  <c r="AK604" i="15" s="1"/>
  <c r="I596" i="15"/>
  <c r="I604" i="15" s="1"/>
  <c r="W596" i="15"/>
  <c r="W604" i="15" s="1"/>
  <c r="AA596" i="15"/>
  <c r="AA604" i="15" s="1"/>
  <c r="R596" i="15"/>
  <c r="R604" i="15" s="1"/>
  <c r="AF596" i="15"/>
  <c r="AF604" i="15" s="1"/>
  <c r="L596" i="15"/>
  <c r="L604" i="15" s="1"/>
  <c r="AG596" i="15"/>
  <c r="AG604" i="15" s="1"/>
  <c r="U596" i="15"/>
  <c r="U604" i="15" s="1"/>
  <c r="AP596" i="15"/>
  <c r="AP604" i="15" s="1"/>
  <c r="T596" i="15"/>
  <c r="T604" i="15" s="1"/>
  <c r="AM596" i="15"/>
  <c r="AM604" i="15" s="1"/>
  <c r="AO596" i="15"/>
  <c r="AO604" i="15" s="1"/>
  <c r="AJ596" i="15"/>
  <c r="AJ604" i="15" s="1"/>
  <c r="N596" i="15"/>
  <c r="N604" i="15" s="1"/>
  <c r="AB596" i="15"/>
  <c r="AB604" i="15" s="1"/>
  <c r="S596" i="15"/>
  <c r="S604" i="15" s="1"/>
  <c r="AH596" i="15"/>
  <c r="AH604" i="15" s="1"/>
  <c r="P596" i="15"/>
  <c r="P604" i="15" s="1"/>
  <c r="AC596" i="15"/>
  <c r="AC604" i="15" s="1"/>
  <c r="K596" i="15"/>
  <c r="K604" i="15" s="1"/>
  <c r="Y596" i="15"/>
  <c r="Y604" i="15" s="1"/>
  <c r="O596" i="15"/>
  <c r="O604" i="15" s="1"/>
  <c r="AD596" i="15"/>
  <c r="AD604" i="15" s="1"/>
  <c r="Z596" i="15"/>
  <c r="Z604" i="15" s="1"/>
  <c r="AI111" i="14"/>
  <c r="AI119" i="14" s="1"/>
  <c r="AH111" i="14"/>
  <c r="AH119" i="14" s="1"/>
  <c r="AP111" i="14"/>
  <c r="AP119" i="14" s="1"/>
  <c r="AM111" i="14"/>
  <c r="AM119" i="14" s="1"/>
  <c r="AO111" i="14"/>
  <c r="AO119" i="14" s="1"/>
  <c r="AK111" i="14"/>
  <c r="AK119" i="14" s="1"/>
  <c r="AN111" i="14"/>
  <c r="AN119" i="14" s="1"/>
  <c r="AJ111" i="14"/>
  <c r="AJ119" i="14" s="1"/>
  <c r="AL111" i="14"/>
  <c r="AL119" i="14" s="1"/>
  <c r="AB111" i="14"/>
  <c r="AB119" i="14" s="1"/>
  <c r="AD111" i="14"/>
  <c r="AD119" i="14" s="1"/>
  <c r="K111" i="14"/>
  <c r="K119" i="14" s="1"/>
  <c r="T111" i="14"/>
  <c r="T119" i="14" s="1"/>
  <c r="N111" i="14"/>
  <c r="N119" i="14" s="1"/>
  <c r="AA111" i="14"/>
  <c r="AA119" i="14" s="1"/>
  <c r="L111" i="14"/>
  <c r="L119" i="14" s="1"/>
  <c r="S111" i="14"/>
  <c r="S119" i="14" s="1"/>
  <c r="Y111" i="14"/>
  <c r="Y119" i="14" s="1"/>
  <c r="AE111" i="14"/>
  <c r="AE119" i="14" s="1"/>
  <c r="Q111" i="14"/>
  <c r="Q119" i="14" s="1"/>
  <c r="M111" i="14"/>
  <c r="M119" i="14" s="1"/>
  <c r="P111" i="14"/>
  <c r="P119" i="14" s="1"/>
  <c r="Z111" i="14"/>
  <c r="Z119" i="14" s="1"/>
  <c r="U111" i="14"/>
  <c r="U119" i="14" s="1"/>
  <c r="R111" i="14"/>
  <c r="R119" i="14" s="1"/>
  <c r="O111" i="14"/>
  <c r="O119" i="14" s="1"/>
  <c r="J111" i="14"/>
  <c r="J119" i="14" s="1"/>
  <c r="AC111" i="14"/>
  <c r="AC119" i="14" s="1"/>
  <c r="AG111" i="14"/>
  <c r="AG119" i="14" s="1"/>
  <c r="W111" i="14"/>
  <c r="W119" i="14" s="1"/>
  <c r="I111" i="14"/>
  <c r="I119" i="14" s="1"/>
  <c r="AF111" i="14"/>
  <c r="AF119" i="14" s="1"/>
  <c r="X111" i="14"/>
  <c r="X119" i="14" s="1"/>
  <c r="V111" i="14"/>
  <c r="V119" i="14" s="1"/>
  <c r="AK88" i="14"/>
  <c r="AK96" i="14" s="1"/>
  <c r="AH88" i="14"/>
  <c r="AH96" i="14" s="1"/>
  <c r="AJ88" i="14"/>
  <c r="AJ96" i="14" s="1"/>
  <c r="AM88" i="14"/>
  <c r="AM96" i="14" s="1"/>
  <c r="AL88" i="14"/>
  <c r="AL96" i="14" s="1"/>
  <c r="AO88" i="14"/>
  <c r="AO96" i="14" s="1"/>
  <c r="AI88" i="14"/>
  <c r="AI96" i="14" s="1"/>
  <c r="AF88" i="14"/>
  <c r="AF96" i="14" s="1"/>
  <c r="AC88" i="14"/>
  <c r="AC96" i="14" s="1"/>
  <c r="AD88" i="14"/>
  <c r="AD96" i="14" s="1"/>
  <c r="AG88" i="14"/>
  <c r="AG96" i="14" s="1"/>
  <c r="AE88" i="14"/>
  <c r="AE96" i="14" s="1"/>
  <c r="AN88" i="14"/>
  <c r="AN96" i="14" s="1"/>
  <c r="V88" i="14"/>
  <c r="V96" i="14" s="1"/>
  <c r="N88" i="14"/>
  <c r="N96" i="14" s="1"/>
  <c r="R88" i="14"/>
  <c r="R96" i="14" s="1"/>
  <c r="L88" i="14"/>
  <c r="L96" i="14" s="1"/>
  <c r="Q88" i="14"/>
  <c r="Q96" i="14" s="1"/>
  <c r="Z88" i="14"/>
  <c r="Z96" i="14" s="1"/>
  <c r="J88" i="14"/>
  <c r="J96" i="14" s="1"/>
  <c r="T88" i="14"/>
  <c r="T96" i="14" s="1"/>
  <c r="K88" i="14"/>
  <c r="K96" i="14" s="1"/>
  <c r="M88" i="14"/>
  <c r="M96" i="14" s="1"/>
  <c r="W88" i="14"/>
  <c r="W96" i="14" s="1"/>
  <c r="Y88" i="14"/>
  <c r="Y96" i="14" s="1"/>
  <c r="AA88" i="14"/>
  <c r="AA96" i="14" s="1"/>
  <c r="O88" i="14"/>
  <c r="O96" i="14" s="1"/>
  <c r="S88" i="14"/>
  <c r="S96" i="14" s="1"/>
  <c r="X88" i="14"/>
  <c r="X96" i="14" s="1"/>
  <c r="AB88" i="14"/>
  <c r="AB96" i="14" s="1"/>
  <c r="I88" i="14"/>
  <c r="I96" i="14" s="1"/>
  <c r="U88" i="14"/>
  <c r="U96" i="14" s="1"/>
  <c r="P88" i="14"/>
  <c r="P96" i="14" s="1"/>
  <c r="AJ275" i="15"/>
  <c r="AJ283" i="15" s="1"/>
  <c r="AC275" i="15"/>
  <c r="AC283" i="15" s="1"/>
  <c r="AO275" i="15"/>
  <c r="AO283" i="15" s="1"/>
  <c r="AN275" i="15"/>
  <c r="AN283" i="15" s="1"/>
  <c r="AP275" i="15"/>
  <c r="AP283" i="15" s="1"/>
  <c r="AI275" i="15"/>
  <c r="AI283" i="15" s="1"/>
  <c r="AD275" i="15"/>
  <c r="AD283" i="15" s="1"/>
  <c r="AF275" i="15"/>
  <c r="AF283" i="15" s="1"/>
  <c r="AK275" i="15"/>
  <c r="AK283" i="15" s="1"/>
  <c r="AG275" i="15"/>
  <c r="AG283" i="15" s="1"/>
  <c r="AE275" i="15"/>
  <c r="AE283" i="15" s="1"/>
  <c r="AM275" i="15"/>
  <c r="AM283" i="15" s="1"/>
  <c r="AL275" i="15"/>
  <c r="AL283" i="15" s="1"/>
  <c r="AH275" i="15"/>
  <c r="AH283" i="15" s="1"/>
  <c r="AB275" i="15"/>
  <c r="AB283" i="15" s="1"/>
  <c r="V275" i="15"/>
  <c r="V283" i="15" s="1"/>
  <c r="O275" i="15"/>
  <c r="O283" i="15" s="1"/>
  <c r="K275" i="15"/>
  <c r="K283" i="15" s="1"/>
  <c r="I275" i="15"/>
  <c r="I283" i="15" s="1"/>
  <c r="U275" i="15"/>
  <c r="U283" i="15" s="1"/>
  <c r="J275" i="15"/>
  <c r="J283" i="15" s="1"/>
  <c r="R275" i="15"/>
  <c r="R283" i="15" s="1"/>
  <c r="Q275" i="15"/>
  <c r="Q283" i="15" s="1"/>
  <c r="P275" i="15"/>
  <c r="P283" i="15" s="1"/>
  <c r="Y275" i="15"/>
  <c r="Y283" i="15" s="1"/>
  <c r="L275" i="15"/>
  <c r="L283" i="15" s="1"/>
  <c r="M275" i="15"/>
  <c r="M283" i="15" s="1"/>
  <c r="N275" i="15"/>
  <c r="N283" i="15" s="1"/>
  <c r="X275" i="15"/>
  <c r="X283" i="15" s="1"/>
  <c r="T275" i="15"/>
  <c r="T283" i="15" s="1"/>
  <c r="AA275" i="15"/>
  <c r="AA283" i="15" s="1"/>
  <c r="W275" i="15"/>
  <c r="W283" i="15" s="1"/>
  <c r="Z275" i="15"/>
  <c r="Z283" i="15" s="1"/>
  <c r="S275" i="15"/>
  <c r="S283" i="15" s="1"/>
  <c r="AI130" i="15"/>
  <c r="AI138" i="15" s="1"/>
  <c r="Y130" i="15"/>
  <c r="Y138" i="15" s="1"/>
  <c r="Q130" i="15"/>
  <c r="Q138" i="15" s="1"/>
  <c r="AM130" i="15"/>
  <c r="AM138" i="15" s="1"/>
  <c r="AA130" i="15"/>
  <c r="AA138" i="15" s="1"/>
  <c r="AB130" i="15"/>
  <c r="AB138" i="15" s="1"/>
  <c r="AH130" i="15"/>
  <c r="AH138" i="15" s="1"/>
  <c r="V130" i="15"/>
  <c r="V138" i="15" s="1"/>
  <c r="W130" i="15"/>
  <c r="W138" i="15" s="1"/>
  <c r="Z130" i="15"/>
  <c r="Z138" i="15" s="1"/>
  <c r="AN130" i="15"/>
  <c r="AN138" i="15" s="1"/>
  <c r="N130" i="15"/>
  <c r="N138" i="15" s="1"/>
  <c r="AK130" i="15"/>
  <c r="AK138" i="15" s="1"/>
  <c r="AC130" i="15"/>
  <c r="AC138" i="15" s="1"/>
  <c r="AJ130" i="15"/>
  <c r="AJ138" i="15" s="1"/>
  <c r="L130" i="15"/>
  <c r="L138" i="15" s="1"/>
  <c r="I130" i="15"/>
  <c r="I138" i="15" s="1"/>
  <c r="X130" i="15"/>
  <c r="X138" i="15" s="1"/>
  <c r="AD130" i="15"/>
  <c r="AD138" i="15" s="1"/>
  <c r="P130" i="15"/>
  <c r="P138" i="15" s="1"/>
  <c r="K130" i="15"/>
  <c r="K138" i="15" s="1"/>
  <c r="R130" i="15"/>
  <c r="R138" i="15" s="1"/>
  <c r="J130" i="15"/>
  <c r="J138" i="15" s="1"/>
  <c r="AL130" i="15"/>
  <c r="AL138" i="15" s="1"/>
  <c r="U130" i="15"/>
  <c r="U138" i="15" s="1"/>
  <c r="AE130" i="15"/>
  <c r="AE138" i="15" s="1"/>
  <c r="AG130" i="15"/>
  <c r="AG138" i="15" s="1"/>
  <c r="T130" i="15"/>
  <c r="T138" i="15" s="1"/>
  <c r="AF130" i="15"/>
  <c r="AF138" i="15" s="1"/>
  <c r="M130" i="15"/>
  <c r="M138" i="15" s="1"/>
  <c r="S130" i="15"/>
  <c r="S138" i="15" s="1"/>
  <c r="AO130" i="15"/>
  <c r="AO138" i="15" s="1"/>
  <c r="O130" i="15"/>
  <c r="O138" i="15" s="1"/>
  <c r="AN85" i="14"/>
  <c r="AN93" i="14" s="1"/>
  <c r="AH85" i="14"/>
  <c r="AH93" i="14" s="1"/>
  <c r="AJ85" i="14"/>
  <c r="AJ93" i="14" s="1"/>
  <c r="AO85" i="14"/>
  <c r="AO93" i="14" s="1"/>
  <c r="AL85" i="14"/>
  <c r="AL93" i="14" s="1"/>
  <c r="AK85" i="14"/>
  <c r="AK93" i="14" s="1"/>
  <c r="AI85" i="14"/>
  <c r="AI93" i="14" s="1"/>
  <c r="AM85" i="14"/>
  <c r="AM93" i="14" s="1"/>
  <c r="AC85" i="14"/>
  <c r="AC93" i="14" s="1"/>
  <c r="Q85" i="14"/>
  <c r="Q93" i="14" s="1"/>
  <c r="Y85" i="14"/>
  <c r="Y93" i="14" s="1"/>
  <c r="N85" i="14"/>
  <c r="N93" i="14" s="1"/>
  <c r="AD85" i="14"/>
  <c r="AD93" i="14" s="1"/>
  <c r="Z85" i="14"/>
  <c r="Z93" i="14" s="1"/>
  <c r="R85" i="14"/>
  <c r="R93" i="14" s="1"/>
  <c r="AF85" i="14"/>
  <c r="AF93" i="14" s="1"/>
  <c r="U85" i="14"/>
  <c r="U93" i="14" s="1"/>
  <c r="W85" i="14"/>
  <c r="W93" i="14" s="1"/>
  <c r="AA85" i="14"/>
  <c r="AA93" i="14" s="1"/>
  <c r="AB85" i="14"/>
  <c r="AB93" i="14" s="1"/>
  <c r="L85" i="14"/>
  <c r="L93" i="14" s="1"/>
  <c r="AG85" i="14"/>
  <c r="AG93" i="14" s="1"/>
  <c r="AE85" i="14"/>
  <c r="AE93" i="14" s="1"/>
  <c r="J85" i="14"/>
  <c r="J93" i="14" s="1"/>
  <c r="S85" i="14"/>
  <c r="S93" i="14" s="1"/>
  <c r="K85" i="14"/>
  <c r="K93" i="14" s="1"/>
  <c r="K100" i="14" s="1"/>
  <c r="K102" i="14" s="1"/>
  <c r="X85" i="14"/>
  <c r="X93" i="14" s="1"/>
  <c r="M85" i="14"/>
  <c r="M93" i="14" s="1"/>
  <c r="V85" i="14"/>
  <c r="V93" i="14" s="1"/>
  <c r="T85" i="14"/>
  <c r="T93" i="14" s="1"/>
  <c r="I85" i="14"/>
  <c r="I93" i="14" s="1"/>
  <c r="O85" i="14"/>
  <c r="O93" i="14" s="1"/>
  <c r="P85" i="14"/>
  <c r="P93" i="14" s="1"/>
  <c r="K155" i="15"/>
  <c r="Z155" i="15"/>
  <c r="O155" i="15"/>
  <c r="L155" i="15"/>
  <c r="J155" i="15"/>
  <c r="AA155" i="15"/>
  <c r="Y155" i="15"/>
  <c r="R155" i="15"/>
  <c r="AN155" i="15"/>
  <c r="AK155" i="15"/>
  <c r="AF155" i="15"/>
  <c r="T155" i="15"/>
  <c r="AL155" i="15"/>
  <c r="AI155" i="15"/>
  <c r="W155" i="15"/>
  <c r="AE155" i="15"/>
  <c r="V155" i="15"/>
  <c r="X155" i="15"/>
  <c r="U155" i="15"/>
  <c r="I155" i="15"/>
  <c r="M155" i="15"/>
  <c r="AB155" i="15"/>
  <c r="P155" i="15"/>
  <c r="Q155" i="15"/>
  <c r="AM155" i="15"/>
  <c r="AJ155" i="15"/>
  <c r="AG155" i="15"/>
  <c r="AO155" i="15"/>
  <c r="AD155" i="15"/>
  <c r="AH155" i="15"/>
  <c r="S155" i="15"/>
  <c r="AC155" i="15"/>
  <c r="N155" i="15"/>
  <c r="Z403" i="14"/>
  <c r="Z411" i="14" s="1"/>
  <c r="AK403" i="14"/>
  <c r="AK411" i="14" s="1"/>
  <c r="S403" i="14"/>
  <c r="S411" i="14" s="1"/>
  <c r="AH403" i="14"/>
  <c r="AH411" i="14" s="1"/>
  <c r="U403" i="14"/>
  <c r="U411" i="14" s="1"/>
  <c r="M403" i="14"/>
  <c r="M411" i="14" s="1"/>
  <c r="AP403" i="14"/>
  <c r="AP411" i="14" s="1"/>
  <c r="AF403" i="14"/>
  <c r="AF411" i="14" s="1"/>
  <c r="AA403" i="14"/>
  <c r="AA411" i="14" s="1"/>
  <c r="P403" i="14"/>
  <c r="P411" i="14" s="1"/>
  <c r="I403" i="14"/>
  <c r="I411" i="14" s="1"/>
  <c r="J403" i="14"/>
  <c r="J411" i="14" s="1"/>
  <c r="Y403" i="14"/>
  <c r="Y411" i="14" s="1"/>
  <c r="AC403" i="14"/>
  <c r="AC411" i="14" s="1"/>
  <c r="AO403" i="14"/>
  <c r="AO411" i="14" s="1"/>
  <c r="AL403" i="14"/>
  <c r="AL411" i="14" s="1"/>
  <c r="R403" i="14"/>
  <c r="R411" i="14" s="1"/>
  <c r="N403" i="14"/>
  <c r="N411" i="14" s="1"/>
  <c r="O403" i="14"/>
  <c r="O411" i="14" s="1"/>
  <c r="K403" i="14"/>
  <c r="K411" i="14" s="1"/>
  <c r="AD403" i="14"/>
  <c r="AD411" i="14" s="1"/>
  <c r="T403" i="14"/>
  <c r="T411" i="14" s="1"/>
  <c r="AE403" i="14"/>
  <c r="AE411" i="14" s="1"/>
  <c r="AN403" i="14"/>
  <c r="AN411" i="14" s="1"/>
  <c r="Q403" i="14"/>
  <c r="Q411" i="14" s="1"/>
  <c r="L403" i="14"/>
  <c r="L411" i="14" s="1"/>
  <c r="AM403" i="14"/>
  <c r="AM411" i="14" s="1"/>
  <c r="AG403" i="14"/>
  <c r="AG411" i="14" s="1"/>
  <c r="AJ403" i="14"/>
  <c r="AJ411" i="14" s="1"/>
  <c r="X403" i="14"/>
  <c r="X411" i="14" s="1"/>
  <c r="AI403" i="14"/>
  <c r="AI411" i="14" s="1"/>
  <c r="V403" i="14"/>
  <c r="V411" i="14" s="1"/>
  <c r="W403" i="14"/>
  <c r="W411" i="14" s="1"/>
  <c r="AB403" i="14"/>
  <c r="AB411" i="14" s="1"/>
  <c r="Y256" i="14"/>
  <c r="Y264" i="14" s="1"/>
  <c r="AN256" i="14"/>
  <c r="AN264" i="14" s="1"/>
  <c r="AK256" i="14"/>
  <c r="AK264" i="14" s="1"/>
  <c r="AI256" i="14"/>
  <c r="AI264" i="14" s="1"/>
  <c r="I256" i="14"/>
  <c r="I264" i="14" s="1"/>
  <c r="Q256" i="14"/>
  <c r="Q264" i="14" s="1"/>
  <c r="X256" i="14"/>
  <c r="X264" i="14" s="1"/>
  <c r="R256" i="14"/>
  <c r="R264" i="14" s="1"/>
  <c r="AA256" i="14"/>
  <c r="AA264" i="14" s="1"/>
  <c r="M256" i="14"/>
  <c r="M264" i="14" s="1"/>
  <c r="T256" i="14"/>
  <c r="T264" i="14" s="1"/>
  <c r="P256" i="14"/>
  <c r="P264" i="14" s="1"/>
  <c r="AP256" i="14"/>
  <c r="AP264" i="14" s="1"/>
  <c r="AJ256" i="14"/>
  <c r="AJ264" i="14" s="1"/>
  <c r="J256" i="14"/>
  <c r="J264" i="14" s="1"/>
  <c r="V256" i="14"/>
  <c r="V264" i="14" s="1"/>
  <c r="S256" i="14"/>
  <c r="S264" i="14" s="1"/>
  <c r="K256" i="14"/>
  <c r="K264" i="14" s="1"/>
  <c r="AH256" i="14"/>
  <c r="AH264" i="14" s="1"/>
  <c r="U256" i="14"/>
  <c r="U264" i="14" s="1"/>
  <c r="AE256" i="14"/>
  <c r="AE264" i="14" s="1"/>
  <c r="AL256" i="14"/>
  <c r="AL264" i="14" s="1"/>
  <c r="AO256" i="14"/>
  <c r="AO264" i="14" s="1"/>
  <c r="L256" i="14"/>
  <c r="L264" i="14" s="1"/>
  <c r="O256" i="14"/>
  <c r="O264" i="14" s="1"/>
  <c r="AG256" i="14"/>
  <c r="AG264" i="14" s="1"/>
  <c r="AF256" i="14"/>
  <c r="AF264" i="14" s="1"/>
  <c r="N256" i="14"/>
  <c r="N264" i="14" s="1"/>
  <c r="AD256" i="14"/>
  <c r="AD264" i="14" s="1"/>
  <c r="AC256" i="14"/>
  <c r="AC264" i="14" s="1"/>
  <c r="AM256" i="14"/>
  <c r="AM264" i="14" s="1"/>
  <c r="Z256" i="14"/>
  <c r="Z264" i="14" s="1"/>
  <c r="AB256" i="14"/>
  <c r="AB264" i="14" s="1"/>
  <c r="W256" i="14"/>
  <c r="W264" i="14" s="1"/>
  <c r="K401" i="16"/>
  <c r="K409" i="16" s="1"/>
  <c r="V401" i="16"/>
  <c r="V409" i="16" s="1"/>
  <c r="W401" i="16"/>
  <c r="W409" i="16" s="1"/>
  <c r="AM401" i="16"/>
  <c r="AM409" i="16" s="1"/>
  <c r="AC401" i="16"/>
  <c r="AC409" i="16" s="1"/>
  <c r="AO401" i="16"/>
  <c r="AO409" i="16" s="1"/>
  <c r="L401" i="16"/>
  <c r="L409" i="16" s="1"/>
  <c r="AG401" i="16"/>
  <c r="AG409" i="16" s="1"/>
  <c r="O401" i="16"/>
  <c r="O409" i="16" s="1"/>
  <c r="AH401" i="16"/>
  <c r="AH409" i="16" s="1"/>
  <c r="I401" i="16"/>
  <c r="I409" i="16" s="1"/>
  <c r="U401" i="16"/>
  <c r="U409" i="16" s="1"/>
  <c r="Q401" i="16"/>
  <c r="Q409" i="16" s="1"/>
  <c r="AB401" i="16"/>
  <c r="AB409" i="16" s="1"/>
  <c r="R401" i="16"/>
  <c r="R409" i="16" s="1"/>
  <c r="AI401" i="16"/>
  <c r="AI409" i="16" s="1"/>
  <c r="T401" i="16"/>
  <c r="T409" i="16" s="1"/>
  <c r="X401" i="16"/>
  <c r="X409" i="16" s="1"/>
  <c r="AK401" i="16"/>
  <c r="AK409" i="16" s="1"/>
  <c r="AL401" i="16"/>
  <c r="AL409" i="16" s="1"/>
  <c r="N401" i="16"/>
  <c r="N409" i="16" s="1"/>
  <c r="AJ401" i="16"/>
  <c r="AJ409" i="16" s="1"/>
  <c r="J401" i="16"/>
  <c r="J409" i="16" s="1"/>
  <c r="AF401" i="16"/>
  <c r="AF409" i="16" s="1"/>
  <c r="Y401" i="16"/>
  <c r="Y409" i="16" s="1"/>
  <c r="P401" i="16"/>
  <c r="P409" i="16" s="1"/>
  <c r="AD401" i="16"/>
  <c r="AD409" i="16" s="1"/>
  <c r="M401" i="16"/>
  <c r="M409" i="16" s="1"/>
  <c r="Z401" i="16"/>
  <c r="Z409" i="16" s="1"/>
  <c r="AE401" i="16"/>
  <c r="AE409" i="16" s="1"/>
  <c r="AA401" i="16"/>
  <c r="AA409" i="16" s="1"/>
  <c r="S401" i="16"/>
  <c r="S409" i="16" s="1"/>
  <c r="AN401" i="16"/>
  <c r="AN409" i="16" s="1"/>
  <c r="R663" i="16"/>
  <c r="R671" i="16" s="1"/>
  <c r="Y663" i="16"/>
  <c r="Y671" i="16" s="1"/>
  <c r="Z663" i="16"/>
  <c r="Z671" i="16" s="1"/>
  <c r="AK663" i="16"/>
  <c r="AK671" i="16" s="1"/>
  <c r="P663" i="16"/>
  <c r="P671" i="16" s="1"/>
  <c r="AN663" i="16"/>
  <c r="AN671" i="16" s="1"/>
  <c r="K663" i="16"/>
  <c r="K671" i="16" s="1"/>
  <c r="AO663" i="16"/>
  <c r="AO671" i="16" s="1"/>
  <c r="N663" i="16"/>
  <c r="N671" i="16" s="1"/>
  <c r="AH663" i="16"/>
  <c r="AH671" i="16" s="1"/>
  <c r="L663" i="16"/>
  <c r="L671" i="16" s="1"/>
  <c r="AD663" i="16"/>
  <c r="AD671" i="16" s="1"/>
  <c r="AE663" i="16"/>
  <c r="AE671" i="16" s="1"/>
  <c r="X663" i="16"/>
  <c r="X671" i="16" s="1"/>
  <c r="AF663" i="16"/>
  <c r="AF671" i="16" s="1"/>
  <c r="AI663" i="16"/>
  <c r="AI671" i="16" s="1"/>
  <c r="S663" i="16"/>
  <c r="S671" i="16" s="1"/>
  <c r="V663" i="16"/>
  <c r="V671" i="16" s="1"/>
  <c r="AJ663" i="16"/>
  <c r="AJ671" i="16" s="1"/>
  <c r="I663" i="16"/>
  <c r="I671" i="16" s="1"/>
  <c r="AB663" i="16"/>
  <c r="AB671" i="16" s="1"/>
  <c r="Q663" i="16"/>
  <c r="Q671" i="16" s="1"/>
  <c r="W663" i="16"/>
  <c r="W671" i="16" s="1"/>
  <c r="O663" i="16"/>
  <c r="O671" i="16" s="1"/>
  <c r="AM663" i="16"/>
  <c r="AM671" i="16" s="1"/>
  <c r="AL663" i="16"/>
  <c r="AL671" i="16" s="1"/>
  <c r="J663" i="16"/>
  <c r="J671" i="16" s="1"/>
  <c r="U663" i="16"/>
  <c r="U671" i="16" s="1"/>
  <c r="T663" i="16"/>
  <c r="T671" i="16" s="1"/>
  <c r="AA663" i="16"/>
  <c r="AA671" i="16" s="1"/>
  <c r="M663" i="16"/>
  <c r="M671" i="16" s="1"/>
  <c r="AC663" i="16"/>
  <c r="AC671" i="16" s="1"/>
  <c r="AG663" i="16"/>
  <c r="AG671" i="16" s="1"/>
  <c r="AK156" i="15"/>
  <c r="AK164" i="15" s="1"/>
  <c r="AH156" i="15"/>
  <c r="AH164" i="15" s="1"/>
  <c r="AJ156" i="15"/>
  <c r="AJ164" i="15" s="1"/>
  <c r="AL156" i="15"/>
  <c r="AL164" i="15" s="1"/>
  <c r="AO156" i="15"/>
  <c r="AO164" i="15" s="1"/>
  <c r="AM156" i="15"/>
  <c r="AM164" i="15" s="1"/>
  <c r="AG156" i="15"/>
  <c r="AG164" i="15" s="1"/>
  <c r="AF156" i="15"/>
  <c r="AF164" i="15" s="1"/>
  <c r="AN156" i="15"/>
  <c r="AN164" i="15" s="1"/>
  <c r="AD156" i="15"/>
  <c r="AD164" i="15" s="1"/>
  <c r="AI156" i="15"/>
  <c r="AI164" i="15" s="1"/>
  <c r="AC156" i="15"/>
  <c r="AC164" i="15" s="1"/>
  <c r="Q156" i="15"/>
  <c r="Q164" i="15" s="1"/>
  <c r="M156" i="15"/>
  <c r="M164" i="15" s="1"/>
  <c r="O156" i="15"/>
  <c r="O164" i="15" s="1"/>
  <c r="U156" i="15"/>
  <c r="U164" i="15" s="1"/>
  <c r="S156" i="15"/>
  <c r="S164" i="15" s="1"/>
  <c r="W156" i="15"/>
  <c r="W164" i="15" s="1"/>
  <c r="AE156" i="15"/>
  <c r="AE164" i="15" s="1"/>
  <c r="Y156" i="15"/>
  <c r="Y164" i="15" s="1"/>
  <c r="P156" i="15"/>
  <c r="P164" i="15" s="1"/>
  <c r="K156" i="15"/>
  <c r="K164" i="15" s="1"/>
  <c r="R156" i="15"/>
  <c r="R164" i="15" s="1"/>
  <c r="Z156" i="15"/>
  <c r="Z164" i="15" s="1"/>
  <c r="X156" i="15"/>
  <c r="X164" i="15" s="1"/>
  <c r="N156" i="15"/>
  <c r="N164" i="15" s="1"/>
  <c r="AB156" i="15"/>
  <c r="AB164" i="15" s="1"/>
  <c r="I156" i="15"/>
  <c r="I164" i="15" s="1"/>
  <c r="V156" i="15"/>
  <c r="V164" i="15" s="1"/>
  <c r="T156" i="15"/>
  <c r="T164" i="15" s="1"/>
  <c r="AA156" i="15"/>
  <c r="AA164" i="15" s="1"/>
  <c r="J156" i="15"/>
  <c r="J164" i="15" s="1"/>
  <c r="L156" i="15"/>
  <c r="L164" i="15" s="1"/>
  <c r="Q790" i="15"/>
  <c r="Q798" i="15" s="1"/>
  <c r="AK790" i="15"/>
  <c r="AK798" i="15" s="1"/>
  <c r="W790" i="15"/>
  <c r="W798" i="15" s="1"/>
  <c r="AC790" i="15"/>
  <c r="AC798" i="15" s="1"/>
  <c r="K790" i="15"/>
  <c r="K798" i="15" s="1"/>
  <c r="L790" i="15"/>
  <c r="L798" i="15" s="1"/>
  <c r="Y790" i="15"/>
  <c r="Y798" i="15" s="1"/>
  <c r="M790" i="15"/>
  <c r="M798" i="15" s="1"/>
  <c r="AH790" i="15"/>
  <c r="AH798" i="15" s="1"/>
  <c r="AD790" i="15"/>
  <c r="AD798" i="15" s="1"/>
  <c r="AJ790" i="15"/>
  <c r="AJ798" i="15" s="1"/>
  <c r="O790" i="15"/>
  <c r="O798" i="15" s="1"/>
  <c r="AO790" i="15"/>
  <c r="AO798" i="15" s="1"/>
  <c r="T790" i="15"/>
  <c r="T798" i="15" s="1"/>
  <c r="AE790" i="15"/>
  <c r="AE798" i="15" s="1"/>
  <c r="P790" i="15"/>
  <c r="P798" i="15" s="1"/>
  <c r="R790" i="15"/>
  <c r="R798" i="15" s="1"/>
  <c r="X790" i="15"/>
  <c r="X798" i="15" s="1"/>
  <c r="Z790" i="15"/>
  <c r="Z798" i="15" s="1"/>
  <c r="V790" i="15"/>
  <c r="V798" i="15" s="1"/>
  <c r="S790" i="15"/>
  <c r="S798" i="15" s="1"/>
  <c r="J790" i="15"/>
  <c r="J798" i="15" s="1"/>
  <c r="AF790" i="15"/>
  <c r="AF798" i="15" s="1"/>
  <c r="AM790" i="15"/>
  <c r="AM798" i="15" s="1"/>
  <c r="AL790" i="15"/>
  <c r="AL798" i="15" s="1"/>
  <c r="U790" i="15"/>
  <c r="U798" i="15" s="1"/>
  <c r="AN790" i="15"/>
  <c r="AN798" i="15" s="1"/>
  <c r="AI790" i="15"/>
  <c r="AI798" i="15" s="1"/>
  <c r="AA790" i="15"/>
  <c r="AA798" i="15" s="1"/>
  <c r="AB790" i="15"/>
  <c r="AB798" i="15" s="1"/>
  <c r="AG790" i="15"/>
  <c r="AG798" i="15" s="1"/>
  <c r="N790" i="15"/>
  <c r="N798" i="15" s="1"/>
  <c r="I790" i="15"/>
  <c r="I798" i="15" s="1"/>
  <c r="U451" i="15"/>
  <c r="U459" i="15" s="1"/>
  <c r="AE451" i="15"/>
  <c r="AE459" i="15" s="1"/>
  <c r="R451" i="15"/>
  <c r="R459" i="15" s="1"/>
  <c r="AM451" i="15"/>
  <c r="AM459" i="15" s="1"/>
  <c r="S451" i="15"/>
  <c r="S459" i="15" s="1"/>
  <c r="AL451" i="15"/>
  <c r="AL459" i="15" s="1"/>
  <c r="K451" i="15"/>
  <c r="K459" i="15" s="1"/>
  <c r="Z451" i="15"/>
  <c r="Z459" i="15" s="1"/>
  <c r="I451" i="15"/>
  <c r="I459" i="15" s="1"/>
  <c r="AA451" i="15"/>
  <c r="AA459" i="15" s="1"/>
  <c r="J451" i="15"/>
  <c r="J459" i="15" s="1"/>
  <c r="AC451" i="15"/>
  <c r="AC459" i="15" s="1"/>
  <c r="P451" i="15"/>
  <c r="P459" i="15" s="1"/>
  <c r="AN451" i="15"/>
  <c r="AN459" i="15" s="1"/>
  <c r="X451" i="15"/>
  <c r="X459" i="15" s="1"/>
  <c r="Y451" i="15"/>
  <c r="Y459" i="15" s="1"/>
  <c r="O451" i="15"/>
  <c r="O459" i="15" s="1"/>
  <c r="AI451" i="15"/>
  <c r="AI459" i="15" s="1"/>
  <c r="AJ451" i="15"/>
  <c r="AJ459" i="15" s="1"/>
  <c r="L451" i="15"/>
  <c r="L459" i="15" s="1"/>
  <c r="M451" i="15"/>
  <c r="M459" i="15" s="1"/>
  <c r="AB451" i="15"/>
  <c r="AB459" i="15" s="1"/>
  <c r="V451" i="15"/>
  <c r="V459" i="15" s="1"/>
  <c r="T451" i="15"/>
  <c r="T459" i="15" s="1"/>
  <c r="AG451" i="15"/>
  <c r="AG459" i="15" s="1"/>
  <c r="AH451" i="15"/>
  <c r="AH459" i="15" s="1"/>
  <c r="AK451" i="15"/>
  <c r="AK459" i="15" s="1"/>
  <c r="Q451" i="15"/>
  <c r="Q459" i="15" s="1"/>
  <c r="W451" i="15"/>
  <c r="W459" i="15" s="1"/>
  <c r="N451" i="15"/>
  <c r="N459" i="15" s="1"/>
  <c r="AD451" i="15"/>
  <c r="AD459" i="15" s="1"/>
  <c r="AO451" i="15"/>
  <c r="AO459" i="15" s="1"/>
  <c r="AF451" i="15"/>
  <c r="AF459" i="15" s="1"/>
  <c r="T396" i="16"/>
  <c r="T404" i="16" s="1"/>
  <c r="AH396" i="16"/>
  <c r="AH404" i="16" s="1"/>
  <c r="R396" i="16"/>
  <c r="R404" i="16" s="1"/>
  <c r="AE396" i="16"/>
  <c r="AE404" i="16" s="1"/>
  <c r="O396" i="16"/>
  <c r="O404" i="16" s="1"/>
  <c r="AD396" i="16"/>
  <c r="AD404" i="16" s="1"/>
  <c r="L396" i="16"/>
  <c r="L404" i="16" s="1"/>
  <c r="Z396" i="16"/>
  <c r="Z404" i="16" s="1"/>
  <c r="Q396" i="16"/>
  <c r="Q404" i="16" s="1"/>
  <c r="U396" i="16"/>
  <c r="U404" i="16" s="1"/>
  <c r="N396" i="16"/>
  <c r="N404" i="16" s="1"/>
  <c r="V396" i="16"/>
  <c r="V404" i="16" s="1"/>
  <c r="AG396" i="16"/>
  <c r="AG404" i="16" s="1"/>
  <c r="AA396" i="16"/>
  <c r="AA404" i="16" s="1"/>
  <c r="AB396" i="16"/>
  <c r="AB404" i="16" s="1"/>
  <c r="Y396" i="16"/>
  <c r="Y404" i="16" s="1"/>
  <c r="AJ396" i="16"/>
  <c r="AJ404" i="16" s="1"/>
  <c r="AK396" i="16"/>
  <c r="AK404" i="16" s="1"/>
  <c r="K396" i="16"/>
  <c r="K404" i="16" s="1"/>
  <c r="AN396" i="16"/>
  <c r="AN404" i="16" s="1"/>
  <c r="X396" i="16"/>
  <c r="X404" i="16" s="1"/>
  <c r="M396" i="16"/>
  <c r="M404" i="16" s="1"/>
  <c r="AI396" i="16"/>
  <c r="AI404" i="16" s="1"/>
  <c r="AC396" i="16"/>
  <c r="AC404" i="16" s="1"/>
  <c r="AL396" i="16"/>
  <c r="AL404" i="16" s="1"/>
  <c r="J396" i="16"/>
  <c r="J404" i="16" s="1"/>
  <c r="AO396" i="16"/>
  <c r="AO404" i="16" s="1"/>
  <c r="W396" i="16"/>
  <c r="W404" i="16" s="1"/>
  <c r="S396" i="16"/>
  <c r="S404" i="16" s="1"/>
  <c r="AF396" i="16"/>
  <c r="AF404" i="16" s="1"/>
  <c r="P396" i="16"/>
  <c r="P404" i="16" s="1"/>
  <c r="AM396" i="16"/>
  <c r="AM404" i="16" s="1"/>
  <c r="I396" i="16"/>
  <c r="I404" i="16" s="1"/>
  <c r="AH113" i="14"/>
  <c r="AH121" i="14" s="1"/>
  <c r="AB113" i="14"/>
  <c r="AB121" i="14" s="1"/>
  <c r="AI113" i="14"/>
  <c r="AI121" i="14" s="1"/>
  <c r="T113" i="14"/>
  <c r="T121" i="14" s="1"/>
  <c r="AL113" i="14"/>
  <c r="AL121" i="14" s="1"/>
  <c r="AA113" i="14"/>
  <c r="AA121" i="14" s="1"/>
  <c r="AG113" i="14"/>
  <c r="AG121" i="14" s="1"/>
  <c r="R113" i="14"/>
  <c r="R121" i="14" s="1"/>
  <c r="P113" i="14"/>
  <c r="P121" i="14" s="1"/>
  <c r="S113" i="14"/>
  <c r="S121" i="14" s="1"/>
  <c r="AD113" i="14"/>
  <c r="AD121" i="14" s="1"/>
  <c r="X113" i="14"/>
  <c r="X121" i="14" s="1"/>
  <c r="AN113" i="14"/>
  <c r="AN121" i="14" s="1"/>
  <c r="Z113" i="14"/>
  <c r="Z121" i="14" s="1"/>
  <c r="AP113" i="14"/>
  <c r="AP121" i="14" s="1"/>
  <c r="Q113" i="14"/>
  <c r="Q121" i="14" s="1"/>
  <c r="AE113" i="14"/>
  <c r="AE121" i="14" s="1"/>
  <c r="O113" i="14"/>
  <c r="O121" i="14" s="1"/>
  <c r="AJ113" i="14"/>
  <c r="AJ121" i="14" s="1"/>
  <c r="V113" i="14"/>
  <c r="V121" i="14" s="1"/>
  <c r="K113" i="14"/>
  <c r="K121" i="14" s="1"/>
  <c r="AO113" i="14"/>
  <c r="AO121" i="14" s="1"/>
  <c r="Y113" i="14"/>
  <c r="Y121" i="14" s="1"/>
  <c r="J113" i="14"/>
  <c r="J121" i="14" s="1"/>
  <c r="U113" i="14"/>
  <c r="U121" i="14" s="1"/>
  <c r="M113" i="14"/>
  <c r="M121" i="14" s="1"/>
  <c r="W113" i="14"/>
  <c r="W121" i="14" s="1"/>
  <c r="AF113" i="14"/>
  <c r="AF121" i="14" s="1"/>
  <c r="L113" i="14"/>
  <c r="L121" i="14" s="1"/>
  <c r="AC113" i="14"/>
  <c r="AC121" i="14" s="1"/>
  <c r="I113" i="14"/>
  <c r="I121" i="14" s="1"/>
  <c r="AM113" i="14"/>
  <c r="AM121" i="14" s="1"/>
  <c r="N113" i="14"/>
  <c r="N121" i="14" s="1"/>
  <c r="AK113" i="14"/>
  <c r="AK121" i="14" s="1"/>
  <c r="J236" i="9"/>
  <c r="J244" i="9" s="1"/>
  <c r="Q236" i="9"/>
  <c r="Q244" i="9" s="1"/>
  <c r="Y236" i="9"/>
  <c r="Y244" i="9" s="1"/>
  <c r="X236" i="9"/>
  <c r="X244" i="9" s="1"/>
  <c r="AA236" i="9"/>
  <c r="AA244" i="9" s="1"/>
  <c r="AF236" i="9"/>
  <c r="AF244" i="9" s="1"/>
  <c r="AI236" i="9"/>
  <c r="AI244" i="9" s="1"/>
  <c r="AN236" i="9"/>
  <c r="AN244" i="9" s="1"/>
  <c r="T236" i="9"/>
  <c r="T244" i="9" s="1"/>
  <c r="N236" i="9"/>
  <c r="N244" i="9" s="1"/>
  <c r="AD236" i="9"/>
  <c r="AD244" i="9" s="1"/>
  <c r="Z236" i="9"/>
  <c r="Z244" i="9" s="1"/>
  <c r="V236" i="9"/>
  <c r="V244" i="9" s="1"/>
  <c r="U236" i="9"/>
  <c r="U244" i="9" s="1"/>
  <c r="AL236" i="9"/>
  <c r="AL244" i="9" s="1"/>
  <c r="AH236" i="9"/>
  <c r="AH244" i="9" s="1"/>
  <c r="AJ236" i="9"/>
  <c r="AJ244" i="9" s="1"/>
  <c r="AC236" i="9"/>
  <c r="AC244" i="9" s="1"/>
  <c r="M236" i="9"/>
  <c r="M244" i="9" s="1"/>
  <c r="K236" i="9"/>
  <c r="K244" i="9" s="1"/>
  <c r="L236" i="9"/>
  <c r="L244" i="9" s="1"/>
  <c r="AK236" i="9"/>
  <c r="AK244" i="9" s="1"/>
  <c r="S236" i="9"/>
  <c r="S244" i="9" s="1"/>
  <c r="R236" i="9"/>
  <c r="R244" i="9" s="1"/>
  <c r="O236" i="9"/>
  <c r="O244" i="9" s="1"/>
  <c r="AE236" i="9"/>
  <c r="AE244" i="9" s="1"/>
  <c r="I236" i="9"/>
  <c r="AG236" i="9"/>
  <c r="AG244" i="9" s="1"/>
  <c r="W236" i="9"/>
  <c r="W244" i="9" s="1"/>
  <c r="AO236" i="9"/>
  <c r="AO244" i="9" s="1"/>
  <c r="AB236" i="9"/>
  <c r="AB244" i="9" s="1"/>
  <c r="P236" i="9"/>
  <c r="P244" i="9" s="1"/>
  <c r="AM236" i="9"/>
  <c r="AM244" i="9" s="1"/>
  <c r="AI489" i="16"/>
  <c r="AI497" i="16" s="1"/>
  <c r="AO489" i="16"/>
  <c r="AO497" i="16" s="1"/>
  <c r="AM489" i="16"/>
  <c r="AM497" i="16" s="1"/>
  <c r="AJ489" i="16"/>
  <c r="AJ497" i="16" s="1"/>
  <c r="AL489" i="16"/>
  <c r="AL497" i="16" s="1"/>
  <c r="AH489" i="16"/>
  <c r="AH497" i="16" s="1"/>
  <c r="AK489" i="16"/>
  <c r="AK497" i="16" s="1"/>
  <c r="AN489" i="16"/>
  <c r="AN497" i="16" s="1"/>
  <c r="AD489" i="16"/>
  <c r="AD497" i="16" s="1"/>
  <c r="J489" i="16"/>
  <c r="J497" i="16" s="1"/>
  <c r="AB489" i="16"/>
  <c r="AB497" i="16" s="1"/>
  <c r="AE489" i="16"/>
  <c r="AE497" i="16" s="1"/>
  <c r="V489" i="16"/>
  <c r="V497" i="16" s="1"/>
  <c r="Z489" i="16"/>
  <c r="Z497" i="16" s="1"/>
  <c r="W489" i="16"/>
  <c r="W497" i="16" s="1"/>
  <c r="S489" i="16"/>
  <c r="S497" i="16" s="1"/>
  <c r="N489" i="16"/>
  <c r="N497" i="16" s="1"/>
  <c r="P489" i="16"/>
  <c r="P497" i="16" s="1"/>
  <c r="AA489" i="16"/>
  <c r="AA497" i="16" s="1"/>
  <c r="R489" i="16"/>
  <c r="R497" i="16" s="1"/>
  <c r="I489" i="16"/>
  <c r="I497" i="16" s="1"/>
  <c r="X489" i="16"/>
  <c r="X497" i="16" s="1"/>
  <c r="AG489" i="16"/>
  <c r="AG497" i="16" s="1"/>
  <c r="U489" i="16"/>
  <c r="U497" i="16" s="1"/>
  <c r="K489" i="16"/>
  <c r="K497" i="16" s="1"/>
  <c r="Q489" i="16"/>
  <c r="Q497" i="16" s="1"/>
  <c r="L489" i="16"/>
  <c r="L497" i="16" s="1"/>
  <c r="T489" i="16"/>
  <c r="T497" i="16" s="1"/>
  <c r="M489" i="16"/>
  <c r="M497" i="16" s="1"/>
  <c r="O489" i="16"/>
  <c r="O497" i="16" s="1"/>
  <c r="AF489" i="16"/>
  <c r="AF497" i="16" s="1"/>
  <c r="AC489" i="16"/>
  <c r="AC497" i="16" s="1"/>
  <c r="Y489" i="16"/>
  <c r="Y497" i="16" s="1"/>
  <c r="R157" i="15"/>
  <c r="R165" i="15" s="1"/>
  <c r="AI157" i="15"/>
  <c r="AI165" i="15" s="1"/>
  <c r="AC157" i="15"/>
  <c r="AC165" i="15" s="1"/>
  <c r="AH157" i="15"/>
  <c r="AH165" i="15" s="1"/>
  <c r="AF157" i="15"/>
  <c r="AF165" i="15" s="1"/>
  <c r="AN157" i="15"/>
  <c r="AN165" i="15" s="1"/>
  <c r="AD157" i="15"/>
  <c r="AD165" i="15" s="1"/>
  <c r="AO157" i="15"/>
  <c r="AO165" i="15" s="1"/>
  <c r="AL157" i="15"/>
  <c r="AL165" i="15" s="1"/>
  <c r="AM157" i="15"/>
  <c r="AM165" i="15" s="1"/>
  <c r="AG157" i="15"/>
  <c r="AG165" i="15" s="1"/>
  <c r="AA157" i="15"/>
  <c r="AA165" i="15" s="1"/>
  <c r="AK157" i="15"/>
  <c r="AK165" i="15" s="1"/>
  <c r="AB157" i="15"/>
  <c r="AB165" i="15" s="1"/>
  <c r="P157" i="15"/>
  <c r="P165" i="15" s="1"/>
  <c r="V157" i="15"/>
  <c r="V165" i="15" s="1"/>
  <c r="Z157" i="15"/>
  <c r="Z165" i="15" s="1"/>
  <c r="AJ157" i="15"/>
  <c r="AJ165" i="15" s="1"/>
  <c r="AE157" i="15"/>
  <c r="AE165" i="15" s="1"/>
  <c r="N157" i="15"/>
  <c r="N165" i="15" s="1"/>
  <c r="I157" i="15"/>
  <c r="I165" i="15" s="1"/>
  <c r="X157" i="15"/>
  <c r="X165" i="15" s="1"/>
  <c r="Q157" i="15"/>
  <c r="Q165" i="15" s="1"/>
  <c r="S157" i="15"/>
  <c r="S165" i="15" s="1"/>
  <c r="W157" i="15"/>
  <c r="W165" i="15" s="1"/>
  <c r="U157" i="15"/>
  <c r="U165" i="15" s="1"/>
  <c r="O157" i="15"/>
  <c r="O165" i="15" s="1"/>
  <c r="L157" i="15"/>
  <c r="L165" i="15" s="1"/>
  <c r="T157" i="15"/>
  <c r="T165" i="15" s="1"/>
  <c r="Y157" i="15"/>
  <c r="Y165" i="15" s="1"/>
  <c r="K157" i="15"/>
  <c r="K165" i="15" s="1"/>
  <c r="J157" i="15"/>
  <c r="J165" i="15" s="1"/>
  <c r="M157" i="15"/>
  <c r="M165" i="15" s="1"/>
  <c r="AH794" i="15"/>
  <c r="AH802" i="15" s="1"/>
  <c r="AA794" i="15"/>
  <c r="AA802" i="15" s="1"/>
  <c r="P794" i="15"/>
  <c r="P802" i="15" s="1"/>
  <c r="AD794" i="15"/>
  <c r="AD802" i="15" s="1"/>
  <c r="K794" i="15"/>
  <c r="K802" i="15" s="1"/>
  <c r="V794" i="15"/>
  <c r="V802" i="15" s="1"/>
  <c r="AG794" i="15"/>
  <c r="AG802" i="15" s="1"/>
  <c r="AE794" i="15"/>
  <c r="AE802" i="15" s="1"/>
  <c r="AF794" i="15"/>
  <c r="AF802" i="15" s="1"/>
  <c r="L794" i="15"/>
  <c r="L802" i="15" s="1"/>
  <c r="AC794" i="15"/>
  <c r="AC802" i="15" s="1"/>
  <c r="S794" i="15"/>
  <c r="S802" i="15" s="1"/>
  <c r="AJ794" i="15"/>
  <c r="AJ802" i="15" s="1"/>
  <c r="J794" i="15"/>
  <c r="J802" i="15" s="1"/>
  <c r="AB794" i="15"/>
  <c r="AB802" i="15" s="1"/>
  <c r="AO794" i="15"/>
  <c r="AO802" i="15" s="1"/>
  <c r="Z794" i="15"/>
  <c r="Z802" i="15" s="1"/>
  <c r="N794" i="15"/>
  <c r="N802" i="15" s="1"/>
  <c r="Y794" i="15"/>
  <c r="Y802" i="15" s="1"/>
  <c r="W794" i="15"/>
  <c r="W802" i="15" s="1"/>
  <c r="AN794" i="15"/>
  <c r="AN802" i="15" s="1"/>
  <c r="AM794" i="15"/>
  <c r="AM802" i="15" s="1"/>
  <c r="Q794" i="15"/>
  <c r="Q802" i="15" s="1"/>
  <c r="X794" i="15"/>
  <c r="X802" i="15" s="1"/>
  <c r="O794" i="15"/>
  <c r="O802" i="15" s="1"/>
  <c r="T794" i="15"/>
  <c r="T802" i="15" s="1"/>
  <c r="I794" i="15"/>
  <c r="I802" i="15" s="1"/>
  <c r="AK794" i="15"/>
  <c r="AK802" i="15" s="1"/>
  <c r="M794" i="15"/>
  <c r="M802" i="15" s="1"/>
  <c r="AI794" i="15"/>
  <c r="AI802" i="15" s="1"/>
  <c r="AL794" i="15"/>
  <c r="AL802" i="15" s="1"/>
  <c r="R794" i="15"/>
  <c r="R802" i="15" s="1"/>
  <c r="U794" i="15"/>
  <c r="U802" i="15" s="1"/>
  <c r="L452" i="15"/>
  <c r="L460" i="15" s="1"/>
  <c r="W452" i="15"/>
  <c r="W460" i="15" s="1"/>
  <c r="K452" i="15"/>
  <c r="K460" i="15" s="1"/>
  <c r="AC452" i="15"/>
  <c r="AC460" i="15" s="1"/>
  <c r="S452" i="15"/>
  <c r="S460" i="15" s="1"/>
  <c r="AM452" i="15"/>
  <c r="AM460" i="15" s="1"/>
  <c r="I452" i="15"/>
  <c r="I460" i="15" s="1"/>
  <c r="AK452" i="15"/>
  <c r="AK460" i="15" s="1"/>
  <c r="V452" i="15"/>
  <c r="V460" i="15" s="1"/>
  <c r="Y452" i="15"/>
  <c r="Y460" i="15" s="1"/>
  <c r="N452" i="15"/>
  <c r="N460" i="15" s="1"/>
  <c r="AF452" i="15"/>
  <c r="AF460" i="15" s="1"/>
  <c r="R452" i="15"/>
  <c r="R460" i="15" s="1"/>
  <c r="AB452" i="15"/>
  <c r="AB460" i="15" s="1"/>
  <c r="T452" i="15"/>
  <c r="T460" i="15" s="1"/>
  <c r="AJ452" i="15"/>
  <c r="AJ460" i="15" s="1"/>
  <c r="X452" i="15"/>
  <c r="X460" i="15" s="1"/>
  <c r="AH452" i="15"/>
  <c r="AH460" i="15" s="1"/>
  <c r="P452" i="15"/>
  <c r="P460" i="15" s="1"/>
  <c r="AG452" i="15"/>
  <c r="AG460" i="15" s="1"/>
  <c r="Q452" i="15"/>
  <c r="Q460" i="15" s="1"/>
  <c r="AL452" i="15"/>
  <c r="AL460" i="15" s="1"/>
  <c r="U452" i="15"/>
  <c r="U460" i="15" s="1"/>
  <c r="AE452" i="15"/>
  <c r="AE460" i="15" s="1"/>
  <c r="M452" i="15"/>
  <c r="M460" i="15" s="1"/>
  <c r="AA452" i="15"/>
  <c r="AA460" i="15" s="1"/>
  <c r="J452" i="15"/>
  <c r="J460" i="15" s="1"/>
  <c r="AN452" i="15"/>
  <c r="AN460" i="15" s="1"/>
  <c r="AD452" i="15"/>
  <c r="AD460" i="15" s="1"/>
  <c r="O452" i="15"/>
  <c r="O460" i="15" s="1"/>
  <c r="AI452" i="15"/>
  <c r="AI460" i="15" s="1"/>
  <c r="AO452" i="15"/>
  <c r="AO460" i="15" s="1"/>
  <c r="Z452" i="15"/>
  <c r="Z460" i="15" s="1"/>
  <c r="K474" i="15"/>
  <c r="K482" i="15" s="1"/>
  <c r="AG474" i="15"/>
  <c r="AG482" i="15" s="1"/>
  <c r="AB474" i="15"/>
  <c r="AB482" i="15" s="1"/>
  <c r="AC474" i="15"/>
  <c r="AC482" i="15" s="1"/>
  <c r="I474" i="15"/>
  <c r="I482" i="15" s="1"/>
  <c r="T474" i="15"/>
  <c r="T482" i="15" s="1"/>
  <c r="R474" i="15"/>
  <c r="R482" i="15" s="1"/>
  <c r="V474" i="15"/>
  <c r="V482" i="15" s="1"/>
  <c r="AK474" i="15"/>
  <c r="AK482" i="15" s="1"/>
  <c r="AJ474" i="15"/>
  <c r="AJ482" i="15" s="1"/>
  <c r="Q474" i="15"/>
  <c r="Q482" i="15" s="1"/>
  <c r="AE474" i="15"/>
  <c r="AE482" i="15" s="1"/>
  <c r="AL474" i="15"/>
  <c r="AL482" i="15" s="1"/>
  <c r="AF474" i="15"/>
  <c r="AF482" i="15" s="1"/>
  <c r="L474" i="15"/>
  <c r="L482" i="15" s="1"/>
  <c r="Z474" i="15"/>
  <c r="Z482" i="15" s="1"/>
  <c r="S474" i="15"/>
  <c r="S482" i="15" s="1"/>
  <c r="Y474" i="15"/>
  <c r="Y482" i="15" s="1"/>
  <c r="J474" i="15"/>
  <c r="J482" i="15" s="1"/>
  <c r="W474" i="15"/>
  <c r="W482" i="15" s="1"/>
  <c r="O474" i="15"/>
  <c r="O482" i="15" s="1"/>
  <c r="AA474" i="15"/>
  <c r="AA482" i="15" s="1"/>
  <c r="AH474" i="15"/>
  <c r="AH482" i="15" s="1"/>
  <c r="AN474" i="15"/>
  <c r="AN482" i="15" s="1"/>
  <c r="N474" i="15"/>
  <c r="N482" i="15" s="1"/>
  <c r="AI474" i="15"/>
  <c r="AI482" i="15" s="1"/>
  <c r="AO474" i="15"/>
  <c r="AO482" i="15" s="1"/>
  <c r="U474" i="15"/>
  <c r="U482" i="15" s="1"/>
  <c r="AM474" i="15"/>
  <c r="AM482" i="15" s="1"/>
  <c r="P474" i="15"/>
  <c r="P482" i="15" s="1"/>
  <c r="AD474" i="15"/>
  <c r="AD482" i="15" s="1"/>
  <c r="M474" i="15"/>
  <c r="M482" i="15" s="1"/>
  <c r="X474" i="15"/>
  <c r="X482" i="15" s="1"/>
  <c r="AD154" i="15"/>
  <c r="AD162" i="15" s="1"/>
  <c r="AK154" i="15"/>
  <c r="AK162" i="15" s="1"/>
  <c r="AM154" i="15"/>
  <c r="AM162" i="15" s="1"/>
  <c r="AG154" i="15"/>
  <c r="AG162" i="15" s="1"/>
  <c r="AE154" i="15"/>
  <c r="AE162" i="15" s="1"/>
  <c r="AI154" i="15"/>
  <c r="AI162" i="15" s="1"/>
  <c r="AF154" i="15"/>
  <c r="AF162" i="15" s="1"/>
  <c r="AH154" i="15"/>
  <c r="AH162" i="15" s="1"/>
  <c r="AL154" i="15"/>
  <c r="AL162" i="15" s="1"/>
  <c r="AN154" i="15"/>
  <c r="AN162" i="15" s="1"/>
  <c r="AO154" i="15"/>
  <c r="AO162" i="15" s="1"/>
  <c r="R154" i="15"/>
  <c r="R162" i="15" s="1"/>
  <c r="N154" i="15"/>
  <c r="N162" i="15" s="1"/>
  <c r="Z154" i="15"/>
  <c r="Z162" i="15" s="1"/>
  <c r="O154" i="15"/>
  <c r="O162" i="15" s="1"/>
  <c r="I154" i="15"/>
  <c r="I162" i="15" s="1"/>
  <c r="U154" i="15"/>
  <c r="U162" i="15" s="1"/>
  <c r="W154" i="15"/>
  <c r="W162" i="15" s="1"/>
  <c r="AC154" i="15"/>
  <c r="AC162" i="15" s="1"/>
  <c r="Q154" i="15"/>
  <c r="Q162" i="15" s="1"/>
  <c r="Y154" i="15"/>
  <c r="Y162" i="15" s="1"/>
  <c r="T154" i="15"/>
  <c r="T162" i="15" s="1"/>
  <c r="AJ154" i="15"/>
  <c r="AJ162" i="15" s="1"/>
  <c r="X154" i="15"/>
  <c r="X162" i="15" s="1"/>
  <c r="P154" i="15"/>
  <c r="P162" i="15" s="1"/>
  <c r="AA154" i="15"/>
  <c r="AA162" i="15" s="1"/>
  <c r="M154" i="15"/>
  <c r="M162" i="15" s="1"/>
  <c r="K154" i="15"/>
  <c r="K162" i="15" s="1"/>
  <c r="S154" i="15"/>
  <c r="S162" i="15" s="1"/>
  <c r="J154" i="15"/>
  <c r="J162" i="15" s="1"/>
  <c r="AB154" i="15"/>
  <c r="AB162" i="15" s="1"/>
  <c r="L154" i="15"/>
  <c r="L162" i="15" s="1"/>
  <c r="V154" i="15"/>
  <c r="V162" i="15" s="1"/>
  <c r="F882" i="15"/>
  <c r="F767" i="15"/>
  <c r="K241" i="9"/>
  <c r="K249" i="9" s="1"/>
  <c r="J241" i="9"/>
  <c r="J249" i="9" s="1"/>
  <c r="R241" i="9"/>
  <c r="R249" i="9" s="1"/>
  <c r="S241" i="9"/>
  <c r="S249" i="9" s="1"/>
  <c r="Z241" i="9"/>
  <c r="Z249" i="9" s="1"/>
  <c r="AA241" i="9"/>
  <c r="AA249" i="9" s="1"/>
  <c r="AH241" i="9"/>
  <c r="AH249" i="9" s="1"/>
  <c r="AI241" i="9"/>
  <c r="AI249" i="9" s="1"/>
  <c r="AM241" i="9"/>
  <c r="AM249" i="9" s="1"/>
  <c r="T241" i="9"/>
  <c r="T249" i="9" s="1"/>
  <c r="N241" i="9"/>
  <c r="N249" i="9" s="1"/>
  <c r="M241" i="9"/>
  <c r="M249" i="9" s="1"/>
  <c r="I241" i="9"/>
  <c r="I249" i="9" s="1"/>
  <c r="AE241" i="9"/>
  <c r="AE249" i="9" s="1"/>
  <c r="U241" i="9"/>
  <c r="U249" i="9" s="1"/>
  <c r="V241" i="9"/>
  <c r="V249" i="9" s="1"/>
  <c r="W241" i="9"/>
  <c r="W249" i="9" s="1"/>
  <c r="AJ241" i="9"/>
  <c r="AJ249" i="9" s="1"/>
  <c r="AC241" i="9"/>
  <c r="AC249" i="9" s="1"/>
  <c r="AD241" i="9"/>
  <c r="AD249" i="9" s="1"/>
  <c r="AB241" i="9"/>
  <c r="AB249" i="9" s="1"/>
  <c r="L241" i="9"/>
  <c r="L249" i="9" s="1"/>
  <c r="AK241" i="9"/>
  <c r="AK249" i="9" s="1"/>
  <c r="AL241" i="9"/>
  <c r="AL249" i="9" s="1"/>
  <c r="Q241" i="9"/>
  <c r="Q249" i="9" s="1"/>
  <c r="P241" i="9"/>
  <c r="P249" i="9" s="1"/>
  <c r="X241" i="9"/>
  <c r="X249" i="9" s="1"/>
  <c r="Y241" i="9"/>
  <c r="Y249" i="9" s="1"/>
  <c r="AF241" i="9"/>
  <c r="AF249" i="9" s="1"/>
  <c r="AG241" i="9"/>
  <c r="AG249" i="9" s="1"/>
  <c r="O241" i="9"/>
  <c r="O249" i="9" s="1"/>
  <c r="AN241" i="9"/>
  <c r="AN249" i="9" s="1"/>
  <c r="AO241" i="9"/>
  <c r="AO249" i="9" s="1"/>
  <c r="I94" i="14"/>
  <c r="AN152" i="15"/>
  <c r="AK152" i="15"/>
  <c r="AL152" i="15"/>
  <c r="AM152" i="15"/>
  <c r="AO152" i="15"/>
  <c r="AF152" i="15"/>
  <c r="AJ152" i="15"/>
  <c r="AH152" i="15"/>
  <c r="AI152" i="15"/>
  <c r="O152" i="15"/>
  <c r="O160" i="15" s="1"/>
  <c r="AA152" i="15"/>
  <c r="R152" i="15"/>
  <c r="R160" i="15" s="1"/>
  <c r="AB152" i="15"/>
  <c r="L152" i="15"/>
  <c r="L160" i="15" s="1"/>
  <c r="AC152" i="15"/>
  <c r="AD152" i="15"/>
  <c r="J152" i="15"/>
  <c r="J160" i="15" s="1"/>
  <c r="X152" i="15"/>
  <c r="AG152" i="15"/>
  <c r="N152" i="15"/>
  <c r="N160" i="15" s="1"/>
  <c r="V152" i="15"/>
  <c r="T152" i="15"/>
  <c r="U152" i="15"/>
  <c r="AE152" i="15"/>
  <c r="I152" i="15"/>
  <c r="I160" i="15" s="1"/>
  <c r="M152" i="15"/>
  <c r="M160" i="15" s="1"/>
  <c r="W152" i="15"/>
  <c r="S152" i="15"/>
  <c r="S160" i="15" s="1"/>
  <c r="K152" i="15"/>
  <c r="K160" i="15" s="1"/>
  <c r="Y152" i="15"/>
  <c r="Q152" i="15"/>
  <c r="Q160" i="15" s="1"/>
  <c r="Z152" i="15"/>
  <c r="P152" i="15"/>
  <c r="P160" i="15" s="1"/>
  <c r="K494" i="16"/>
  <c r="K502" i="16" s="1"/>
  <c r="AG494" i="16"/>
  <c r="AG502" i="16" s="1"/>
  <c r="P494" i="16"/>
  <c r="P502" i="16" s="1"/>
  <c r="X494" i="16"/>
  <c r="X502" i="16" s="1"/>
  <c r="J494" i="16"/>
  <c r="J502" i="16" s="1"/>
  <c r="W494" i="16"/>
  <c r="W502" i="16" s="1"/>
  <c r="R494" i="16"/>
  <c r="R502" i="16" s="1"/>
  <c r="AO494" i="16"/>
  <c r="AO502" i="16" s="1"/>
  <c r="AM494" i="16"/>
  <c r="AM502" i="16" s="1"/>
  <c r="AE494" i="16"/>
  <c r="AE502" i="16" s="1"/>
  <c r="Z494" i="16"/>
  <c r="Z502" i="16" s="1"/>
  <c r="AK494" i="16"/>
  <c r="AK502" i="16" s="1"/>
  <c r="M494" i="16"/>
  <c r="M502" i="16" s="1"/>
  <c r="AF494" i="16"/>
  <c r="AF502" i="16" s="1"/>
  <c r="O494" i="16"/>
  <c r="O502" i="16" s="1"/>
  <c r="AC494" i="16"/>
  <c r="AC502" i="16" s="1"/>
  <c r="AD494" i="16"/>
  <c r="AD502" i="16" s="1"/>
  <c r="AI494" i="16"/>
  <c r="AI502" i="16" s="1"/>
  <c r="L494" i="16"/>
  <c r="L502" i="16" s="1"/>
  <c r="AN494" i="16"/>
  <c r="AN502" i="16" s="1"/>
  <c r="Q494" i="16"/>
  <c r="Q502" i="16" s="1"/>
  <c r="AB494" i="16"/>
  <c r="AB502" i="16" s="1"/>
  <c r="AJ494" i="16"/>
  <c r="AJ502" i="16" s="1"/>
  <c r="Y494" i="16"/>
  <c r="Y502" i="16" s="1"/>
  <c r="AH494" i="16"/>
  <c r="AH502" i="16" s="1"/>
  <c r="S494" i="16"/>
  <c r="S502" i="16" s="1"/>
  <c r="V494" i="16"/>
  <c r="V502" i="16" s="1"/>
  <c r="N494" i="16"/>
  <c r="N502" i="16" s="1"/>
  <c r="U494" i="16"/>
  <c r="U502" i="16" s="1"/>
  <c r="I494" i="16"/>
  <c r="I502" i="16" s="1"/>
  <c r="AA494" i="16"/>
  <c r="AA502" i="16" s="1"/>
  <c r="T494" i="16"/>
  <c r="T502" i="16" s="1"/>
  <c r="AL494" i="16"/>
  <c r="AL502" i="16" s="1"/>
  <c r="AP273" i="15"/>
  <c r="AP281" i="15" s="1"/>
  <c r="AI273" i="15"/>
  <c r="AI281" i="15" s="1"/>
  <c r="AO273" i="15"/>
  <c r="AO281" i="15" s="1"/>
  <c r="AN273" i="15"/>
  <c r="AN281" i="15" s="1"/>
  <c r="AL273" i="15"/>
  <c r="AL281" i="15" s="1"/>
  <c r="AH273" i="15"/>
  <c r="AH281" i="15" s="1"/>
  <c r="AK273" i="15"/>
  <c r="AK281" i="15" s="1"/>
  <c r="AJ273" i="15"/>
  <c r="AJ281" i="15" s="1"/>
  <c r="AM273" i="15"/>
  <c r="AM281" i="15" s="1"/>
  <c r="M273" i="15"/>
  <c r="M281" i="15" s="1"/>
  <c r="N273" i="15"/>
  <c r="N281" i="15" s="1"/>
  <c r="AB273" i="15"/>
  <c r="AB281" i="15" s="1"/>
  <c r="R273" i="15"/>
  <c r="R281" i="15" s="1"/>
  <c r="Z273" i="15"/>
  <c r="Z281" i="15" s="1"/>
  <c r="P273" i="15"/>
  <c r="P281" i="15" s="1"/>
  <c r="S273" i="15"/>
  <c r="S281" i="15" s="1"/>
  <c r="AF273" i="15"/>
  <c r="AF281" i="15" s="1"/>
  <c r="J273" i="15"/>
  <c r="J281" i="15" s="1"/>
  <c r="Y273" i="15"/>
  <c r="Y281" i="15" s="1"/>
  <c r="AA273" i="15"/>
  <c r="AA281" i="15" s="1"/>
  <c r="AD273" i="15"/>
  <c r="AD281" i="15" s="1"/>
  <c r="T273" i="15"/>
  <c r="T281" i="15" s="1"/>
  <c r="L273" i="15"/>
  <c r="L281" i="15" s="1"/>
  <c r="X273" i="15"/>
  <c r="X281" i="15" s="1"/>
  <c r="I273" i="15"/>
  <c r="I281" i="15" s="1"/>
  <c r="AC273" i="15"/>
  <c r="AC281" i="15" s="1"/>
  <c r="AE273" i="15"/>
  <c r="AE281" i="15" s="1"/>
  <c r="V273" i="15"/>
  <c r="V281" i="15" s="1"/>
  <c r="W273" i="15"/>
  <c r="W281" i="15" s="1"/>
  <c r="K273" i="15"/>
  <c r="K281" i="15" s="1"/>
  <c r="U273" i="15"/>
  <c r="U281" i="15" s="1"/>
  <c r="O273" i="15"/>
  <c r="O281" i="15" s="1"/>
  <c r="Q273" i="15"/>
  <c r="Q281" i="15" s="1"/>
  <c r="AG273" i="15"/>
  <c r="AG281" i="15" s="1"/>
  <c r="AN395" i="16"/>
  <c r="AN403" i="16" s="1"/>
  <c r="AI395" i="16"/>
  <c r="AI403" i="16" s="1"/>
  <c r="AM395" i="16"/>
  <c r="AM403" i="16" s="1"/>
  <c r="AO395" i="16"/>
  <c r="AO403" i="16" s="1"/>
  <c r="AK395" i="16"/>
  <c r="AK403" i="16" s="1"/>
  <c r="AJ395" i="16"/>
  <c r="AJ403" i="16" s="1"/>
  <c r="AH395" i="16"/>
  <c r="AH403" i="16" s="1"/>
  <c r="AL395" i="16"/>
  <c r="AL403" i="16" s="1"/>
  <c r="Y395" i="16"/>
  <c r="Y403" i="16" s="1"/>
  <c r="AC395" i="16"/>
  <c r="AC403" i="16" s="1"/>
  <c r="P395" i="16"/>
  <c r="P403" i="16" s="1"/>
  <c r="AG395" i="16"/>
  <c r="AG403" i="16" s="1"/>
  <c r="AE395" i="16"/>
  <c r="AE403" i="16" s="1"/>
  <c r="T395" i="16"/>
  <c r="T403" i="16" s="1"/>
  <c r="AD395" i="16"/>
  <c r="AD403" i="16" s="1"/>
  <c r="AA395" i="16"/>
  <c r="AA403" i="16" s="1"/>
  <c r="I395" i="16"/>
  <c r="I403" i="16" s="1"/>
  <c r="Z395" i="16"/>
  <c r="Z403" i="16" s="1"/>
  <c r="O395" i="16"/>
  <c r="O403" i="16" s="1"/>
  <c r="M395" i="16"/>
  <c r="M403" i="16" s="1"/>
  <c r="N395" i="16"/>
  <c r="N403" i="16" s="1"/>
  <c r="X395" i="16"/>
  <c r="X403" i="16" s="1"/>
  <c r="Q395" i="16"/>
  <c r="Q403" i="16" s="1"/>
  <c r="V395" i="16"/>
  <c r="V403" i="16" s="1"/>
  <c r="R395" i="16"/>
  <c r="R403" i="16" s="1"/>
  <c r="W395" i="16"/>
  <c r="W403" i="16" s="1"/>
  <c r="U395" i="16"/>
  <c r="U403" i="16" s="1"/>
  <c r="J395" i="16"/>
  <c r="J403" i="16" s="1"/>
  <c r="AB395" i="16"/>
  <c r="AB403" i="16" s="1"/>
  <c r="K395" i="16"/>
  <c r="K403" i="16" s="1"/>
  <c r="L395" i="16"/>
  <c r="L403" i="16" s="1"/>
  <c r="AF395" i="16"/>
  <c r="AF403" i="16" s="1"/>
  <c r="S395" i="16"/>
  <c r="S403" i="16" s="1"/>
  <c r="AF112" i="14"/>
  <c r="AF120" i="14" s="1"/>
  <c r="AA112" i="14"/>
  <c r="AA120" i="14" s="1"/>
  <c r="L112" i="14"/>
  <c r="L120" i="14" s="1"/>
  <c r="AO112" i="14"/>
  <c r="AO120" i="14" s="1"/>
  <c r="K112" i="14"/>
  <c r="K120" i="14" s="1"/>
  <c r="AN112" i="14"/>
  <c r="AN120" i="14" s="1"/>
  <c r="Z112" i="14"/>
  <c r="Z120" i="14" s="1"/>
  <c r="AM112" i="14"/>
  <c r="AM120" i="14" s="1"/>
  <c r="AB112" i="14"/>
  <c r="AB120" i="14" s="1"/>
  <c r="AI112" i="14"/>
  <c r="AI120" i="14" s="1"/>
  <c r="U112" i="14"/>
  <c r="U120" i="14" s="1"/>
  <c r="AL112" i="14"/>
  <c r="AL120" i="14" s="1"/>
  <c r="J112" i="14"/>
  <c r="J120" i="14" s="1"/>
  <c r="AH112" i="14"/>
  <c r="AH120" i="14" s="1"/>
  <c r="Q112" i="14"/>
  <c r="Q120" i="14" s="1"/>
  <c r="V112" i="14"/>
  <c r="V120" i="14" s="1"/>
  <c r="P112" i="14"/>
  <c r="P120" i="14" s="1"/>
  <c r="AC112" i="14"/>
  <c r="AC120" i="14" s="1"/>
  <c r="O112" i="14"/>
  <c r="O120" i="14" s="1"/>
  <c r="AD112" i="14"/>
  <c r="AD120" i="14" s="1"/>
  <c r="N112" i="14"/>
  <c r="N120" i="14" s="1"/>
  <c r="AJ112" i="14"/>
  <c r="AJ120" i="14" s="1"/>
  <c r="Y112" i="14"/>
  <c r="Y120" i="14" s="1"/>
  <c r="AK112" i="14"/>
  <c r="AK120" i="14" s="1"/>
  <c r="R112" i="14"/>
  <c r="R120" i="14" s="1"/>
  <c r="AE112" i="14"/>
  <c r="AE120" i="14" s="1"/>
  <c r="M112" i="14"/>
  <c r="M120" i="14" s="1"/>
  <c r="T112" i="14"/>
  <c r="T120" i="14" s="1"/>
  <c r="X112" i="14"/>
  <c r="X120" i="14" s="1"/>
  <c r="AG112" i="14"/>
  <c r="AG120" i="14" s="1"/>
  <c r="S112" i="14"/>
  <c r="S120" i="14" s="1"/>
  <c r="AP112" i="14"/>
  <c r="AP120" i="14" s="1"/>
  <c r="W112" i="14"/>
  <c r="W120" i="14" s="1"/>
  <c r="I112" i="14"/>
  <c r="AO160" i="7"/>
  <c r="AO168" i="7" s="1"/>
  <c r="AL160" i="7"/>
  <c r="AL168" i="7" s="1"/>
  <c r="AE160" i="7"/>
  <c r="AE168" i="7" s="1"/>
  <c r="AI160" i="7"/>
  <c r="AI168" i="7" s="1"/>
  <c r="AH160" i="7"/>
  <c r="AH168" i="7" s="1"/>
  <c r="AN160" i="7"/>
  <c r="AN168" i="7" s="1"/>
  <c r="AK160" i="7"/>
  <c r="AK168" i="7" s="1"/>
  <c r="AC160" i="7"/>
  <c r="AC168" i="7" s="1"/>
  <c r="AF160" i="7"/>
  <c r="AF168" i="7" s="1"/>
  <c r="AJ160" i="7"/>
  <c r="AJ168" i="7" s="1"/>
  <c r="AG160" i="7"/>
  <c r="AG168" i="7" s="1"/>
  <c r="AD160" i="7"/>
  <c r="AD168" i="7" s="1"/>
  <c r="AM160" i="7"/>
  <c r="AM168" i="7" s="1"/>
  <c r="L160" i="7"/>
  <c r="L168" i="7" s="1"/>
  <c r="Q160" i="7"/>
  <c r="Q168" i="7" s="1"/>
  <c r="S160" i="7"/>
  <c r="S168" i="7" s="1"/>
  <c r="O160" i="7"/>
  <c r="O168" i="7" s="1"/>
  <c r="K160" i="7"/>
  <c r="K168" i="7" s="1"/>
  <c r="Z160" i="7"/>
  <c r="Z168" i="7" s="1"/>
  <c r="X160" i="7"/>
  <c r="X168" i="7" s="1"/>
  <c r="J160" i="7"/>
  <c r="J168" i="7" s="1"/>
  <c r="R160" i="7"/>
  <c r="R168" i="7" s="1"/>
  <c r="AA160" i="7"/>
  <c r="AA168" i="7" s="1"/>
  <c r="U160" i="7"/>
  <c r="U168" i="7" s="1"/>
  <c r="T160" i="7"/>
  <c r="T168" i="7" s="1"/>
  <c r="V160" i="7"/>
  <c r="V168" i="7" s="1"/>
  <c r="I160" i="7"/>
  <c r="AB160" i="7"/>
  <c r="AB168" i="7" s="1"/>
  <c r="P160" i="7"/>
  <c r="P168" i="7" s="1"/>
  <c r="N160" i="7"/>
  <c r="N168" i="7" s="1"/>
  <c r="M160" i="7"/>
  <c r="M168" i="7" s="1"/>
  <c r="W160" i="7"/>
  <c r="W168" i="7" s="1"/>
  <c r="Y160" i="7"/>
  <c r="Y168" i="7" s="1"/>
  <c r="I82" i="17"/>
  <c r="I84" i="17" s="1"/>
  <c r="F128" i="15"/>
  <c r="F246" i="15"/>
  <c r="AL127" i="16"/>
  <c r="O127" i="16"/>
  <c r="U127" i="16"/>
  <c r="AK127" i="16"/>
  <c r="Q127" i="16"/>
  <c r="I127" i="16"/>
  <c r="AB127" i="16"/>
  <c r="W127" i="16"/>
  <c r="T127" i="16"/>
  <c r="Y127" i="16"/>
  <c r="X127" i="16"/>
  <c r="AI127" i="16"/>
  <c r="AF127" i="16"/>
  <c r="AG127" i="16"/>
  <c r="AH127" i="16"/>
  <c r="M127" i="16"/>
  <c r="AC127" i="16"/>
  <c r="AD127" i="16"/>
  <c r="N127" i="16"/>
  <c r="AN127" i="16"/>
  <c r="K127" i="16"/>
  <c r="V127" i="16"/>
  <c r="S127" i="16"/>
  <c r="AA127" i="16"/>
  <c r="P127" i="16"/>
  <c r="R127" i="16"/>
  <c r="L127" i="16"/>
  <c r="Z127" i="16"/>
  <c r="AJ127" i="16"/>
  <c r="AM127" i="16"/>
  <c r="AE127" i="16"/>
  <c r="J127" i="16"/>
  <c r="Q253" i="8"/>
  <c r="Q261" i="8" s="1"/>
  <c r="X253" i="8"/>
  <c r="X261" i="8" s="1"/>
  <c r="V253" i="8"/>
  <c r="V261" i="8" s="1"/>
  <c r="Z253" i="8"/>
  <c r="Z261" i="8" s="1"/>
  <c r="K253" i="8"/>
  <c r="K261" i="8" s="1"/>
  <c r="AH253" i="8"/>
  <c r="AH261" i="8" s="1"/>
  <c r="P253" i="8"/>
  <c r="P261" i="8" s="1"/>
  <c r="AE253" i="8"/>
  <c r="AE261" i="8" s="1"/>
  <c r="AD253" i="8"/>
  <c r="AD261" i="8" s="1"/>
  <c r="AF253" i="8"/>
  <c r="AF261" i="8" s="1"/>
  <c r="S253" i="8"/>
  <c r="S261" i="8" s="1"/>
  <c r="AM253" i="8"/>
  <c r="AM261" i="8" s="1"/>
  <c r="W253" i="8"/>
  <c r="W261" i="8" s="1"/>
  <c r="O253" i="8"/>
  <c r="O261" i="8" s="1"/>
  <c r="AA253" i="8"/>
  <c r="AA261" i="8" s="1"/>
  <c r="AJ253" i="8"/>
  <c r="AJ261" i="8" s="1"/>
  <c r="M253" i="8"/>
  <c r="M261" i="8" s="1"/>
  <c r="L253" i="8"/>
  <c r="L261" i="8" s="1"/>
  <c r="I253" i="8"/>
  <c r="I261" i="8" s="1"/>
  <c r="U253" i="8"/>
  <c r="U261" i="8" s="1"/>
  <c r="Y253" i="8"/>
  <c r="Y261" i="8" s="1"/>
  <c r="AK253" i="8"/>
  <c r="AK261" i="8" s="1"/>
  <c r="N253" i="8"/>
  <c r="N261" i="8" s="1"/>
  <c r="AB253" i="8"/>
  <c r="AB261" i="8" s="1"/>
  <c r="AL253" i="8"/>
  <c r="AL261" i="8" s="1"/>
  <c r="J253" i="8"/>
  <c r="J261" i="8" s="1"/>
  <c r="AO253" i="8"/>
  <c r="AO261" i="8" s="1"/>
  <c r="R253" i="8"/>
  <c r="R261" i="8" s="1"/>
  <c r="AC253" i="8"/>
  <c r="AC261" i="8" s="1"/>
  <c r="AN253" i="8"/>
  <c r="AN261" i="8" s="1"/>
  <c r="AI253" i="8"/>
  <c r="AI261" i="8" s="1"/>
  <c r="T253" i="8"/>
  <c r="T261" i="8" s="1"/>
  <c r="AG253" i="8"/>
  <c r="AG261" i="8" s="1"/>
  <c r="AN161" i="8"/>
  <c r="AN169" i="8" s="1"/>
  <c r="Z161" i="8"/>
  <c r="Z169" i="8" s="1"/>
  <c r="AH161" i="8"/>
  <c r="AH169" i="8" s="1"/>
  <c r="AF161" i="8"/>
  <c r="AF169" i="8" s="1"/>
  <c r="Y161" i="8"/>
  <c r="Y169" i="8" s="1"/>
  <c r="L161" i="8"/>
  <c r="L169" i="8" s="1"/>
  <c r="O161" i="8"/>
  <c r="O169" i="8" s="1"/>
  <c r="N161" i="8"/>
  <c r="N169" i="8" s="1"/>
  <c r="X161" i="8"/>
  <c r="X169" i="8" s="1"/>
  <c r="V161" i="8"/>
  <c r="V169" i="8" s="1"/>
  <c r="U161" i="8"/>
  <c r="U169" i="8" s="1"/>
  <c r="AC161" i="8"/>
  <c r="AC169" i="8" s="1"/>
  <c r="AA161" i="8"/>
  <c r="AA169" i="8" s="1"/>
  <c r="W161" i="8"/>
  <c r="W169" i="8" s="1"/>
  <c r="AG161" i="8"/>
  <c r="AG169" i="8" s="1"/>
  <c r="J161" i="8"/>
  <c r="J169" i="8" s="1"/>
  <c r="AI161" i="8"/>
  <c r="AI169" i="8" s="1"/>
  <c r="AO161" i="8"/>
  <c r="AO169" i="8" s="1"/>
  <c r="S161" i="8"/>
  <c r="S169" i="8" s="1"/>
  <c r="AJ161" i="8"/>
  <c r="AJ169" i="8" s="1"/>
  <c r="R161" i="8"/>
  <c r="R169" i="8" s="1"/>
  <c r="P161" i="8"/>
  <c r="P169" i="8" s="1"/>
  <c r="AM161" i="8"/>
  <c r="AM169" i="8" s="1"/>
  <c r="K161" i="8"/>
  <c r="K169" i="8" s="1"/>
  <c r="AL161" i="8"/>
  <c r="AL169" i="8" s="1"/>
  <c r="T161" i="8"/>
  <c r="T169" i="8" s="1"/>
  <c r="M161" i="8"/>
  <c r="M169" i="8" s="1"/>
  <c r="Q161" i="8"/>
  <c r="Q169" i="8" s="1"/>
  <c r="AE161" i="8"/>
  <c r="AE169" i="8" s="1"/>
  <c r="AD161" i="8"/>
  <c r="AD169" i="8" s="1"/>
  <c r="AK161" i="8"/>
  <c r="AK169" i="8" s="1"/>
  <c r="AB161" i="8"/>
  <c r="AB169" i="8" s="1"/>
  <c r="I161" i="8"/>
  <c r="AH259" i="14"/>
  <c r="AH267" i="14" s="1"/>
  <c r="AD259" i="14"/>
  <c r="AD267" i="14" s="1"/>
  <c r="AI259" i="14"/>
  <c r="AI267" i="14" s="1"/>
  <c r="Q259" i="14"/>
  <c r="Q267" i="14" s="1"/>
  <c r="AG259" i="14"/>
  <c r="AG267" i="14" s="1"/>
  <c r="AJ259" i="14"/>
  <c r="AJ267" i="14" s="1"/>
  <c r="Z259" i="14"/>
  <c r="Z267" i="14" s="1"/>
  <c r="N259" i="14"/>
  <c r="N267" i="14" s="1"/>
  <c r="S259" i="14"/>
  <c r="S267" i="14" s="1"/>
  <c r="AC259" i="14"/>
  <c r="AC267" i="14" s="1"/>
  <c r="P259" i="14"/>
  <c r="P267" i="14" s="1"/>
  <c r="J259" i="14"/>
  <c r="J267" i="14" s="1"/>
  <c r="AM259" i="14"/>
  <c r="AM267" i="14" s="1"/>
  <c r="AK259" i="14"/>
  <c r="AK267" i="14" s="1"/>
  <c r="AB259" i="14"/>
  <c r="AB267" i="14" s="1"/>
  <c r="I259" i="14"/>
  <c r="I267" i="14" s="1"/>
  <c r="M259" i="14"/>
  <c r="M267" i="14" s="1"/>
  <c r="R259" i="14"/>
  <c r="R267" i="14" s="1"/>
  <c r="X259" i="14"/>
  <c r="X267" i="14" s="1"/>
  <c r="AP259" i="14"/>
  <c r="AP267" i="14" s="1"/>
  <c r="AO259" i="14"/>
  <c r="AO267" i="14" s="1"/>
  <c r="O259" i="14"/>
  <c r="O267" i="14" s="1"/>
  <c r="L259" i="14"/>
  <c r="L267" i="14" s="1"/>
  <c r="K259" i="14"/>
  <c r="K267" i="14" s="1"/>
  <c r="AN259" i="14"/>
  <c r="AN267" i="14" s="1"/>
  <c r="T259" i="14"/>
  <c r="T267" i="14" s="1"/>
  <c r="V259" i="14"/>
  <c r="V267" i="14" s="1"/>
  <c r="AF259" i="14"/>
  <c r="AF267" i="14" s="1"/>
  <c r="Y259" i="14"/>
  <c r="Y267" i="14" s="1"/>
  <c r="AE259" i="14"/>
  <c r="AE267" i="14" s="1"/>
  <c r="AA259" i="14"/>
  <c r="AA267" i="14" s="1"/>
  <c r="W259" i="14"/>
  <c r="W267" i="14" s="1"/>
  <c r="U259" i="14"/>
  <c r="U267" i="14" s="1"/>
  <c r="AL259" i="14"/>
  <c r="AL267" i="14" s="1"/>
  <c r="K757" i="16"/>
  <c r="K765" i="16" s="1"/>
  <c r="X757" i="16"/>
  <c r="X765" i="16" s="1"/>
  <c r="M757" i="16"/>
  <c r="M765" i="16" s="1"/>
  <c r="AE757" i="16"/>
  <c r="AE765" i="16" s="1"/>
  <c r="V757" i="16"/>
  <c r="V765" i="16" s="1"/>
  <c r="R757" i="16"/>
  <c r="R765" i="16" s="1"/>
  <c r="W757" i="16"/>
  <c r="W765" i="16" s="1"/>
  <c r="I757" i="16"/>
  <c r="I765" i="16" s="1"/>
  <c r="AD757" i="16"/>
  <c r="AD765" i="16" s="1"/>
  <c r="AP757" i="16"/>
  <c r="AP765" i="16" s="1"/>
  <c r="AM757" i="16"/>
  <c r="AM765" i="16" s="1"/>
  <c r="L757" i="16"/>
  <c r="L765" i="16" s="1"/>
  <c r="AK757" i="16"/>
  <c r="AK765" i="16" s="1"/>
  <c r="T757" i="16"/>
  <c r="T765" i="16" s="1"/>
  <c r="AB757" i="16"/>
  <c r="AB765" i="16" s="1"/>
  <c r="P757" i="16"/>
  <c r="P765" i="16" s="1"/>
  <c r="AC757" i="16"/>
  <c r="AC765" i="16" s="1"/>
  <c r="U757" i="16"/>
  <c r="U765" i="16" s="1"/>
  <c r="AL757" i="16"/>
  <c r="AL765" i="16" s="1"/>
  <c r="O757" i="16"/>
  <c r="O765" i="16" s="1"/>
  <c r="S757" i="16"/>
  <c r="S765" i="16" s="1"/>
  <c r="Q757" i="16"/>
  <c r="Q765" i="16" s="1"/>
  <c r="AQ757" i="16"/>
  <c r="AH757" i="16"/>
  <c r="AH765" i="16" s="1"/>
  <c r="Z757" i="16"/>
  <c r="Z765" i="16" s="1"/>
  <c r="AF757" i="16"/>
  <c r="AF765" i="16" s="1"/>
  <c r="AI757" i="16"/>
  <c r="AI765" i="16" s="1"/>
  <c r="AN757" i="16"/>
  <c r="AN765" i="16" s="1"/>
  <c r="AJ757" i="16"/>
  <c r="AJ765" i="16" s="1"/>
  <c r="AA757" i="16"/>
  <c r="AA765" i="16" s="1"/>
  <c r="N757" i="16"/>
  <c r="N765" i="16" s="1"/>
  <c r="AO757" i="16"/>
  <c r="AO765" i="16" s="1"/>
  <c r="AG757" i="16"/>
  <c r="AG765" i="16" s="1"/>
  <c r="J757" i="16"/>
  <c r="J765" i="16" s="1"/>
  <c r="Y757" i="16"/>
  <c r="Y765" i="16" s="1"/>
  <c r="AM229" i="16"/>
  <c r="AM237" i="16" s="1"/>
  <c r="AG229" i="16"/>
  <c r="AG237" i="16" s="1"/>
  <c r="AL229" i="16"/>
  <c r="AL237" i="16" s="1"/>
  <c r="AC229" i="16"/>
  <c r="AC237" i="16" s="1"/>
  <c r="AP229" i="16"/>
  <c r="AP237" i="16" s="1"/>
  <c r="AP494" i="16"/>
  <c r="AP502" i="16" s="1"/>
  <c r="AJ229" i="16"/>
  <c r="AJ237" i="16" s="1"/>
  <c r="T229" i="16"/>
  <c r="T237" i="16" s="1"/>
  <c r="AE229" i="16"/>
  <c r="AE237" i="16" s="1"/>
  <c r="I229" i="16"/>
  <c r="I237" i="16" s="1"/>
  <c r="AI229" i="16"/>
  <c r="AI237" i="16" s="1"/>
  <c r="AN229" i="16"/>
  <c r="AN237" i="16" s="1"/>
  <c r="AK229" i="16"/>
  <c r="AK237" i="16" s="1"/>
  <c r="AF229" i="16"/>
  <c r="AF237" i="16" s="1"/>
  <c r="S229" i="16"/>
  <c r="S237" i="16" s="1"/>
  <c r="P229" i="16"/>
  <c r="P237" i="16" s="1"/>
  <c r="AO229" i="16"/>
  <c r="AO237" i="16" s="1"/>
  <c r="AD229" i="16"/>
  <c r="AD237" i="16" s="1"/>
  <c r="L229" i="16"/>
  <c r="L237" i="16" s="1"/>
  <c r="K229" i="16"/>
  <c r="K237" i="16" s="1"/>
  <c r="AH229" i="16"/>
  <c r="AH237" i="16" s="1"/>
  <c r="AA229" i="16"/>
  <c r="AA237" i="16" s="1"/>
  <c r="V229" i="16"/>
  <c r="V237" i="16" s="1"/>
  <c r="R229" i="16"/>
  <c r="R237" i="16" s="1"/>
  <c r="Z229" i="16"/>
  <c r="Z237" i="16" s="1"/>
  <c r="O229" i="16"/>
  <c r="O237" i="16" s="1"/>
  <c r="U229" i="16"/>
  <c r="U237" i="16" s="1"/>
  <c r="N229" i="16"/>
  <c r="N237" i="16" s="1"/>
  <c r="Q229" i="16"/>
  <c r="Q237" i="16" s="1"/>
  <c r="Y229" i="16"/>
  <c r="Y237" i="16" s="1"/>
  <c r="M229" i="16"/>
  <c r="M237" i="16" s="1"/>
  <c r="W229" i="16"/>
  <c r="W237" i="16" s="1"/>
  <c r="J229" i="16"/>
  <c r="J237" i="16" s="1"/>
  <c r="AB229" i="16"/>
  <c r="AB237" i="16" s="1"/>
  <c r="X229" i="16"/>
  <c r="X237" i="16" s="1"/>
  <c r="O909" i="15"/>
  <c r="O917" i="15" s="1"/>
  <c r="AM909" i="15"/>
  <c r="AM917" i="15" s="1"/>
  <c r="AK909" i="15"/>
  <c r="AK917" i="15" s="1"/>
  <c r="AD909" i="15"/>
  <c r="AD917" i="15" s="1"/>
  <c r="V909" i="15"/>
  <c r="V917" i="15" s="1"/>
  <c r="AL909" i="15"/>
  <c r="AL917" i="15" s="1"/>
  <c r="AC909" i="15"/>
  <c r="AC917" i="15" s="1"/>
  <c r="T909" i="15"/>
  <c r="T917" i="15" s="1"/>
  <c r="S909" i="15"/>
  <c r="S917" i="15" s="1"/>
  <c r="AH909" i="15"/>
  <c r="AH917" i="15" s="1"/>
  <c r="U909" i="15"/>
  <c r="U917" i="15" s="1"/>
  <c r="N909" i="15"/>
  <c r="N917" i="15" s="1"/>
  <c r="X909" i="15"/>
  <c r="X917" i="15" s="1"/>
  <c r="AE909" i="15"/>
  <c r="AE917" i="15" s="1"/>
  <c r="AO909" i="15"/>
  <c r="AO917" i="15" s="1"/>
  <c r="AF909" i="15"/>
  <c r="AF917" i="15" s="1"/>
  <c r="AP909" i="15"/>
  <c r="AP917" i="15" s="1"/>
  <c r="L909" i="15"/>
  <c r="L917" i="15" s="1"/>
  <c r="P909" i="15"/>
  <c r="P917" i="15" s="1"/>
  <c r="W909" i="15"/>
  <c r="W917" i="15" s="1"/>
  <c r="I909" i="15"/>
  <c r="I917" i="15" s="1"/>
  <c r="J909" i="15"/>
  <c r="J917" i="15" s="1"/>
  <c r="Z909" i="15"/>
  <c r="Z917" i="15" s="1"/>
  <c r="Y909" i="15"/>
  <c r="Y917" i="15" s="1"/>
  <c r="AB909" i="15"/>
  <c r="AB917" i="15" s="1"/>
  <c r="AI909" i="15"/>
  <c r="AI917" i="15" s="1"/>
  <c r="AJ909" i="15"/>
  <c r="AJ917" i="15" s="1"/>
  <c r="M909" i="15"/>
  <c r="M917" i="15" s="1"/>
  <c r="K909" i="15"/>
  <c r="K917" i="15" s="1"/>
  <c r="R909" i="15"/>
  <c r="R917" i="15" s="1"/>
  <c r="AG909" i="15"/>
  <c r="AG917" i="15" s="1"/>
  <c r="Q909" i="15"/>
  <c r="Q917" i="15" s="1"/>
  <c r="AA909" i="15"/>
  <c r="AA917" i="15" s="1"/>
  <c r="AN909" i="15"/>
  <c r="AN917" i="15" s="1"/>
  <c r="Z566" i="15"/>
  <c r="Z574" i="15" s="1"/>
  <c r="AI566" i="15"/>
  <c r="AI574" i="15" s="1"/>
  <c r="O566" i="15"/>
  <c r="O574" i="15" s="1"/>
  <c r="U566" i="15"/>
  <c r="U574" i="15" s="1"/>
  <c r="N566" i="15"/>
  <c r="N574" i="15" s="1"/>
  <c r="AC566" i="15"/>
  <c r="AC574" i="15" s="1"/>
  <c r="M566" i="15"/>
  <c r="M574" i="15" s="1"/>
  <c r="AM566" i="15"/>
  <c r="AM574" i="15" s="1"/>
  <c r="J566" i="15"/>
  <c r="J574" i="15" s="1"/>
  <c r="AN566" i="15"/>
  <c r="AN574" i="15" s="1"/>
  <c r="Y566" i="15"/>
  <c r="Y574" i="15" s="1"/>
  <c r="AO566" i="15"/>
  <c r="AO574" i="15" s="1"/>
  <c r="S566" i="15"/>
  <c r="S574" i="15" s="1"/>
  <c r="K566" i="15"/>
  <c r="K574" i="15" s="1"/>
  <c r="AA566" i="15"/>
  <c r="AA574" i="15" s="1"/>
  <c r="AF566" i="15"/>
  <c r="AF574" i="15" s="1"/>
  <c r="AK566" i="15"/>
  <c r="AK574" i="15" s="1"/>
  <c r="AD566" i="15"/>
  <c r="AD574" i="15" s="1"/>
  <c r="T566" i="15"/>
  <c r="T574" i="15" s="1"/>
  <c r="P566" i="15"/>
  <c r="P574" i="15" s="1"/>
  <c r="V566" i="15"/>
  <c r="V574" i="15" s="1"/>
  <c r="AE566" i="15"/>
  <c r="AE574" i="15" s="1"/>
  <c r="L566" i="15"/>
  <c r="L574" i="15" s="1"/>
  <c r="X566" i="15"/>
  <c r="X574" i="15" s="1"/>
  <c r="AL566" i="15"/>
  <c r="AL574" i="15" s="1"/>
  <c r="Q566" i="15"/>
  <c r="Q574" i="15" s="1"/>
  <c r="AJ566" i="15"/>
  <c r="AJ574" i="15" s="1"/>
  <c r="AB566" i="15"/>
  <c r="AB574" i="15" s="1"/>
  <c r="AH566" i="15"/>
  <c r="AH574" i="15" s="1"/>
  <c r="AG566" i="15"/>
  <c r="AG574" i="15" s="1"/>
  <c r="I566" i="15"/>
  <c r="I574" i="15" s="1"/>
  <c r="R566" i="15"/>
  <c r="R574" i="15" s="1"/>
  <c r="W566" i="15"/>
  <c r="W574" i="15" s="1"/>
  <c r="AH490" i="16"/>
  <c r="AH498" i="16" s="1"/>
  <c r="AG490" i="16"/>
  <c r="AG498" i="16" s="1"/>
  <c r="AD490" i="16"/>
  <c r="AD498" i="16" s="1"/>
  <c r="J490" i="16"/>
  <c r="J498" i="16" s="1"/>
  <c r="T490" i="16"/>
  <c r="T498" i="16" s="1"/>
  <c r="AK490" i="16"/>
  <c r="AK498" i="16" s="1"/>
  <c r="P490" i="16"/>
  <c r="P498" i="16" s="1"/>
  <c r="AE490" i="16"/>
  <c r="AE498" i="16" s="1"/>
  <c r="U490" i="16"/>
  <c r="U498" i="16" s="1"/>
  <c r="L490" i="16"/>
  <c r="L498" i="16" s="1"/>
  <c r="Y490" i="16"/>
  <c r="Y498" i="16" s="1"/>
  <c r="AA490" i="16"/>
  <c r="AA498" i="16" s="1"/>
  <c r="AF490" i="16"/>
  <c r="AF498" i="16" s="1"/>
  <c r="AI490" i="16"/>
  <c r="AI498" i="16" s="1"/>
  <c r="N490" i="16"/>
  <c r="N498" i="16" s="1"/>
  <c r="AJ490" i="16"/>
  <c r="AJ498" i="16" s="1"/>
  <c r="K490" i="16"/>
  <c r="K498" i="16" s="1"/>
  <c r="Q490" i="16"/>
  <c r="Q498" i="16" s="1"/>
  <c r="AB490" i="16"/>
  <c r="AB498" i="16" s="1"/>
  <c r="AC490" i="16"/>
  <c r="AC498" i="16" s="1"/>
  <c r="X490" i="16"/>
  <c r="X498" i="16" s="1"/>
  <c r="I490" i="16"/>
  <c r="AN490" i="16"/>
  <c r="AN498" i="16" s="1"/>
  <c r="AL490" i="16"/>
  <c r="AL498" i="16" s="1"/>
  <c r="S490" i="16"/>
  <c r="S498" i="16" s="1"/>
  <c r="Z490" i="16"/>
  <c r="Z498" i="16" s="1"/>
  <c r="V490" i="16"/>
  <c r="V498" i="16" s="1"/>
  <c r="O490" i="16"/>
  <c r="O498" i="16" s="1"/>
  <c r="AM490" i="16"/>
  <c r="AM498" i="16" s="1"/>
  <c r="R490" i="16"/>
  <c r="R498" i="16" s="1"/>
  <c r="AO490" i="16"/>
  <c r="AO498" i="16" s="1"/>
  <c r="M490" i="16"/>
  <c r="M498" i="16" s="1"/>
  <c r="W490" i="16"/>
  <c r="W498" i="16" s="1"/>
  <c r="AH125" i="16"/>
  <c r="AH133" i="16" s="1"/>
  <c r="AE125" i="16"/>
  <c r="AE133" i="16" s="1"/>
  <c r="AK125" i="16"/>
  <c r="AK133" i="16" s="1"/>
  <c r="AI125" i="16"/>
  <c r="AI133" i="16" s="1"/>
  <c r="AD125" i="16"/>
  <c r="AD133" i="16" s="1"/>
  <c r="AJ125" i="16"/>
  <c r="AJ133" i="16" s="1"/>
  <c r="AM125" i="16"/>
  <c r="AM133" i="16" s="1"/>
  <c r="AN125" i="16"/>
  <c r="AN133" i="16" s="1"/>
  <c r="AL125" i="16"/>
  <c r="AL133" i="16" s="1"/>
  <c r="AG125" i="16"/>
  <c r="AG133" i="16" s="1"/>
  <c r="AF125" i="16"/>
  <c r="AF133" i="16" s="1"/>
  <c r="AC125" i="16"/>
  <c r="AC133" i="16" s="1"/>
  <c r="O125" i="16"/>
  <c r="O133" i="16" s="1"/>
  <c r="W125" i="16"/>
  <c r="W133" i="16" s="1"/>
  <c r="R125" i="16"/>
  <c r="R133" i="16" s="1"/>
  <c r="S125" i="16"/>
  <c r="S133" i="16" s="1"/>
  <c r="K125" i="16"/>
  <c r="K133" i="16" s="1"/>
  <c r="J125" i="16"/>
  <c r="J133" i="16" s="1"/>
  <c r="AB125" i="16"/>
  <c r="AB133" i="16" s="1"/>
  <c r="AA125" i="16"/>
  <c r="AA133" i="16" s="1"/>
  <c r="N125" i="16"/>
  <c r="N133" i="16" s="1"/>
  <c r="Y125" i="16"/>
  <c r="Y133" i="16" s="1"/>
  <c r="M125" i="16"/>
  <c r="M133" i="16" s="1"/>
  <c r="Q125" i="16"/>
  <c r="Q133" i="16" s="1"/>
  <c r="U125" i="16"/>
  <c r="U133" i="16" s="1"/>
  <c r="T125" i="16"/>
  <c r="T133" i="16" s="1"/>
  <c r="P125" i="16"/>
  <c r="P133" i="16" s="1"/>
  <c r="X125" i="16"/>
  <c r="X133" i="16" s="1"/>
  <c r="Z125" i="16"/>
  <c r="Z133" i="16" s="1"/>
  <c r="I125" i="16"/>
  <c r="I133" i="16" s="1"/>
  <c r="L125" i="16"/>
  <c r="L133" i="16" s="1"/>
  <c r="V125" i="16"/>
  <c r="V133" i="16" s="1"/>
  <c r="AG756" i="16"/>
  <c r="AG764" i="16" s="1"/>
  <c r="AH756" i="16"/>
  <c r="AH764" i="16" s="1"/>
  <c r="AF756" i="16"/>
  <c r="AF764" i="16" s="1"/>
  <c r="AN756" i="16"/>
  <c r="AN764" i="16" s="1"/>
  <c r="AI756" i="16"/>
  <c r="AI764" i="16" s="1"/>
  <c r="AD756" i="16"/>
  <c r="AD764" i="16" s="1"/>
  <c r="R756" i="16"/>
  <c r="R764" i="16" s="1"/>
  <c r="AJ756" i="16"/>
  <c r="AJ764" i="16" s="1"/>
  <c r="U756" i="16"/>
  <c r="U764" i="16" s="1"/>
  <c r="O756" i="16"/>
  <c r="O764" i="16" s="1"/>
  <c r="AE756" i="16"/>
  <c r="AE764" i="16" s="1"/>
  <c r="AL756" i="16"/>
  <c r="AL764" i="16" s="1"/>
  <c r="N756" i="16"/>
  <c r="N764" i="16" s="1"/>
  <c r="AK756" i="16"/>
  <c r="AK764" i="16" s="1"/>
  <c r="J756" i="16"/>
  <c r="J764" i="16" s="1"/>
  <c r="AM756" i="16"/>
  <c r="AM764" i="16" s="1"/>
  <c r="L756" i="16"/>
  <c r="L764" i="16" s="1"/>
  <c r="AC756" i="16"/>
  <c r="AC764" i="16" s="1"/>
  <c r="K756" i="16"/>
  <c r="K764" i="16" s="1"/>
  <c r="AB756" i="16"/>
  <c r="AB764" i="16" s="1"/>
  <c r="P756" i="16"/>
  <c r="P764" i="16" s="1"/>
  <c r="Y756" i="16"/>
  <c r="Y764" i="16" s="1"/>
  <c r="M756" i="16"/>
  <c r="M764" i="16" s="1"/>
  <c r="S756" i="16"/>
  <c r="S764" i="16" s="1"/>
  <c r="V756" i="16"/>
  <c r="V764" i="16" s="1"/>
  <c r="W756" i="16"/>
  <c r="W764" i="16" s="1"/>
  <c r="AO756" i="16"/>
  <c r="AO764" i="16" s="1"/>
  <c r="Z756" i="16"/>
  <c r="Z764" i="16" s="1"/>
  <c r="T756" i="16"/>
  <c r="T764" i="16" s="1"/>
  <c r="Q756" i="16"/>
  <c r="Q764" i="16" s="1"/>
  <c r="AP756" i="16"/>
  <c r="AP764" i="16" s="1"/>
  <c r="AA756" i="16"/>
  <c r="AA764" i="16" s="1"/>
  <c r="X756" i="16"/>
  <c r="X764" i="16" s="1"/>
  <c r="AQ756" i="16"/>
  <c r="I756" i="16"/>
  <c r="L591" i="15"/>
  <c r="L599" i="15" s="1"/>
  <c r="AE591" i="15"/>
  <c r="AE599" i="15" s="1"/>
  <c r="X591" i="15"/>
  <c r="X599" i="15" s="1"/>
  <c r="AL591" i="15"/>
  <c r="AL599" i="15" s="1"/>
  <c r="AG591" i="15"/>
  <c r="AG599" i="15" s="1"/>
  <c r="O591" i="15"/>
  <c r="O599" i="15" s="1"/>
  <c r="U591" i="15"/>
  <c r="U599" i="15" s="1"/>
  <c r="I591" i="15"/>
  <c r="I599" i="15" s="1"/>
  <c r="R591" i="15"/>
  <c r="R599" i="15" s="1"/>
  <c r="K591" i="15"/>
  <c r="K599" i="15" s="1"/>
  <c r="T591" i="15"/>
  <c r="T599" i="15" s="1"/>
  <c r="V591" i="15"/>
  <c r="V599" i="15" s="1"/>
  <c r="AP591" i="15"/>
  <c r="AP599" i="15" s="1"/>
  <c r="AM591" i="15"/>
  <c r="AM599" i="15" s="1"/>
  <c r="AK591" i="15"/>
  <c r="AK599" i="15" s="1"/>
  <c r="W591" i="15"/>
  <c r="W599" i="15" s="1"/>
  <c r="S591" i="15"/>
  <c r="S599" i="15" s="1"/>
  <c r="AH591" i="15"/>
  <c r="AH599" i="15" s="1"/>
  <c r="J591" i="15"/>
  <c r="J599" i="15" s="1"/>
  <c r="Y591" i="15"/>
  <c r="Y599" i="15" s="1"/>
  <c r="AA591" i="15"/>
  <c r="AA599" i="15" s="1"/>
  <c r="Z591" i="15"/>
  <c r="Z599" i="15" s="1"/>
  <c r="M591" i="15"/>
  <c r="M599" i="15" s="1"/>
  <c r="AN591" i="15"/>
  <c r="AN599" i="15" s="1"/>
  <c r="AB591" i="15"/>
  <c r="AB599" i="15" s="1"/>
  <c r="N591" i="15"/>
  <c r="N599" i="15" s="1"/>
  <c r="P591" i="15"/>
  <c r="P599" i="15" s="1"/>
  <c r="AO591" i="15"/>
  <c r="AO599" i="15" s="1"/>
  <c r="AI591" i="15"/>
  <c r="AI599" i="15" s="1"/>
  <c r="AC591" i="15"/>
  <c r="AC599" i="15" s="1"/>
  <c r="AF591" i="15"/>
  <c r="AF599" i="15" s="1"/>
  <c r="Q591" i="15"/>
  <c r="Q599" i="15" s="1"/>
  <c r="AD591" i="15"/>
  <c r="AD599" i="15" s="1"/>
  <c r="AJ591" i="15"/>
  <c r="AJ599" i="15" s="1"/>
  <c r="AK129" i="16"/>
  <c r="AK137" i="16" s="1"/>
  <c r="AD129" i="16"/>
  <c r="AD137" i="16" s="1"/>
  <c r="AJ129" i="16"/>
  <c r="AJ137" i="16" s="1"/>
  <c r="AG129" i="16"/>
  <c r="AG137" i="16" s="1"/>
  <c r="AL129" i="16"/>
  <c r="AL137" i="16" s="1"/>
  <c r="AI129" i="16"/>
  <c r="AI137" i="16" s="1"/>
  <c r="AH129" i="16"/>
  <c r="AH137" i="16" s="1"/>
  <c r="AM129" i="16"/>
  <c r="AM137" i="16" s="1"/>
  <c r="AF129" i="16"/>
  <c r="AF137" i="16" s="1"/>
  <c r="AE129" i="16"/>
  <c r="AE137" i="16" s="1"/>
  <c r="AN129" i="16"/>
  <c r="AN137" i="16" s="1"/>
  <c r="AC129" i="16"/>
  <c r="AC137" i="16" s="1"/>
  <c r="W129" i="16"/>
  <c r="W137" i="16" s="1"/>
  <c r="AB129" i="16"/>
  <c r="AB137" i="16" s="1"/>
  <c r="P129" i="16"/>
  <c r="P137" i="16" s="1"/>
  <c r="X129" i="16"/>
  <c r="X137" i="16" s="1"/>
  <c r="K129" i="16"/>
  <c r="K137" i="16" s="1"/>
  <c r="T129" i="16"/>
  <c r="T137" i="16" s="1"/>
  <c r="I129" i="16"/>
  <c r="I137" i="16" s="1"/>
  <c r="N129" i="16"/>
  <c r="N137" i="16" s="1"/>
  <c r="S129" i="16"/>
  <c r="S137" i="16" s="1"/>
  <c r="AA129" i="16"/>
  <c r="AA137" i="16" s="1"/>
  <c r="L129" i="16"/>
  <c r="L137" i="16" s="1"/>
  <c r="R129" i="16"/>
  <c r="R137" i="16" s="1"/>
  <c r="Z129" i="16"/>
  <c r="Z137" i="16" s="1"/>
  <c r="O129" i="16"/>
  <c r="O137" i="16" s="1"/>
  <c r="U129" i="16"/>
  <c r="U137" i="16" s="1"/>
  <c r="M129" i="16"/>
  <c r="M137" i="16" s="1"/>
  <c r="J129" i="16"/>
  <c r="J137" i="16" s="1"/>
  <c r="Q129" i="16"/>
  <c r="Q137" i="16" s="1"/>
  <c r="V129" i="16"/>
  <c r="V137" i="16" s="1"/>
  <c r="Y129" i="16"/>
  <c r="Y137" i="16" s="1"/>
  <c r="AO246" i="7"/>
  <c r="AO254" i="7" s="1"/>
  <c r="AE246" i="7"/>
  <c r="AE254" i="7" s="1"/>
  <c r="AF246" i="7"/>
  <c r="AF254" i="7" s="1"/>
  <c r="AG246" i="7"/>
  <c r="AG254" i="7" s="1"/>
  <c r="AD246" i="7"/>
  <c r="AD254" i="7" s="1"/>
  <c r="AM246" i="7"/>
  <c r="AM254" i="7" s="1"/>
  <c r="AL246" i="7"/>
  <c r="AL254" i="7" s="1"/>
  <c r="AK246" i="7"/>
  <c r="AK254" i="7" s="1"/>
  <c r="AC246" i="7"/>
  <c r="AC254" i="7" s="1"/>
  <c r="AJ246" i="7"/>
  <c r="AJ254" i="7" s="1"/>
  <c r="AI246" i="7"/>
  <c r="AI254" i="7" s="1"/>
  <c r="AN246" i="7"/>
  <c r="AN254" i="7" s="1"/>
  <c r="AH246" i="7"/>
  <c r="AH254" i="7" s="1"/>
  <c r="X246" i="7"/>
  <c r="X254" i="7" s="1"/>
  <c r="M246" i="7"/>
  <c r="M254" i="7" s="1"/>
  <c r="R246" i="7"/>
  <c r="R254" i="7" s="1"/>
  <c r="S246" i="7"/>
  <c r="S254" i="7" s="1"/>
  <c r="I246" i="7"/>
  <c r="W246" i="7"/>
  <c r="W254" i="7" s="1"/>
  <c r="V246" i="7"/>
  <c r="V254" i="7" s="1"/>
  <c r="AB246" i="7"/>
  <c r="AB254" i="7" s="1"/>
  <c r="N246" i="7"/>
  <c r="N254" i="7" s="1"/>
  <c r="U246" i="7"/>
  <c r="U254" i="7" s="1"/>
  <c r="Y246" i="7"/>
  <c r="Y254" i="7" s="1"/>
  <c r="O246" i="7"/>
  <c r="O254" i="7" s="1"/>
  <c r="Q246" i="7"/>
  <c r="Q254" i="7" s="1"/>
  <c r="AA246" i="7"/>
  <c r="AA254" i="7" s="1"/>
  <c r="K246" i="7"/>
  <c r="K254" i="7" s="1"/>
  <c r="J246" i="7"/>
  <c r="J254" i="7" s="1"/>
  <c r="Z246" i="7"/>
  <c r="Z254" i="7" s="1"/>
  <c r="P246" i="7"/>
  <c r="P254" i="7" s="1"/>
  <c r="T246" i="7"/>
  <c r="T254" i="7" s="1"/>
  <c r="L246" i="7"/>
  <c r="L254" i="7" s="1"/>
  <c r="R567" i="15"/>
  <c r="R575" i="15" s="1"/>
  <c r="AJ567" i="15"/>
  <c r="AJ575" i="15" s="1"/>
  <c r="Z567" i="15"/>
  <c r="Z575" i="15" s="1"/>
  <c r="Y567" i="15"/>
  <c r="Y575" i="15" s="1"/>
  <c r="I567" i="15"/>
  <c r="I575" i="15" s="1"/>
  <c r="AN567" i="15"/>
  <c r="AN575" i="15" s="1"/>
  <c r="T567" i="15"/>
  <c r="T575" i="15" s="1"/>
  <c r="AO567" i="15"/>
  <c r="AO575" i="15" s="1"/>
  <c r="Q567" i="15"/>
  <c r="Q575" i="15" s="1"/>
  <c r="AF567" i="15"/>
  <c r="AF575" i="15" s="1"/>
  <c r="AE567" i="15"/>
  <c r="AE575" i="15" s="1"/>
  <c r="AL567" i="15"/>
  <c r="AL575" i="15" s="1"/>
  <c r="AA567" i="15"/>
  <c r="AA575" i="15" s="1"/>
  <c r="U567" i="15"/>
  <c r="U575" i="15" s="1"/>
  <c r="X567" i="15"/>
  <c r="X575" i="15" s="1"/>
  <c r="W567" i="15"/>
  <c r="W575" i="15" s="1"/>
  <c r="AB567" i="15"/>
  <c r="AB575" i="15" s="1"/>
  <c r="AG567" i="15"/>
  <c r="AG575" i="15" s="1"/>
  <c r="S567" i="15"/>
  <c r="S575" i="15" s="1"/>
  <c r="AD567" i="15"/>
  <c r="AD575" i="15" s="1"/>
  <c r="AM567" i="15"/>
  <c r="AM575" i="15" s="1"/>
  <c r="P567" i="15"/>
  <c r="P575" i="15" s="1"/>
  <c r="J567" i="15"/>
  <c r="J575" i="15" s="1"/>
  <c r="AC567" i="15"/>
  <c r="AC575" i="15" s="1"/>
  <c r="L567" i="15"/>
  <c r="L575" i="15" s="1"/>
  <c r="O567" i="15"/>
  <c r="O575" i="15" s="1"/>
  <c r="AK567" i="15"/>
  <c r="AK575" i="15" s="1"/>
  <c r="M567" i="15"/>
  <c r="M575" i="15" s="1"/>
  <c r="AH567" i="15"/>
  <c r="AH575" i="15" s="1"/>
  <c r="AI567" i="15"/>
  <c r="AI575" i="15" s="1"/>
  <c r="N567" i="15"/>
  <c r="N575" i="15" s="1"/>
  <c r="V567" i="15"/>
  <c r="V575" i="15" s="1"/>
  <c r="K567" i="15"/>
  <c r="K575" i="15" s="1"/>
  <c r="M255" i="14"/>
  <c r="M263" i="14" s="1"/>
  <c r="W255" i="14"/>
  <c r="W263" i="14" s="1"/>
  <c r="V255" i="14"/>
  <c r="V263" i="14" s="1"/>
  <c r="AG255" i="14"/>
  <c r="AG263" i="14" s="1"/>
  <c r="I255" i="14"/>
  <c r="I263" i="14" s="1"/>
  <c r="AF255" i="14"/>
  <c r="AF263" i="14" s="1"/>
  <c r="AI255" i="14"/>
  <c r="AI263" i="14" s="1"/>
  <c r="L255" i="14"/>
  <c r="L263" i="14" s="1"/>
  <c r="K255" i="14"/>
  <c r="K263" i="14" s="1"/>
  <c r="S255" i="14"/>
  <c r="S263" i="14" s="1"/>
  <c r="AM255" i="14"/>
  <c r="AM263" i="14" s="1"/>
  <c r="AP255" i="14"/>
  <c r="AP263" i="14" s="1"/>
  <c r="AJ255" i="14"/>
  <c r="AJ263" i="14" s="1"/>
  <c r="AD255" i="14"/>
  <c r="AD263" i="14" s="1"/>
  <c r="O255" i="14"/>
  <c r="O263" i="14" s="1"/>
  <c r="N255" i="14"/>
  <c r="N263" i="14" s="1"/>
  <c r="AB255" i="14"/>
  <c r="AB263" i="14" s="1"/>
  <c r="U255" i="14"/>
  <c r="U263" i="14" s="1"/>
  <c r="Z255" i="14"/>
  <c r="Z263" i="14" s="1"/>
  <c r="AK255" i="14"/>
  <c r="AK263" i="14" s="1"/>
  <c r="Q255" i="14"/>
  <c r="Q263" i="14" s="1"/>
  <c r="R255" i="14"/>
  <c r="R263" i="14" s="1"/>
  <c r="AC255" i="14"/>
  <c r="AC263" i="14" s="1"/>
  <c r="T255" i="14"/>
  <c r="T263" i="14" s="1"/>
  <c r="AH255" i="14"/>
  <c r="AH263" i="14" s="1"/>
  <c r="AA255" i="14"/>
  <c r="AA263" i="14" s="1"/>
  <c r="AE255" i="14"/>
  <c r="AE263" i="14" s="1"/>
  <c r="X255" i="14"/>
  <c r="X263" i="14" s="1"/>
  <c r="AO255" i="14"/>
  <c r="AO263" i="14" s="1"/>
  <c r="P255" i="14"/>
  <c r="P263" i="14" s="1"/>
  <c r="AN255" i="14"/>
  <c r="AN263" i="14" s="1"/>
  <c r="J255" i="14"/>
  <c r="J263" i="14" s="1"/>
  <c r="Y255" i="14"/>
  <c r="Y263" i="14" s="1"/>
  <c r="AL255" i="14"/>
  <c r="AL263" i="14" s="1"/>
  <c r="AE126" i="16"/>
  <c r="AE134" i="16" s="1"/>
  <c r="AD126" i="16"/>
  <c r="AD134" i="16" s="1"/>
  <c r="AH126" i="16"/>
  <c r="AH134" i="16" s="1"/>
  <c r="AL126" i="16"/>
  <c r="AL134" i="16" s="1"/>
  <c r="AN126" i="16"/>
  <c r="AN134" i="16" s="1"/>
  <c r="AJ126" i="16"/>
  <c r="AJ134" i="16" s="1"/>
  <c r="AM126" i="16"/>
  <c r="AM134" i="16" s="1"/>
  <c r="AG126" i="16"/>
  <c r="AG134" i="16" s="1"/>
  <c r="AK126" i="16"/>
  <c r="AK134" i="16" s="1"/>
  <c r="AC126" i="16"/>
  <c r="AC134" i="16" s="1"/>
  <c r="AI126" i="16"/>
  <c r="AI134" i="16" s="1"/>
  <c r="AF126" i="16"/>
  <c r="AF134" i="16" s="1"/>
  <c r="S126" i="16"/>
  <c r="S134" i="16" s="1"/>
  <c r="AB126" i="16"/>
  <c r="AB134" i="16" s="1"/>
  <c r="X126" i="16"/>
  <c r="X134" i="16" s="1"/>
  <c r="L126" i="16"/>
  <c r="L134" i="16" s="1"/>
  <c r="J126" i="16"/>
  <c r="J134" i="16" s="1"/>
  <c r="I126" i="16"/>
  <c r="I134" i="16" s="1"/>
  <c r="R126" i="16"/>
  <c r="R134" i="16" s="1"/>
  <c r="O126" i="16"/>
  <c r="O134" i="16" s="1"/>
  <c r="N126" i="16"/>
  <c r="N134" i="16" s="1"/>
  <c r="Z126" i="16"/>
  <c r="Z134" i="16" s="1"/>
  <c r="Q126" i="16"/>
  <c r="Q134" i="16" s="1"/>
  <c r="M126" i="16"/>
  <c r="M134" i="16" s="1"/>
  <c r="U126" i="16"/>
  <c r="U134" i="16" s="1"/>
  <c r="T126" i="16"/>
  <c r="T134" i="16" s="1"/>
  <c r="P126" i="16"/>
  <c r="P134" i="16" s="1"/>
  <c r="AA126" i="16"/>
  <c r="AA134" i="16" s="1"/>
  <c r="K126" i="16"/>
  <c r="K134" i="16" s="1"/>
  <c r="V126" i="16"/>
  <c r="V134" i="16" s="1"/>
  <c r="W126" i="16"/>
  <c r="W134" i="16" s="1"/>
  <c r="Y126" i="16"/>
  <c r="Y134" i="16" s="1"/>
  <c r="AN372" i="14"/>
  <c r="AN380" i="14" s="1"/>
  <c r="AN387" i="14" s="1"/>
  <c r="AN389" i="14" s="1"/>
  <c r="AK372" i="14"/>
  <c r="AK380" i="14" s="1"/>
  <c r="AK387" i="14" s="1"/>
  <c r="AK389" i="14" s="1"/>
  <c r="AH372" i="14"/>
  <c r="AH380" i="14" s="1"/>
  <c r="AH387" i="14" s="1"/>
  <c r="AH389" i="14" s="1"/>
  <c r="AI372" i="14"/>
  <c r="AI380" i="14" s="1"/>
  <c r="AI387" i="14" s="1"/>
  <c r="AI389" i="14" s="1"/>
  <c r="AM372" i="14"/>
  <c r="AM380" i="14" s="1"/>
  <c r="AM387" i="14" s="1"/>
  <c r="AM389" i="14" s="1"/>
  <c r="Q372" i="14"/>
  <c r="Q380" i="14" s="1"/>
  <c r="Q387" i="14" s="1"/>
  <c r="Q389" i="14" s="1"/>
  <c r="AA372" i="14"/>
  <c r="AA380" i="14" s="1"/>
  <c r="AA387" i="14" s="1"/>
  <c r="AA389" i="14" s="1"/>
  <c r="AO372" i="14"/>
  <c r="AO380" i="14" s="1"/>
  <c r="AO387" i="14" s="1"/>
  <c r="AO389" i="14" s="1"/>
  <c r="AJ372" i="14"/>
  <c r="AJ380" i="14" s="1"/>
  <c r="AJ387" i="14" s="1"/>
  <c r="AJ389" i="14" s="1"/>
  <c r="AL372" i="14"/>
  <c r="AL380" i="14" s="1"/>
  <c r="AL387" i="14" s="1"/>
  <c r="AL389" i="14" s="1"/>
  <c r="S372" i="14"/>
  <c r="S380" i="14" s="1"/>
  <c r="S387" i="14" s="1"/>
  <c r="S389" i="14" s="1"/>
  <c r="AC372" i="14"/>
  <c r="AC380" i="14" s="1"/>
  <c r="AC387" i="14" s="1"/>
  <c r="AC389" i="14" s="1"/>
  <c r="AF372" i="14"/>
  <c r="AF380" i="14" s="1"/>
  <c r="AF387" i="14" s="1"/>
  <c r="AF389" i="14" s="1"/>
  <c r="M372" i="14"/>
  <c r="M380" i="14" s="1"/>
  <c r="M387" i="14" s="1"/>
  <c r="M389" i="14" s="1"/>
  <c r="N372" i="14"/>
  <c r="N380" i="14" s="1"/>
  <c r="N387" i="14" s="1"/>
  <c r="N389" i="14" s="1"/>
  <c r="J372" i="14"/>
  <c r="J380" i="14" s="1"/>
  <c r="J387" i="14" s="1"/>
  <c r="J389" i="14" s="1"/>
  <c r="K372" i="14"/>
  <c r="K380" i="14" s="1"/>
  <c r="K387" i="14" s="1"/>
  <c r="K389" i="14" s="1"/>
  <c r="P372" i="14"/>
  <c r="P380" i="14" s="1"/>
  <c r="P387" i="14" s="1"/>
  <c r="P389" i="14" s="1"/>
  <c r="I372" i="14"/>
  <c r="I380" i="14" s="1"/>
  <c r="I387" i="14" s="1"/>
  <c r="I389" i="14" s="1"/>
  <c r="Y372" i="14"/>
  <c r="Y380" i="14" s="1"/>
  <c r="Y387" i="14" s="1"/>
  <c r="Y389" i="14" s="1"/>
  <c r="O372" i="14"/>
  <c r="O380" i="14" s="1"/>
  <c r="O387" i="14" s="1"/>
  <c r="O389" i="14" s="1"/>
  <c r="AB372" i="14"/>
  <c r="AB380" i="14" s="1"/>
  <c r="AB387" i="14" s="1"/>
  <c r="AB389" i="14" s="1"/>
  <c r="R372" i="14"/>
  <c r="R380" i="14" s="1"/>
  <c r="R387" i="14" s="1"/>
  <c r="R389" i="14" s="1"/>
  <c r="AG372" i="14"/>
  <c r="AG380" i="14" s="1"/>
  <c r="AG387" i="14" s="1"/>
  <c r="AG389" i="14" s="1"/>
  <c r="W372" i="14"/>
  <c r="W380" i="14" s="1"/>
  <c r="W387" i="14" s="1"/>
  <c r="W389" i="14" s="1"/>
  <c r="L372" i="14"/>
  <c r="L380" i="14" s="1"/>
  <c r="L387" i="14" s="1"/>
  <c r="L389" i="14" s="1"/>
  <c r="AD372" i="14"/>
  <c r="AD380" i="14" s="1"/>
  <c r="AD387" i="14" s="1"/>
  <c r="AD389" i="14" s="1"/>
  <c r="T372" i="14"/>
  <c r="T380" i="14" s="1"/>
  <c r="T387" i="14" s="1"/>
  <c r="T389" i="14" s="1"/>
  <c r="AE372" i="14"/>
  <c r="AE380" i="14" s="1"/>
  <c r="AE387" i="14" s="1"/>
  <c r="AE389" i="14" s="1"/>
  <c r="U372" i="14"/>
  <c r="U380" i="14" s="1"/>
  <c r="U387" i="14" s="1"/>
  <c r="U389" i="14" s="1"/>
  <c r="X372" i="14"/>
  <c r="X380" i="14" s="1"/>
  <c r="X387" i="14" s="1"/>
  <c r="X389" i="14" s="1"/>
  <c r="V372" i="14"/>
  <c r="V380" i="14" s="1"/>
  <c r="V387" i="14" s="1"/>
  <c r="V389" i="14" s="1"/>
  <c r="Z372" i="14"/>
  <c r="Z380" i="14" s="1"/>
  <c r="Z387" i="14" s="1"/>
  <c r="Z389" i="14" s="1"/>
  <c r="S761" i="16"/>
  <c r="S769" i="16" s="1"/>
  <c r="Z761" i="16"/>
  <c r="Z769" i="16" s="1"/>
  <c r="AL761" i="16"/>
  <c r="AL769" i="16" s="1"/>
  <c r="AD761" i="16"/>
  <c r="AD769" i="16" s="1"/>
  <c r="R761" i="16"/>
  <c r="R769" i="16" s="1"/>
  <c r="AM761" i="16"/>
  <c r="AM769" i="16" s="1"/>
  <c r="AE761" i="16"/>
  <c r="AE769" i="16" s="1"/>
  <c r="P761" i="16"/>
  <c r="P769" i="16" s="1"/>
  <c r="AH761" i="16"/>
  <c r="AH769" i="16" s="1"/>
  <c r="O761" i="16"/>
  <c r="O769" i="16" s="1"/>
  <c r="AN761" i="16"/>
  <c r="AN769" i="16" s="1"/>
  <c r="M761" i="16"/>
  <c r="M769" i="16" s="1"/>
  <c r="AO761" i="16"/>
  <c r="AO769" i="16" s="1"/>
  <c r="L761" i="16"/>
  <c r="L769" i="16" s="1"/>
  <c r="AI761" i="16"/>
  <c r="AI769" i="16" s="1"/>
  <c r="AA761" i="16"/>
  <c r="AA769" i="16" s="1"/>
  <c r="AP761" i="16"/>
  <c r="AP769" i="16" s="1"/>
  <c r="U761" i="16"/>
  <c r="U769" i="16" s="1"/>
  <c r="AJ761" i="16"/>
  <c r="AJ769" i="16" s="1"/>
  <c r="J761" i="16"/>
  <c r="J769" i="16" s="1"/>
  <c r="V761" i="16"/>
  <c r="V769" i="16" s="1"/>
  <c r="K761" i="16"/>
  <c r="K769" i="16" s="1"/>
  <c r="AK761" i="16"/>
  <c r="AK769" i="16" s="1"/>
  <c r="N761" i="16"/>
  <c r="N769" i="16" s="1"/>
  <c r="W761" i="16"/>
  <c r="W769" i="16" s="1"/>
  <c r="AF761" i="16"/>
  <c r="AF769" i="16" s="1"/>
  <c r="X761" i="16"/>
  <c r="X769" i="16" s="1"/>
  <c r="I761" i="16"/>
  <c r="I769" i="16" s="1"/>
  <c r="AG761" i="16"/>
  <c r="AG769" i="16" s="1"/>
  <c r="Y761" i="16"/>
  <c r="Y769" i="16" s="1"/>
  <c r="AQ761" i="16"/>
  <c r="T761" i="16"/>
  <c r="T769" i="16" s="1"/>
  <c r="AB761" i="16"/>
  <c r="AB769" i="16" s="1"/>
  <c r="Q761" i="16"/>
  <c r="Q769" i="16" s="1"/>
  <c r="AC761" i="16"/>
  <c r="AC769" i="16" s="1"/>
  <c r="O66" i="7"/>
  <c r="O74" i="7" s="1"/>
  <c r="M66" i="7"/>
  <c r="M74" i="7" s="1"/>
  <c r="J66" i="7"/>
  <c r="J74" i="7" s="1"/>
  <c r="N66" i="7"/>
  <c r="N74" i="7" s="1"/>
  <c r="P66" i="7"/>
  <c r="P74" i="7" s="1"/>
  <c r="K66" i="7"/>
  <c r="K74" i="7" s="1"/>
  <c r="T66" i="7"/>
  <c r="T74" i="7" s="1"/>
  <c r="AA66" i="7"/>
  <c r="AA74" i="7" s="1"/>
  <c r="Q66" i="7"/>
  <c r="Q74" i="7" s="1"/>
  <c r="X66" i="7"/>
  <c r="X74" i="7" s="1"/>
  <c r="V66" i="7"/>
  <c r="V74" i="7" s="1"/>
  <c r="S66" i="7"/>
  <c r="S74" i="7" s="1"/>
  <c r="Z66" i="7"/>
  <c r="Z74" i="7" s="1"/>
  <c r="Y66" i="7"/>
  <c r="Y74" i="7" s="1"/>
  <c r="W66" i="7"/>
  <c r="W74" i="7" s="1"/>
  <c r="L66" i="7"/>
  <c r="L74" i="7" s="1"/>
  <c r="R66" i="7"/>
  <c r="R74" i="7" s="1"/>
  <c r="U66" i="7"/>
  <c r="U74" i="7" s="1"/>
  <c r="AB66" i="7"/>
  <c r="AB74" i="7" s="1"/>
  <c r="I66" i="7"/>
  <c r="Y152" i="9"/>
  <c r="Y160" i="9" s="1"/>
  <c r="I152" i="9"/>
  <c r="I160" i="9" s="1"/>
  <c r="P152" i="9"/>
  <c r="P160" i="9" s="1"/>
  <c r="V152" i="9"/>
  <c r="V160" i="9" s="1"/>
  <c r="W152" i="9"/>
  <c r="W160" i="9" s="1"/>
  <c r="AH152" i="9"/>
  <c r="AH160" i="9" s="1"/>
  <c r="AN152" i="9"/>
  <c r="AN160" i="9" s="1"/>
  <c r="AK152" i="9"/>
  <c r="AK160" i="9" s="1"/>
  <c r="O152" i="9"/>
  <c r="O160" i="9" s="1"/>
  <c r="AF152" i="9"/>
  <c r="AF160" i="9" s="1"/>
  <c r="AG152" i="9"/>
  <c r="AG160" i="9" s="1"/>
  <c r="N152" i="9"/>
  <c r="N160" i="9" s="1"/>
  <c r="X152" i="9"/>
  <c r="X160" i="9" s="1"/>
  <c r="AE152" i="9"/>
  <c r="AE160" i="9" s="1"/>
  <c r="AA152" i="9"/>
  <c r="AA160" i="9" s="1"/>
  <c r="M152" i="9"/>
  <c r="M160" i="9" s="1"/>
  <c r="AD152" i="9"/>
  <c r="AD160" i="9" s="1"/>
  <c r="AM152" i="9"/>
  <c r="AM160" i="9" s="1"/>
  <c r="J152" i="9"/>
  <c r="J160" i="9" s="1"/>
  <c r="AL152" i="9"/>
  <c r="AL160" i="9" s="1"/>
  <c r="S152" i="9"/>
  <c r="S160" i="9" s="1"/>
  <c r="U152" i="9"/>
  <c r="U160" i="9" s="1"/>
  <c r="K152" i="9"/>
  <c r="K160" i="9" s="1"/>
  <c r="Z152" i="9"/>
  <c r="Z160" i="9" s="1"/>
  <c r="AC152" i="9"/>
  <c r="AC160" i="9" s="1"/>
  <c r="R152" i="9"/>
  <c r="R160" i="9" s="1"/>
  <c r="AJ152" i="9"/>
  <c r="AJ160" i="9" s="1"/>
  <c r="AB152" i="9"/>
  <c r="AB160" i="9" s="1"/>
  <c r="L152" i="9"/>
  <c r="L160" i="9" s="1"/>
  <c r="Q152" i="9"/>
  <c r="Q160" i="9" s="1"/>
  <c r="AI152" i="9"/>
  <c r="AI160" i="9" s="1"/>
  <c r="T152" i="9"/>
  <c r="T160" i="9" s="1"/>
  <c r="AO67" i="8"/>
  <c r="AO75" i="8" s="1"/>
  <c r="AH67" i="8"/>
  <c r="AH75" i="8" s="1"/>
  <c r="AM67" i="8"/>
  <c r="AM75" i="8" s="1"/>
  <c r="AI67" i="8"/>
  <c r="AI75" i="8" s="1"/>
  <c r="AK67" i="8"/>
  <c r="AK75" i="8" s="1"/>
  <c r="AJ67" i="8"/>
  <c r="AJ75" i="8" s="1"/>
  <c r="AL67" i="8"/>
  <c r="AL75" i="8" s="1"/>
  <c r="AN67" i="8"/>
  <c r="AN75" i="8" s="1"/>
  <c r="AD67" i="8"/>
  <c r="AD75" i="8" s="1"/>
  <c r="V67" i="8"/>
  <c r="V75" i="8" s="1"/>
  <c r="T67" i="8"/>
  <c r="T75" i="8" s="1"/>
  <c r="S67" i="8"/>
  <c r="S75" i="8" s="1"/>
  <c r="AE67" i="8"/>
  <c r="AE75" i="8" s="1"/>
  <c r="Z67" i="8"/>
  <c r="Z75" i="8" s="1"/>
  <c r="X67" i="8"/>
  <c r="X75" i="8" s="1"/>
  <c r="AB67" i="8"/>
  <c r="AB75" i="8" s="1"/>
  <c r="AF67" i="8"/>
  <c r="AF75" i="8" s="1"/>
  <c r="R67" i="8"/>
  <c r="R75" i="8" s="1"/>
  <c r="L67" i="8"/>
  <c r="L75" i="8" s="1"/>
  <c r="M67" i="8"/>
  <c r="M75" i="8" s="1"/>
  <c r="K67" i="8"/>
  <c r="K75" i="8" s="1"/>
  <c r="O67" i="8"/>
  <c r="O75" i="8" s="1"/>
  <c r="P67" i="8"/>
  <c r="P75" i="8" s="1"/>
  <c r="Y67" i="8"/>
  <c r="Y75" i="8" s="1"/>
  <c r="Q67" i="8"/>
  <c r="Q75" i="8" s="1"/>
  <c r="W67" i="8"/>
  <c r="W75" i="8" s="1"/>
  <c r="I67" i="8"/>
  <c r="AA67" i="8"/>
  <c r="AA75" i="8" s="1"/>
  <c r="J67" i="8"/>
  <c r="J75" i="8" s="1"/>
  <c r="U67" i="8"/>
  <c r="U75" i="8" s="1"/>
  <c r="AG67" i="8"/>
  <c r="AG75" i="8" s="1"/>
  <c r="N67" i="8"/>
  <c r="N75" i="8" s="1"/>
  <c r="AC67" i="8"/>
  <c r="AC75" i="8" s="1"/>
  <c r="J401" i="14"/>
  <c r="J409" i="14" s="1"/>
  <c r="AF401" i="14"/>
  <c r="AF409" i="14" s="1"/>
  <c r="X401" i="14"/>
  <c r="X409" i="14" s="1"/>
  <c r="AC401" i="14"/>
  <c r="AC409" i="14" s="1"/>
  <c r="W401" i="14"/>
  <c r="W409" i="14" s="1"/>
  <c r="AJ401" i="14"/>
  <c r="AJ409" i="14" s="1"/>
  <c r="AP401" i="14"/>
  <c r="AP409" i="14" s="1"/>
  <c r="AI401" i="14"/>
  <c r="AI409" i="14" s="1"/>
  <c r="K401" i="14"/>
  <c r="K409" i="14" s="1"/>
  <c r="I401" i="14"/>
  <c r="I409" i="14" s="1"/>
  <c r="AB401" i="14"/>
  <c r="AB409" i="14" s="1"/>
  <c r="AO401" i="14"/>
  <c r="AO409" i="14" s="1"/>
  <c r="N401" i="14"/>
  <c r="N409" i="14" s="1"/>
  <c r="Y401" i="14"/>
  <c r="Y409" i="14" s="1"/>
  <c r="U401" i="14"/>
  <c r="U409" i="14" s="1"/>
  <c r="AE401" i="14"/>
  <c r="AE409" i="14" s="1"/>
  <c r="Z401" i="14"/>
  <c r="Z409" i="14" s="1"/>
  <c r="P401" i="14"/>
  <c r="P409" i="14" s="1"/>
  <c r="AA401" i="14"/>
  <c r="AA409" i="14" s="1"/>
  <c r="T401" i="14"/>
  <c r="T409" i="14" s="1"/>
  <c r="AL401" i="14"/>
  <c r="AL409" i="14" s="1"/>
  <c r="AD401" i="14"/>
  <c r="AD409" i="14" s="1"/>
  <c r="V401" i="14"/>
  <c r="V409" i="14" s="1"/>
  <c r="Q401" i="14"/>
  <c r="Q409" i="14" s="1"/>
  <c r="AG401" i="14"/>
  <c r="AG409" i="14" s="1"/>
  <c r="AH401" i="14"/>
  <c r="AH409" i="14" s="1"/>
  <c r="R401" i="14"/>
  <c r="R409" i="14" s="1"/>
  <c r="M401" i="14"/>
  <c r="M409" i="14" s="1"/>
  <c r="S401" i="14"/>
  <c r="S409" i="14" s="1"/>
  <c r="AK401" i="14"/>
  <c r="AK409" i="14" s="1"/>
  <c r="O401" i="14"/>
  <c r="O409" i="14" s="1"/>
  <c r="AM401" i="14"/>
  <c r="AM409" i="14" s="1"/>
  <c r="AN401" i="14"/>
  <c r="AN409" i="14" s="1"/>
  <c r="L401" i="14"/>
  <c r="L409" i="14" s="1"/>
  <c r="T769" i="15"/>
  <c r="T777" i="15" s="1"/>
  <c r="AH769" i="15"/>
  <c r="AH777" i="15" s="1"/>
  <c r="V769" i="15"/>
  <c r="V777" i="15" s="1"/>
  <c r="AC769" i="15"/>
  <c r="AC777" i="15" s="1"/>
  <c r="N769" i="15"/>
  <c r="N777" i="15" s="1"/>
  <c r="AF769" i="15"/>
  <c r="AF777" i="15" s="1"/>
  <c r="Q769" i="15"/>
  <c r="Q777" i="15" s="1"/>
  <c r="AG769" i="15"/>
  <c r="AG777" i="15" s="1"/>
  <c r="L769" i="15"/>
  <c r="L777" i="15" s="1"/>
  <c r="W769" i="15"/>
  <c r="W777" i="15" s="1"/>
  <c r="M769" i="15"/>
  <c r="M777" i="15" s="1"/>
  <c r="AK769" i="15"/>
  <c r="AK777" i="15" s="1"/>
  <c r="AL769" i="15"/>
  <c r="AL777" i="15" s="1"/>
  <c r="AO769" i="15"/>
  <c r="AO777" i="15" s="1"/>
  <c r="AD769" i="15"/>
  <c r="AD777" i="15" s="1"/>
  <c r="AN769" i="15"/>
  <c r="AN777" i="15" s="1"/>
  <c r="U769" i="15"/>
  <c r="U777" i="15" s="1"/>
  <c r="AE769" i="15"/>
  <c r="AE777" i="15" s="1"/>
  <c r="P769" i="15"/>
  <c r="P777" i="15" s="1"/>
  <c r="AA769" i="15"/>
  <c r="AA777" i="15" s="1"/>
  <c r="R769" i="15"/>
  <c r="R777" i="15" s="1"/>
  <c r="AJ769" i="15"/>
  <c r="AJ777" i="15" s="1"/>
  <c r="AM769" i="15"/>
  <c r="AM777" i="15" s="1"/>
  <c r="J769" i="15"/>
  <c r="J777" i="15" s="1"/>
  <c r="AI769" i="15"/>
  <c r="AI777" i="15" s="1"/>
  <c r="I769" i="15"/>
  <c r="I777" i="15" s="1"/>
  <c r="Y769" i="15"/>
  <c r="Y777" i="15" s="1"/>
  <c r="S769" i="15"/>
  <c r="S777" i="15" s="1"/>
  <c r="X769" i="15"/>
  <c r="X777" i="15" s="1"/>
  <c r="O769" i="15"/>
  <c r="O777" i="15" s="1"/>
  <c r="Z769" i="15"/>
  <c r="Z777" i="15" s="1"/>
  <c r="AB769" i="15"/>
  <c r="AB777" i="15" s="1"/>
  <c r="K769" i="15"/>
  <c r="K777" i="15" s="1"/>
  <c r="AO116" i="14"/>
  <c r="AO124" i="14" s="1"/>
  <c r="O116" i="14"/>
  <c r="O124" i="14" s="1"/>
  <c r="AP116" i="14"/>
  <c r="AP124" i="14" s="1"/>
  <c r="X116" i="14"/>
  <c r="X124" i="14" s="1"/>
  <c r="AL116" i="14"/>
  <c r="AL124" i="14" s="1"/>
  <c r="R116" i="14"/>
  <c r="R124" i="14" s="1"/>
  <c r="AI116" i="14"/>
  <c r="AI124" i="14" s="1"/>
  <c r="AA116" i="14"/>
  <c r="AA124" i="14" s="1"/>
  <c r="AG116" i="14"/>
  <c r="AG124" i="14" s="1"/>
  <c r="S116" i="14"/>
  <c r="S124" i="14" s="1"/>
  <c r="AN116" i="14"/>
  <c r="AN124" i="14" s="1"/>
  <c r="W116" i="14"/>
  <c r="W124" i="14" s="1"/>
  <c r="AF116" i="14"/>
  <c r="AF124" i="14" s="1"/>
  <c r="L116" i="14"/>
  <c r="L124" i="14" s="1"/>
  <c r="M116" i="14"/>
  <c r="M124" i="14" s="1"/>
  <c r="P116" i="14"/>
  <c r="P124" i="14" s="1"/>
  <c r="AK116" i="14"/>
  <c r="AK124" i="14" s="1"/>
  <c r="T116" i="14"/>
  <c r="T124" i="14" s="1"/>
  <c r="AM116" i="14"/>
  <c r="AM124" i="14" s="1"/>
  <c r="U116" i="14"/>
  <c r="U124" i="14" s="1"/>
  <c r="I116" i="14"/>
  <c r="I124" i="14" s="1"/>
  <c r="AE116" i="14"/>
  <c r="AE124" i="14" s="1"/>
  <c r="N116" i="14"/>
  <c r="N124" i="14" s="1"/>
  <c r="Q116" i="14"/>
  <c r="Q124" i="14" s="1"/>
  <c r="K116" i="14"/>
  <c r="K124" i="14" s="1"/>
  <c r="AH116" i="14"/>
  <c r="AH124" i="14" s="1"/>
  <c r="Z116" i="14"/>
  <c r="Z124" i="14" s="1"/>
  <c r="AB116" i="14"/>
  <c r="AB124" i="14" s="1"/>
  <c r="AD116" i="14"/>
  <c r="AD124" i="14" s="1"/>
  <c r="V116" i="14"/>
  <c r="V124" i="14" s="1"/>
  <c r="AJ116" i="14"/>
  <c r="AJ124" i="14" s="1"/>
  <c r="J116" i="14"/>
  <c r="J124" i="14" s="1"/>
  <c r="AC116" i="14"/>
  <c r="AC124" i="14" s="1"/>
  <c r="Y116" i="14"/>
  <c r="Y124" i="14" s="1"/>
  <c r="T149" i="9"/>
  <c r="T157" i="9" s="1"/>
  <c r="Y149" i="9"/>
  <c r="Y157" i="9" s="1"/>
  <c r="M149" i="9"/>
  <c r="M157" i="9" s="1"/>
  <c r="I149" i="9"/>
  <c r="I157" i="9" s="1"/>
  <c r="AG149" i="9"/>
  <c r="AG157" i="9" s="1"/>
  <c r="AH149" i="9"/>
  <c r="AH157" i="9" s="1"/>
  <c r="AC149" i="9"/>
  <c r="AC157" i="9" s="1"/>
  <c r="AA149" i="9"/>
  <c r="AA157" i="9" s="1"/>
  <c r="S149" i="9"/>
  <c r="S157" i="9" s="1"/>
  <c r="AM149" i="9"/>
  <c r="AM157" i="9" s="1"/>
  <c r="L149" i="9"/>
  <c r="L157" i="9" s="1"/>
  <c r="AJ149" i="9"/>
  <c r="AJ157" i="9" s="1"/>
  <c r="O149" i="9"/>
  <c r="O157" i="9" s="1"/>
  <c r="AL149" i="9"/>
  <c r="AL157" i="9" s="1"/>
  <c r="Q149" i="9"/>
  <c r="Q157" i="9" s="1"/>
  <c r="V149" i="9"/>
  <c r="V157" i="9" s="1"/>
  <c r="AN149" i="9"/>
  <c r="AN157" i="9" s="1"/>
  <c r="W149" i="9"/>
  <c r="W157" i="9" s="1"/>
  <c r="AI149" i="9"/>
  <c r="AI157" i="9" s="1"/>
  <c r="R149" i="9"/>
  <c r="R157" i="9" s="1"/>
  <c r="AF149" i="9"/>
  <c r="AF157" i="9" s="1"/>
  <c r="Z149" i="9"/>
  <c r="Z157" i="9" s="1"/>
  <c r="AE149" i="9"/>
  <c r="AE157" i="9" s="1"/>
  <c r="AB149" i="9"/>
  <c r="AB157" i="9" s="1"/>
  <c r="P149" i="9"/>
  <c r="P157" i="9" s="1"/>
  <c r="U149" i="9"/>
  <c r="U157" i="9" s="1"/>
  <c r="K149" i="9"/>
  <c r="K157" i="9" s="1"/>
  <c r="AD149" i="9"/>
  <c r="AD157" i="9" s="1"/>
  <c r="J149" i="9"/>
  <c r="J157" i="9" s="1"/>
  <c r="X149" i="9"/>
  <c r="X157" i="9" s="1"/>
  <c r="N149" i="9"/>
  <c r="N157" i="9" s="1"/>
  <c r="AK149" i="9"/>
  <c r="AK157" i="9" s="1"/>
  <c r="AN132" i="15"/>
  <c r="AN140" i="15" s="1"/>
  <c r="AG132" i="15"/>
  <c r="AG140" i="15" s="1"/>
  <c r="T132" i="15"/>
  <c r="T140" i="15" s="1"/>
  <c r="AI132" i="15"/>
  <c r="AI140" i="15" s="1"/>
  <c r="AM132" i="15"/>
  <c r="AM140" i="15" s="1"/>
  <c r="Z132" i="15"/>
  <c r="Z140" i="15" s="1"/>
  <c r="K132" i="15"/>
  <c r="K140" i="15" s="1"/>
  <c r="AK132" i="15"/>
  <c r="AK140" i="15" s="1"/>
  <c r="AL132" i="15"/>
  <c r="AL140" i="15" s="1"/>
  <c r="AD132" i="15"/>
  <c r="AD140" i="15" s="1"/>
  <c r="Q132" i="15"/>
  <c r="Q140" i="15" s="1"/>
  <c r="AF132" i="15"/>
  <c r="AF140" i="15" s="1"/>
  <c r="R132" i="15"/>
  <c r="R140" i="15" s="1"/>
  <c r="M132" i="15"/>
  <c r="M140" i="15" s="1"/>
  <c r="L132" i="15"/>
  <c r="L140" i="15" s="1"/>
  <c r="P132" i="15"/>
  <c r="P140" i="15" s="1"/>
  <c r="AC132" i="15"/>
  <c r="AC140" i="15" s="1"/>
  <c r="AH132" i="15"/>
  <c r="AH140" i="15" s="1"/>
  <c r="AA132" i="15"/>
  <c r="AA140" i="15" s="1"/>
  <c r="O132" i="15"/>
  <c r="O140" i="15" s="1"/>
  <c r="N132" i="15"/>
  <c r="N140" i="15" s="1"/>
  <c r="I132" i="15"/>
  <c r="I140" i="15" s="1"/>
  <c r="AB132" i="15"/>
  <c r="AB140" i="15" s="1"/>
  <c r="U132" i="15"/>
  <c r="U140" i="15" s="1"/>
  <c r="W132" i="15"/>
  <c r="W140" i="15" s="1"/>
  <c r="V132" i="15"/>
  <c r="V140" i="15" s="1"/>
  <c r="AO132" i="15"/>
  <c r="AO140" i="15" s="1"/>
  <c r="AJ132" i="15"/>
  <c r="AJ140" i="15" s="1"/>
  <c r="J132" i="15"/>
  <c r="J140" i="15" s="1"/>
  <c r="Y132" i="15"/>
  <c r="Y140" i="15" s="1"/>
  <c r="S132" i="15"/>
  <c r="S140" i="15" s="1"/>
  <c r="AE132" i="15"/>
  <c r="AE140" i="15" s="1"/>
  <c r="X132" i="15"/>
  <c r="X140" i="15" s="1"/>
  <c r="K664" i="16"/>
  <c r="K672" i="16" s="1"/>
  <c r="U664" i="16"/>
  <c r="U672" i="16" s="1"/>
  <c r="AO664" i="16"/>
  <c r="AO672" i="16" s="1"/>
  <c r="V664" i="16"/>
  <c r="V672" i="16" s="1"/>
  <c r="J664" i="16"/>
  <c r="J672" i="16" s="1"/>
  <c r="AK664" i="16"/>
  <c r="AK672" i="16" s="1"/>
  <c r="Q664" i="16"/>
  <c r="Q672" i="16" s="1"/>
  <c r="AN664" i="16"/>
  <c r="AN672" i="16" s="1"/>
  <c r="X664" i="16"/>
  <c r="X672" i="16" s="1"/>
  <c r="AB664" i="16"/>
  <c r="AB672" i="16" s="1"/>
  <c r="M664" i="16"/>
  <c r="M672" i="16" s="1"/>
  <c r="AG664" i="16"/>
  <c r="AG672" i="16" s="1"/>
  <c r="S664" i="16"/>
  <c r="S672" i="16" s="1"/>
  <c r="Y664" i="16"/>
  <c r="Y672" i="16" s="1"/>
  <c r="AD664" i="16"/>
  <c r="AD672" i="16" s="1"/>
  <c r="AH664" i="16"/>
  <c r="AH672" i="16" s="1"/>
  <c r="O664" i="16"/>
  <c r="O672" i="16" s="1"/>
  <c r="AI664" i="16"/>
  <c r="AI672" i="16" s="1"/>
  <c r="L664" i="16"/>
  <c r="L672" i="16" s="1"/>
  <c r="AE664" i="16"/>
  <c r="AE672" i="16" s="1"/>
  <c r="T664" i="16"/>
  <c r="T672" i="16" s="1"/>
  <c r="W664" i="16"/>
  <c r="W672" i="16" s="1"/>
  <c r="R664" i="16"/>
  <c r="R672" i="16" s="1"/>
  <c r="Z664" i="16"/>
  <c r="Z672" i="16" s="1"/>
  <c r="P664" i="16"/>
  <c r="P672" i="16" s="1"/>
  <c r="AL664" i="16"/>
  <c r="AL672" i="16" s="1"/>
  <c r="AA664" i="16"/>
  <c r="AA672" i="16" s="1"/>
  <c r="AM664" i="16"/>
  <c r="AM672" i="16" s="1"/>
  <c r="I664" i="16"/>
  <c r="I672" i="16" s="1"/>
  <c r="AJ664" i="16"/>
  <c r="AJ672" i="16" s="1"/>
  <c r="AC664" i="16"/>
  <c r="AC672" i="16" s="1"/>
  <c r="N664" i="16"/>
  <c r="N672" i="16" s="1"/>
  <c r="AF664" i="16"/>
  <c r="AF672" i="16" s="1"/>
  <c r="AI887" i="15"/>
  <c r="AI895" i="15" s="1"/>
  <c r="U887" i="15"/>
  <c r="U895" i="15" s="1"/>
  <c r="AD887" i="15"/>
  <c r="AD895" i="15" s="1"/>
  <c r="I887" i="15"/>
  <c r="I895" i="15" s="1"/>
  <c r="AL887" i="15"/>
  <c r="AL895" i="15" s="1"/>
  <c r="AJ887" i="15"/>
  <c r="AJ895" i="15" s="1"/>
  <c r="AO887" i="15"/>
  <c r="AO895" i="15" s="1"/>
  <c r="L887" i="15"/>
  <c r="L895" i="15" s="1"/>
  <c r="X887" i="15"/>
  <c r="X895" i="15" s="1"/>
  <c r="W887" i="15"/>
  <c r="W895" i="15" s="1"/>
  <c r="P887" i="15"/>
  <c r="P895" i="15" s="1"/>
  <c r="O887" i="15"/>
  <c r="O895" i="15" s="1"/>
  <c r="S887" i="15"/>
  <c r="S895" i="15" s="1"/>
  <c r="Q887" i="15"/>
  <c r="Q895" i="15" s="1"/>
  <c r="N887" i="15"/>
  <c r="N895" i="15" s="1"/>
  <c r="Z887" i="15"/>
  <c r="Z895" i="15" s="1"/>
  <c r="AM887" i="15"/>
  <c r="AM895" i="15" s="1"/>
  <c r="AN887" i="15"/>
  <c r="AN895" i="15" s="1"/>
  <c r="AA887" i="15"/>
  <c r="AA895" i="15" s="1"/>
  <c r="R887" i="15"/>
  <c r="R895" i="15" s="1"/>
  <c r="AG887" i="15"/>
  <c r="AG895" i="15" s="1"/>
  <c r="AK887" i="15"/>
  <c r="AK895" i="15" s="1"/>
  <c r="J887" i="15"/>
  <c r="J895" i="15" s="1"/>
  <c r="M887" i="15"/>
  <c r="M895" i="15" s="1"/>
  <c r="T887" i="15"/>
  <c r="T895" i="15" s="1"/>
  <c r="AB887" i="15"/>
  <c r="AB895" i="15" s="1"/>
  <c r="AE887" i="15"/>
  <c r="AE895" i="15" s="1"/>
  <c r="Y887" i="15"/>
  <c r="Y895" i="15" s="1"/>
  <c r="AH887" i="15"/>
  <c r="AH895" i="15" s="1"/>
  <c r="K887" i="15"/>
  <c r="K895" i="15" s="1"/>
  <c r="AF887" i="15"/>
  <c r="AF895" i="15" s="1"/>
  <c r="V887" i="15"/>
  <c r="V895" i="15" s="1"/>
  <c r="AC887" i="15"/>
  <c r="AC895" i="15" s="1"/>
  <c r="M82" i="17"/>
  <c r="M84" i="17" s="1"/>
  <c r="N82" i="17"/>
  <c r="N84" i="17" s="1"/>
  <c r="N793" i="15"/>
  <c r="N801" i="15" s="1"/>
  <c r="Q793" i="15"/>
  <c r="Q801" i="15" s="1"/>
  <c r="I793" i="15"/>
  <c r="I801" i="15" s="1"/>
  <c r="AJ793" i="15"/>
  <c r="AJ801" i="15" s="1"/>
  <c r="K793" i="15"/>
  <c r="K801" i="15" s="1"/>
  <c r="X793" i="15"/>
  <c r="X801" i="15" s="1"/>
  <c r="AF793" i="15"/>
  <c r="AF801" i="15" s="1"/>
  <c r="R793" i="15"/>
  <c r="R801" i="15" s="1"/>
  <c r="U793" i="15"/>
  <c r="U801" i="15" s="1"/>
  <c r="L793" i="15"/>
  <c r="L801" i="15" s="1"/>
  <c r="AA793" i="15"/>
  <c r="AA801" i="15" s="1"/>
  <c r="AE793" i="15"/>
  <c r="AE801" i="15" s="1"/>
  <c r="AM793" i="15"/>
  <c r="AM801" i="15" s="1"/>
  <c r="S793" i="15"/>
  <c r="S801" i="15" s="1"/>
  <c r="P793" i="15"/>
  <c r="P801" i="15" s="1"/>
  <c r="J793" i="15"/>
  <c r="J801" i="15" s="1"/>
  <c r="AO793" i="15"/>
  <c r="AO801" i="15" s="1"/>
  <c r="Y793" i="15"/>
  <c r="Y801" i="15" s="1"/>
  <c r="AN793" i="15"/>
  <c r="AN801" i="15" s="1"/>
  <c r="M793" i="15"/>
  <c r="M801" i="15" s="1"/>
  <c r="AI793" i="15"/>
  <c r="AI801" i="15" s="1"/>
  <c r="AC793" i="15"/>
  <c r="AC801" i="15" s="1"/>
  <c r="Z793" i="15"/>
  <c r="Z801" i="15" s="1"/>
  <c r="W793" i="15"/>
  <c r="W801" i="15" s="1"/>
  <c r="AL793" i="15"/>
  <c r="AL801" i="15" s="1"/>
  <c r="AD793" i="15"/>
  <c r="AD801" i="15" s="1"/>
  <c r="AK793" i="15"/>
  <c r="AK801" i="15" s="1"/>
  <c r="AH793" i="15"/>
  <c r="AH801" i="15" s="1"/>
  <c r="T793" i="15"/>
  <c r="T801" i="15" s="1"/>
  <c r="AB793" i="15"/>
  <c r="AB801" i="15" s="1"/>
  <c r="V793" i="15"/>
  <c r="V801" i="15" s="1"/>
  <c r="O793" i="15"/>
  <c r="O801" i="15" s="1"/>
  <c r="AG793" i="15"/>
  <c r="AG801" i="15" s="1"/>
  <c r="AM151" i="9"/>
  <c r="AM159" i="9" s="1"/>
  <c r="M151" i="9"/>
  <c r="M159" i="9" s="1"/>
  <c r="T151" i="9"/>
  <c r="T159" i="9" s="1"/>
  <c r="AE151" i="9"/>
  <c r="AE159" i="9" s="1"/>
  <c r="AH151" i="9"/>
  <c r="AH159" i="9" s="1"/>
  <c r="V151" i="9"/>
  <c r="V159" i="9" s="1"/>
  <c r="Y151" i="9"/>
  <c r="Y159" i="9" s="1"/>
  <c r="N151" i="9"/>
  <c r="N159" i="9" s="1"/>
  <c r="X151" i="9"/>
  <c r="X159" i="9" s="1"/>
  <c r="AA151" i="9"/>
  <c r="AA159" i="9" s="1"/>
  <c r="AJ151" i="9"/>
  <c r="AJ159" i="9" s="1"/>
  <c r="K151" i="9"/>
  <c r="K159" i="9" s="1"/>
  <c r="AB151" i="9"/>
  <c r="AB159" i="9" s="1"/>
  <c r="AF151" i="9"/>
  <c r="AF159" i="9" s="1"/>
  <c r="AI151" i="9"/>
  <c r="AI159" i="9" s="1"/>
  <c r="O151" i="9"/>
  <c r="O159" i="9" s="1"/>
  <c r="AD151" i="9"/>
  <c r="AD159" i="9" s="1"/>
  <c r="R151" i="9"/>
  <c r="R159" i="9" s="1"/>
  <c r="J151" i="9"/>
  <c r="J159" i="9" s="1"/>
  <c r="P151" i="9"/>
  <c r="P159" i="9" s="1"/>
  <c r="W151" i="9"/>
  <c r="W159" i="9" s="1"/>
  <c r="AG151" i="9"/>
  <c r="AG159" i="9" s="1"/>
  <c r="L151" i="9"/>
  <c r="L159" i="9" s="1"/>
  <c r="AC151" i="9"/>
  <c r="AC159" i="9" s="1"/>
  <c r="AL151" i="9"/>
  <c r="AL159" i="9" s="1"/>
  <c r="AN151" i="9"/>
  <c r="AN159" i="9" s="1"/>
  <c r="Z151" i="9"/>
  <c r="Z159" i="9" s="1"/>
  <c r="I151" i="9"/>
  <c r="I159" i="9" s="1"/>
  <c r="AK151" i="9"/>
  <c r="AK159" i="9" s="1"/>
  <c r="Q151" i="9"/>
  <c r="Q159" i="9" s="1"/>
  <c r="U151" i="9"/>
  <c r="U159" i="9" s="1"/>
  <c r="S151" i="9"/>
  <c r="S159" i="9" s="1"/>
  <c r="O82" i="17"/>
  <c r="O84" i="17" s="1"/>
  <c r="L249" i="15"/>
  <c r="L257" i="15" s="1"/>
  <c r="W249" i="15"/>
  <c r="W257" i="15" s="1"/>
  <c r="P249" i="15"/>
  <c r="P257" i="15" s="1"/>
  <c r="V249" i="15"/>
  <c r="V257" i="15" s="1"/>
  <c r="R249" i="15"/>
  <c r="R257" i="15" s="1"/>
  <c r="Z249" i="15"/>
  <c r="Z257" i="15" s="1"/>
  <c r="T249" i="15"/>
  <c r="T257" i="15" s="1"/>
  <c r="AA249" i="15"/>
  <c r="AA257" i="15" s="1"/>
  <c r="U249" i="15"/>
  <c r="U257" i="15" s="1"/>
  <c r="N249" i="15"/>
  <c r="N257" i="15" s="1"/>
  <c r="K249" i="15"/>
  <c r="K257" i="15" s="1"/>
  <c r="S249" i="15"/>
  <c r="S257" i="15" s="1"/>
  <c r="AB249" i="15"/>
  <c r="AB257" i="15" s="1"/>
  <c r="J249" i="15"/>
  <c r="J257" i="15" s="1"/>
  <c r="M249" i="15"/>
  <c r="M257" i="15" s="1"/>
  <c r="AC249" i="15"/>
  <c r="AC257" i="15" s="1"/>
  <c r="I249" i="15"/>
  <c r="I257" i="15" s="1"/>
  <c r="O249" i="15"/>
  <c r="O257" i="15" s="1"/>
  <c r="X249" i="15"/>
  <c r="X257" i="15" s="1"/>
  <c r="Y249" i="15"/>
  <c r="Y257" i="15" s="1"/>
  <c r="Q249" i="15"/>
  <c r="Q257" i="15" s="1"/>
  <c r="AI245" i="7"/>
  <c r="AI253" i="7" s="1"/>
  <c r="AD245" i="7"/>
  <c r="AD253" i="7" s="1"/>
  <c r="AJ245" i="7"/>
  <c r="AJ253" i="7" s="1"/>
  <c r="V245" i="7"/>
  <c r="V253" i="7" s="1"/>
  <c r="AF245" i="7"/>
  <c r="AF253" i="7" s="1"/>
  <c r="AO245" i="7"/>
  <c r="AO253" i="7" s="1"/>
  <c r="AM245" i="7"/>
  <c r="AM253" i="7" s="1"/>
  <c r="AN245" i="7"/>
  <c r="AN253" i="7" s="1"/>
  <c r="AG245" i="7"/>
  <c r="AG253" i="7" s="1"/>
  <c r="AE245" i="7"/>
  <c r="AE253" i="7" s="1"/>
  <c r="AH245" i="7"/>
  <c r="AH253" i="7" s="1"/>
  <c r="AC245" i="7"/>
  <c r="AC253" i="7" s="1"/>
  <c r="AK245" i="7"/>
  <c r="AK253" i="7" s="1"/>
  <c r="AL245" i="7"/>
  <c r="AL253" i="7" s="1"/>
  <c r="Y245" i="7"/>
  <c r="Y253" i="7" s="1"/>
  <c r="L245" i="7"/>
  <c r="L253" i="7" s="1"/>
  <c r="W245" i="7"/>
  <c r="W253" i="7" s="1"/>
  <c r="M245" i="7"/>
  <c r="M253" i="7" s="1"/>
  <c r="O245" i="7"/>
  <c r="O253" i="7" s="1"/>
  <c r="P245" i="7"/>
  <c r="P253" i="7" s="1"/>
  <c r="AA245" i="7"/>
  <c r="AA253" i="7" s="1"/>
  <c r="Q245" i="7"/>
  <c r="Q253" i="7" s="1"/>
  <c r="J245" i="7"/>
  <c r="J253" i="7" s="1"/>
  <c r="N245" i="7"/>
  <c r="N253" i="7" s="1"/>
  <c r="T245" i="7"/>
  <c r="T253" i="7" s="1"/>
  <c r="U245" i="7"/>
  <c r="U253" i="7" s="1"/>
  <c r="X245" i="7"/>
  <c r="X253" i="7" s="1"/>
  <c r="I245" i="7"/>
  <c r="R245" i="7"/>
  <c r="R253" i="7" s="1"/>
  <c r="AB245" i="7"/>
  <c r="AB253" i="7" s="1"/>
  <c r="S245" i="7"/>
  <c r="S253" i="7" s="1"/>
  <c r="K245" i="7"/>
  <c r="K253" i="7" s="1"/>
  <c r="Z245" i="7"/>
  <c r="Z253" i="7" s="1"/>
  <c r="F639" i="16"/>
  <c r="F729" i="16"/>
  <c r="P476" i="15"/>
  <c r="P484" i="15" s="1"/>
  <c r="U476" i="15"/>
  <c r="U484" i="15" s="1"/>
  <c r="M476" i="15"/>
  <c r="M484" i="15" s="1"/>
  <c r="W476" i="15"/>
  <c r="W484" i="15" s="1"/>
  <c r="AN476" i="15"/>
  <c r="AN484" i="15" s="1"/>
  <c r="Y476" i="15"/>
  <c r="Y484" i="15" s="1"/>
  <c r="Q476" i="15"/>
  <c r="Q484" i="15" s="1"/>
  <c r="AI476" i="15"/>
  <c r="AI484" i="15" s="1"/>
  <c r="AL476" i="15"/>
  <c r="AL484" i="15" s="1"/>
  <c r="T476" i="15"/>
  <c r="T484" i="15" s="1"/>
  <c r="J476" i="15"/>
  <c r="J484" i="15" s="1"/>
  <c r="AE476" i="15"/>
  <c r="AE484" i="15" s="1"/>
  <c r="L476" i="15"/>
  <c r="L484" i="15" s="1"/>
  <c r="AD476" i="15"/>
  <c r="AD484" i="15" s="1"/>
  <c r="K476" i="15"/>
  <c r="K484" i="15" s="1"/>
  <c r="V476" i="15"/>
  <c r="V484" i="15" s="1"/>
  <c r="AJ476" i="15"/>
  <c r="AJ484" i="15" s="1"/>
  <c r="X476" i="15"/>
  <c r="X484" i="15" s="1"/>
  <c r="AO476" i="15"/>
  <c r="AO484" i="15" s="1"/>
  <c r="AG476" i="15"/>
  <c r="AG484" i="15" s="1"/>
  <c r="AM476" i="15"/>
  <c r="AM484" i="15" s="1"/>
  <c r="N476" i="15"/>
  <c r="N484" i="15" s="1"/>
  <c r="AB476" i="15"/>
  <c r="AB484" i="15" s="1"/>
  <c r="O476" i="15"/>
  <c r="O484" i="15" s="1"/>
  <c r="AH476" i="15"/>
  <c r="AH484" i="15" s="1"/>
  <c r="R476" i="15"/>
  <c r="R484" i="15" s="1"/>
  <c r="AF476" i="15"/>
  <c r="AF484" i="15" s="1"/>
  <c r="AC476" i="15"/>
  <c r="AC484" i="15" s="1"/>
  <c r="Z476" i="15"/>
  <c r="Z484" i="15" s="1"/>
  <c r="I476" i="15"/>
  <c r="I484" i="15" s="1"/>
  <c r="AA476" i="15"/>
  <c r="AA484" i="15" s="1"/>
  <c r="S476" i="15"/>
  <c r="S484" i="15" s="1"/>
  <c r="AK476" i="15"/>
  <c r="AK484" i="15" s="1"/>
  <c r="U82" i="17"/>
  <c r="U84" i="17" s="1"/>
  <c r="AJ82" i="17"/>
  <c r="AJ84" i="17" s="1"/>
  <c r="L82" i="17"/>
  <c r="L84" i="17" s="1"/>
  <c r="AI82" i="17"/>
  <c r="AI84" i="17" s="1"/>
  <c r="AK115" i="14"/>
  <c r="AK123" i="14" s="1"/>
  <c r="J115" i="14"/>
  <c r="J123" i="14" s="1"/>
  <c r="O115" i="14"/>
  <c r="O123" i="14" s="1"/>
  <c r="Y115" i="14"/>
  <c r="Y123" i="14" s="1"/>
  <c r="AE115" i="14"/>
  <c r="AE123" i="14" s="1"/>
  <c r="N115" i="14"/>
  <c r="N123" i="14" s="1"/>
  <c r="AH115" i="14"/>
  <c r="AH123" i="14" s="1"/>
  <c r="Z115" i="14"/>
  <c r="Z123" i="14" s="1"/>
  <c r="W115" i="14"/>
  <c r="W123" i="14" s="1"/>
  <c r="K115" i="14"/>
  <c r="K123" i="14" s="1"/>
  <c r="AF115" i="14"/>
  <c r="AF123" i="14" s="1"/>
  <c r="U115" i="14"/>
  <c r="U123" i="14" s="1"/>
  <c r="AD115" i="14"/>
  <c r="AD123" i="14" s="1"/>
  <c r="P115" i="14"/>
  <c r="P123" i="14" s="1"/>
  <c r="AJ115" i="14"/>
  <c r="AJ123" i="14" s="1"/>
  <c r="M115" i="14"/>
  <c r="M123" i="14" s="1"/>
  <c r="AP115" i="14"/>
  <c r="AP123" i="14" s="1"/>
  <c r="L115" i="14"/>
  <c r="L123" i="14" s="1"/>
  <c r="I115" i="14"/>
  <c r="I123" i="14" s="1"/>
  <c r="AM115" i="14"/>
  <c r="AM123" i="14" s="1"/>
  <c r="V115" i="14"/>
  <c r="V123" i="14" s="1"/>
  <c r="AG115" i="14"/>
  <c r="AG123" i="14" s="1"/>
  <c r="R115" i="14"/>
  <c r="R123" i="14" s="1"/>
  <c r="X115" i="14"/>
  <c r="X123" i="14" s="1"/>
  <c r="AO115" i="14"/>
  <c r="AO123" i="14" s="1"/>
  <c r="S115" i="14"/>
  <c r="S123" i="14" s="1"/>
  <c r="AC115" i="14"/>
  <c r="AC123" i="14" s="1"/>
  <c r="AB115" i="14"/>
  <c r="AB123" i="14" s="1"/>
  <c r="AI115" i="14"/>
  <c r="AI123" i="14" s="1"/>
  <c r="Q115" i="14"/>
  <c r="Q123" i="14" s="1"/>
  <c r="AL115" i="14"/>
  <c r="AL123" i="14" s="1"/>
  <c r="AA115" i="14"/>
  <c r="AA123" i="14" s="1"/>
  <c r="AN115" i="14"/>
  <c r="AN123" i="14" s="1"/>
  <c r="T115" i="14"/>
  <c r="T123" i="14" s="1"/>
  <c r="R914" i="15"/>
  <c r="R922" i="15" s="1"/>
  <c r="AE914" i="15"/>
  <c r="AE922" i="15" s="1"/>
  <c r="AP914" i="15"/>
  <c r="AP922" i="15" s="1"/>
  <c r="AC914" i="15"/>
  <c r="AC922" i="15" s="1"/>
  <c r="AN914" i="15"/>
  <c r="AN922" i="15" s="1"/>
  <c r="N914" i="15"/>
  <c r="N922" i="15" s="1"/>
  <c r="AJ914" i="15"/>
  <c r="AJ922" i="15" s="1"/>
  <c r="M914" i="15"/>
  <c r="M922" i="15" s="1"/>
  <c r="W914" i="15"/>
  <c r="W922" i="15" s="1"/>
  <c r="AO914" i="15"/>
  <c r="AO922" i="15" s="1"/>
  <c r="AF914" i="15"/>
  <c r="AF922" i="15" s="1"/>
  <c r="AL914" i="15"/>
  <c r="AL922" i="15" s="1"/>
  <c r="Y914" i="15"/>
  <c r="Y922" i="15" s="1"/>
  <c r="O914" i="15"/>
  <c r="O922" i="15" s="1"/>
  <c r="Z914" i="15"/>
  <c r="Z922" i="15" s="1"/>
  <c r="P914" i="15"/>
  <c r="P922" i="15" s="1"/>
  <c r="U914" i="15"/>
  <c r="U922" i="15" s="1"/>
  <c r="J914" i="15"/>
  <c r="J922" i="15" s="1"/>
  <c r="AB914" i="15"/>
  <c r="AB922" i="15" s="1"/>
  <c r="S914" i="15"/>
  <c r="S922" i="15" s="1"/>
  <c r="V914" i="15"/>
  <c r="V922" i="15" s="1"/>
  <c r="Q914" i="15"/>
  <c r="Q922" i="15" s="1"/>
  <c r="AA914" i="15"/>
  <c r="AA922" i="15" s="1"/>
  <c r="K914" i="15"/>
  <c r="K922" i="15" s="1"/>
  <c r="AD914" i="15"/>
  <c r="AD922" i="15" s="1"/>
  <c r="AH914" i="15"/>
  <c r="AH922" i="15" s="1"/>
  <c r="X914" i="15"/>
  <c r="X922" i="15" s="1"/>
  <c r="L914" i="15"/>
  <c r="L922" i="15" s="1"/>
  <c r="AK914" i="15"/>
  <c r="AK922" i="15" s="1"/>
  <c r="I914" i="15"/>
  <c r="I922" i="15" s="1"/>
  <c r="AI914" i="15"/>
  <c r="AI922" i="15" s="1"/>
  <c r="AM914" i="15"/>
  <c r="AM922" i="15" s="1"/>
  <c r="AG914" i="15"/>
  <c r="AG922" i="15" s="1"/>
  <c r="T914" i="15"/>
  <c r="T922" i="15" s="1"/>
  <c r="T150" i="9"/>
  <c r="T158" i="9" s="1"/>
  <c r="O150" i="9"/>
  <c r="O158" i="9" s="1"/>
  <c r="AG150" i="9"/>
  <c r="AG158" i="9" s="1"/>
  <c r="AC150" i="9"/>
  <c r="AC158" i="9" s="1"/>
  <c r="AH150" i="9"/>
  <c r="AH158" i="9" s="1"/>
  <c r="S150" i="9"/>
  <c r="S158" i="9" s="1"/>
  <c r="U150" i="9"/>
  <c r="U158" i="9" s="1"/>
  <c r="W150" i="9"/>
  <c r="W158" i="9" s="1"/>
  <c r="X150" i="9"/>
  <c r="X158" i="9" s="1"/>
  <c r="I150" i="9"/>
  <c r="I158" i="9" s="1"/>
  <c r="AL150" i="9"/>
  <c r="AL158" i="9" s="1"/>
  <c r="M150" i="9"/>
  <c r="M158" i="9" s="1"/>
  <c r="AK150" i="9"/>
  <c r="AK158" i="9" s="1"/>
  <c r="AI150" i="9"/>
  <c r="AI158" i="9" s="1"/>
  <c r="V150" i="9"/>
  <c r="V158" i="9" s="1"/>
  <c r="P150" i="9"/>
  <c r="P158" i="9" s="1"/>
  <c r="AM150" i="9"/>
  <c r="AM158" i="9" s="1"/>
  <c r="AN150" i="9"/>
  <c r="AN158" i="9" s="1"/>
  <c r="AA150" i="9"/>
  <c r="AA158" i="9" s="1"/>
  <c r="AB150" i="9"/>
  <c r="AB158" i="9" s="1"/>
  <c r="AF150" i="9"/>
  <c r="AF158" i="9" s="1"/>
  <c r="N150" i="9"/>
  <c r="N158" i="9" s="1"/>
  <c r="AJ150" i="9"/>
  <c r="AJ158" i="9" s="1"/>
  <c r="J150" i="9"/>
  <c r="J158" i="9" s="1"/>
  <c r="AD150" i="9"/>
  <c r="AD158" i="9" s="1"/>
  <c r="Z150" i="9"/>
  <c r="Z158" i="9" s="1"/>
  <c r="L150" i="9"/>
  <c r="L158" i="9" s="1"/>
  <c r="Y150" i="9"/>
  <c r="Y158" i="9" s="1"/>
  <c r="AE150" i="9"/>
  <c r="AE158" i="9" s="1"/>
  <c r="K150" i="9"/>
  <c r="K158" i="9" s="1"/>
  <c r="R150" i="9"/>
  <c r="R158" i="9" s="1"/>
  <c r="Q150" i="9"/>
  <c r="Q158" i="9" s="1"/>
  <c r="Y478" i="15"/>
  <c r="Y486" i="15" s="1"/>
  <c r="AE478" i="15"/>
  <c r="AE486" i="15" s="1"/>
  <c r="N478" i="15"/>
  <c r="N486" i="15" s="1"/>
  <c r="AB478" i="15"/>
  <c r="AB486" i="15" s="1"/>
  <c r="Q478" i="15"/>
  <c r="Q486" i="15" s="1"/>
  <c r="AA478" i="15"/>
  <c r="AA486" i="15" s="1"/>
  <c r="Z478" i="15"/>
  <c r="Z486" i="15" s="1"/>
  <c r="T478" i="15"/>
  <c r="T486" i="15" s="1"/>
  <c r="O478" i="15"/>
  <c r="O486" i="15" s="1"/>
  <c r="AJ478" i="15"/>
  <c r="AJ486" i="15" s="1"/>
  <c r="I478" i="15"/>
  <c r="I486" i="15" s="1"/>
  <c r="W478" i="15"/>
  <c r="W486" i="15" s="1"/>
  <c r="S478" i="15"/>
  <c r="S486" i="15" s="1"/>
  <c r="AH478" i="15"/>
  <c r="AH486" i="15" s="1"/>
  <c r="J478" i="15"/>
  <c r="J486" i="15" s="1"/>
  <c r="AN478" i="15"/>
  <c r="AN486" i="15" s="1"/>
  <c r="P478" i="15"/>
  <c r="P486" i="15" s="1"/>
  <c r="V478" i="15"/>
  <c r="V486" i="15" s="1"/>
  <c r="AM478" i="15"/>
  <c r="AM486" i="15" s="1"/>
  <c r="K478" i="15"/>
  <c r="K486" i="15" s="1"/>
  <c r="AC478" i="15"/>
  <c r="AC486" i="15" s="1"/>
  <c r="AL478" i="15"/>
  <c r="AL486" i="15" s="1"/>
  <c r="AK478" i="15"/>
  <c r="AK486" i="15" s="1"/>
  <c r="L478" i="15"/>
  <c r="L486" i="15" s="1"/>
  <c r="AG478" i="15"/>
  <c r="AG486" i="15" s="1"/>
  <c r="X478" i="15"/>
  <c r="X486" i="15" s="1"/>
  <c r="AF478" i="15"/>
  <c r="AF486" i="15" s="1"/>
  <c r="R478" i="15"/>
  <c r="R486" i="15" s="1"/>
  <c r="U478" i="15"/>
  <c r="U486" i="15" s="1"/>
  <c r="M478" i="15"/>
  <c r="M486" i="15" s="1"/>
  <c r="AI478" i="15"/>
  <c r="AI486" i="15" s="1"/>
  <c r="AO478" i="15"/>
  <c r="AO486" i="15" s="1"/>
  <c r="AD478" i="15"/>
  <c r="AD486" i="15" s="1"/>
  <c r="AG911" i="15"/>
  <c r="AG919" i="15" s="1"/>
  <c r="AD911" i="15"/>
  <c r="AD919" i="15" s="1"/>
  <c r="R911" i="15"/>
  <c r="R919" i="15" s="1"/>
  <c r="AE911" i="15"/>
  <c r="AE919" i="15" s="1"/>
  <c r="Q911" i="15"/>
  <c r="Q919" i="15" s="1"/>
  <c r="Y911" i="15"/>
  <c r="Y919" i="15" s="1"/>
  <c r="S911" i="15"/>
  <c r="S919" i="15" s="1"/>
  <c r="AJ911" i="15"/>
  <c r="AJ919" i="15" s="1"/>
  <c r="O911" i="15"/>
  <c r="O919" i="15" s="1"/>
  <c r="AB911" i="15"/>
  <c r="AB919" i="15" s="1"/>
  <c r="AO911" i="15"/>
  <c r="AO919" i="15" s="1"/>
  <c r="Z911" i="15"/>
  <c r="Z919" i="15" s="1"/>
  <c r="AN911" i="15"/>
  <c r="AN919" i="15" s="1"/>
  <c r="AP911" i="15"/>
  <c r="AP919" i="15" s="1"/>
  <c r="V911" i="15"/>
  <c r="V919" i="15" s="1"/>
  <c r="K911" i="15"/>
  <c r="K919" i="15" s="1"/>
  <c r="AK911" i="15"/>
  <c r="AK919" i="15" s="1"/>
  <c r="J911" i="15"/>
  <c r="J919" i="15" s="1"/>
  <c r="X911" i="15"/>
  <c r="X919" i="15" s="1"/>
  <c r="I911" i="15"/>
  <c r="I919" i="15" s="1"/>
  <c r="W911" i="15"/>
  <c r="W919" i="15" s="1"/>
  <c r="L911" i="15"/>
  <c r="L919" i="15" s="1"/>
  <c r="T911" i="15"/>
  <c r="T919" i="15" s="1"/>
  <c r="AM911" i="15"/>
  <c r="AM919" i="15" s="1"/>
  <c r="AH911" i="15"/>
  <c r="AH919" i="15" s="1"/>
  <c r="U911" i="15"/>
  <c r="U919" i="15" s="1"/>
  <c r="N911" i="15"/>
  <c r="N919" i="15" s="1"/>
  <c r="AC911" i="15"/>
  <c r="AC919" i="15" s="1"/>
  <c r="P911" i="15"/>
  <c r="P919" i="15" s="1"/>
  <c r="AI911" i="15"/>
  <c r="AI919" i="15" s="1"/>
  <c r="M911" i="15"/>
  <c r="M919" i="15" s="1"/>
  <c r="AF911" i="15"/>
  <c r="AF919" i="15" s="1"/>
  <c r="AL911" i="15"/>
  <c r="AL919" i="15" s="1"/>
  <c r="AA911" i="15"/>
  <c r="AA919" i="15" s="1"/>
  <c r="AE64" i="9"/>
  <c r="AE72" i="9" s="1"/>
  <c r="AF64" i="9"/>
  <c r="AF72" i="9" s="1"/>
  <c r="AC64" i="9"/>
  <c r="AC72" i="9" s="1"/>
  <c r="AH64" i="9"/>
  <c r="AH72" i="9" s="1"/>
  <c r="AM64" i="9"/>
  <c r="AM72" i="9" s="1"/>
  <c r="AJ64" i="9"/>
  <c r="AJ72" i="9" s="1"/>
  <c r="AD64" i="9"/>
  <c r="AD72" i="9" s="1"/>
  <c r="AK64" i="9"/>
  <c r="AK72" i="9" s="1"/>
  <c r="AN64" i="9"/>
  <c r="AN72" i="9" s="1"/>
  <c r="AL64" i="9"/>
  <c r="AL72" i="9" s="1"/>
  <c r="AG64" i="9"/>
  <c r="AG72" i="9" s="1"/>
  <c r="AI64" i="9"/>
  <c r="AI72" i="9" s="1"/>
  <c r="L64" i="9"/>
  <c r="L72" i="9" s="1"/>
  <c r="J64" i="9"/>
  <c r="J72" i="9" s="1"/>
  <c r="O64" i="9"/>
  <c r="O72" i="9" s="1"/>
  <c r="X64" i="9"/>
  <c r="X72" i="9" s="1"/>
  <c r="U64" i="9"/>
  <c r="U72" i="9" s="1"/>
  <c r="P64" i="9"/>
  <c r="P72" i="9" s="1"/>
  <c r="R64" i="9"/>
  <c r="R72" i="9" s="1"/>
  <c r="AA64" i="9"/>
  <c r="AA72" i="9" s="1"/>
  <c r="AB64" i="9"/>
  <c r="AB72" i="9" s="1"/>
  <c r="Z64" i="9"/>
  <c r="Z72" i="9" s="1"/>
  <c r="W64" i="9"/>
  <c r="W72" i="9" s="1"/>
  <c r="T64" i="9"/>
  <c r="T72" i="9" s="1"/>
  <c r="M64" i="9"/>
  <c r="M72" i="9" s="1"/>
  <c r="N64" i="9"/>
  <c r="N72" i="9" s="1"/>
  <c r="K64" i="9"/>
  <c r="K72" i="9" s="1"/>
  <c r="I64" i="9"/>
  <c r="I72" i="9" s="1"/>
  <c r="Q64" i="9"/>
  <c r="Q72" i="9" s="1"/>
  <c r="Y64" i="9"/>
  <c r="Y72" i="9" s="1"/>
  <c r="V64" i="9"/>
  <c r="V72" i="9" s="1"/>
  <c r="S64" i="9"/>
  <c r="S72" i="9" s="1"/>
  <c r="AH248" i="8"/>
  <c r="AH256" i="8" s="1"/>
  <c r="AM248" i="8"/>
  <c r="AM256" i="8" s="1"/>
  <c r="AL248" i="8"/>
  <c r="AL256" i="8" s="1"/>
  <c r="AJ248" i="8"/>
  <c r="AJ256" i="8" s="1"/>
  <c r="AO248" i="8"/>
  <c r="AO256" i="8" s="1"/>
  <c r="AI248" i="8"/>
  <c r="AI256" i="8" s="1"/>
  <c r="AK248" i="8"/>
  <c r="AK256" i="8" s="1"/>
  <c r="AN248" i="8"/>
  <c r="AN256" i="8" s="1"/>
  <c r="Z248" i="8"/>
  <c r="Z256" i="8" s="1"/>
  <c r="AC248" i="8"/>
  <c r="AC256" i="8" s="1"/>
  <c r="AE248" i="8"/>
  <c r="AE256" i="8" s="1"/>
  <c r="M248" i="8"/>
  <c r="M256" i="8" s="1"/>
  <c r="Y248" i="8"/>
  <c r="Y256" i="8" s="1"/>
  <c r="S248" i="8"/>
  <c r="S256" i="8" s="1"/>
  <c r="N248" i="8"/>
  <c r="N256" i="8" s="1"/>
  <c r="L248" i="8"/>
  <c r="L256" i="8" s="1"/>
  <c r="K248" i="8"/>
  <c r="K256" i="8" s="1"/>
  <c r="R248" i="8"/>
  <c r="R256" i="8" s="1"/>
  <c r="AD248" i="8"/>
  <c r="AD256" i="8" s="1"/>
  <c r="AB248" i="8"/>
  <c r="AB256" i="8" s="1"/>
  <c r="AG248" i="8"/>
  <c r="AG256" i="8" s="1"/>
  <c r="AF248" i="8"/>
  <c r="AF256" i="8" s="1"/>
  <c r="V248" i="8"/>
  <c r="V256" i="8" s="1"/>
  <c r="T248" i="8"/>
  <c r="T256" i="8" s="1"/>
  <c r="O248" i="8"/>
  <c r="O256" i="8" s="1"/>
  <c r="AA248" i="8"/>
  <c r="AA256" i="8" s="1"/>
  <c r="U248" i="8"/>
  <c r="U256" i="8" s="1"/>
  <c r="P248" i="8"/>
  <c r="P256" i="8" s="1"/>
  <c r="W248" i="8"/>
  <c r="W256" i="8" s="1"/>
  <c r="Q248" i="8"/>
  <c r="Q256" i="8" s="1"/>
  <c r="I248" i="8"/>
  <c r="I256" i="8" s="1"/>
  <c r="X248" i="8"/>
  <c r="X256" i="8" s="1"/>
  <c r="J248" i="8"/>
  <c r="J256" i="8" s="1"/>
  <c r="K592" i="15"/>
  <c r="K600" i="15" s="1"/>
  <c r="W592" i="15"/>
  <c r="W600" i="15" s="1"/>
  <c r="M592" i="15"/>
  <c r="M600" i="15" s="1"/>
  <c r="Y592" i="15"/>
  <c r="Y600" i="15" s="1"/>
  <c r="AC592" i="15"/>
  <c r="AC600" i="15" s="1"/>
  <c r="AH592" i="15"/>
  <c r="AH600" i="15" s="1"/>
  <c r="AP592" i="15"/>
  <c r="AP600" i="15" s="1"/>
  <c r="AB592" i="15"/>
  <c r="AB600" i="15" s="1"/>
  <c r="N592" i="15"/>
  <c r="N600" i="15" s="1"/>
  <c r="Z592" i="15"/>
  <c r="Z600" i="15" s="1"/>
  <c r="L592" i="15"/>
  <c r="L600" i="15" s="1"/>
  <c r="V592" i="15"/>
  <c r="V600" i="15" s="1"/>
  <c r="P592" i="15"/>
  <c r="P600" i="15" s="1"/>
  <c r="AK592" i="15"/>
  <c r="AK600" i="15" s="1"/>
  <c r="S592" i="15"/>
  <c r="S600" i="15" s="1"/>
  <c r="AD592" i="15"/>
  <c r="AD600" i="15" s="1"/>
  <c r="AN592" i="15"/>
  <c r="AN600" i="15" s="1"/>
  <c r="T592" i="15"/>
  <c r="T600" i="15" s="1"/>
  <c r="X592" i="15"/>
  <c r="X600" i="15" s="1"/>
  <c r="AJ592" i="15"/>
  <c r="AJ600" i="15" s="1"/>
  <c r="AO592" i="15"/>
  <c r="AO600" i="15" s="1"/>
  <c r="U592" i="15"/>
  <c r="U600" i="15" s="1"/>
  <c r="Q592" i="15"/>
  <c r="Q600" i="15" s="1"/>
  <c r="AL592" i="15"/>
  <c r="AL600" i="15" s="1"/>
  <c r="AG592" i="15"/>
  <c r="AG600" i="15" s="1"/>
  <c r="AE592" i="15"/>
  <c r="AE600" i="15" s="1"/>
  <c r="AM592" i="15"/>
  <c r="AM600" i="15" s="1"/>
  <c r="R592" i="15"/>
  <c r="R600" i="15" s="1"/>
  <c r="AF592" i="15"/>
  <c r="AF600" i="15" s="1"/>
  <c r="AA592" i="15"/>
  <c r="AA600" i="15" s="1"/>
  <c r="O592" i="15"/>
  <c r="O600" i="15" s="1"/>
  <c r="AI592" i="15"/>
  <c r="AI600" i="15" s="1"/>
  <c r="I592" i="15"/>
  <c r="J592" i="15"/>
  <c r="J600" i="15" s="1"/>
  <c r="AC153" i="15"/>
  <c r="AC161" i="15" s="1"/>
  <c r="AH153" i="15"/>
  <c r="AH161" i="15" s="1"/>
  <c r="AM153" i="15"/>
  <c r="AM161" i="15" s="1"/>
  <c r="AJ153" i="15"/>
  <c r="AJ161" i="15" s="1"/>
  <c r="AF153" i="15"/>
  <c r="AF161" i="15" s="1"/>
  <c r="AE153" i="15"/>
  <c r="AE161" i="15" s="1"/>
  <c r="AN153" i="15"/>
  <c r="AN161" i="15" s="1"/>
  <c r="AK153" i="15"/>
  <c r="AK161" i="15" s="1"/>
  <c r="AD153" i="15"/>
  <c r="AD161" i="15" s="1"/>
  <c r="AO153" i="15"/>
  <c r="AO161" i="15" s="1"/>
  <c r="AI153" i="15"/>
  <c r="AI161" i="15" s="1"/>
  <c r="AL153" i="15"/>
  <c r="AL161" i="15" s="1"/>
  <c r="M153" i="15"/>
  <c r="M161" i="15" s="1"/>
  <c r="V153" i="15"/>
  <c r="V161" i="15" s="1"/>
  <c r="R153" i="15"/>
  <c r="R161" i="15" s="1"/>
  <c r="AG153" i="15"/>
  <c r="AG161" i="15" s="1"/>
  <c r="Z153" i="15"/>
  <c r="Z161" i="15" s="1"/>
  <c r="S153" i="15"/>
  <c r="S161" i="15" s="1"/>
  <c r="AB153" i="15"/>
  <c r="AB161" i="15" s="1"/>
  <c r="N153" i="15"/>
  <c r="N161" i="15" s="1"/>
  <c r="X153" i="15"/>
  <c r="X161" i="15" s="1"/>
  <c r="U153" i="15"/>
  <c r="U161" i="15" s="1"/>
  <c r="J153" i="15"/>
  <c r="J161" i="15" s="1"/>
  <c r="T153" i="15"/>
  <c r="T161" i="15" s="1"/>
  <c r="Y153" i="15"/>
  <c r="Y161" i="15" s="1"/>
  <c r="I153" i="15"/>
  <c r="I161" i="15" s="1"/>
  <c r="W153" i="15"/>
  <c r="W161" i="15" s="1"/>
  <c r="L153" i="15"/>
  <c r="L161" i="15" s="1"/>
  <c r="P153" i="15"/>
  <c r="P161" i="15" s="1"/>
  <c r="K153" i="15"/>
  <c r="K161" i="15" s="1"/>
  <c r="Q153" i="15"/>
  <c r="Q161" i="15" s="1"/>
  <c r="O153" i="15"/>
  <c r="O161" i="15" s="1"/>
  <c r="AA153" i="15"/>
  <c r="AA161" i="15" s="1"/>
  <c r="AO768" i="15"/>
  <c r="AO776" i="15" s="1"/>
  <c r="AH768" i="15"/>
  <c r="AH776" i="15" s="1"/>
  <c r="N768" i="15"/>
  <c r="N776" i="15" s="1"/>
  <c r="AJ768" i="15"/>
  <c r="AJ776" i="15" s="1"/>
  <c r="S768" i="15"/>
  <c r="S776" i="15" s="1"/>
  <c r="AG768" i="15"/>
  <c r="AG776" i="15" s="1"/>
  <c r="AN768" i="15"/>
  <c r="AN776" i="15" s="1"/>
  <c r="L768" i="15"/>
  <c r="L776" i="15" s="1"/>
  <c r="AK768" i="15"/>
  <c r="AK776" i="15" s="1"/>
  <c r="T768" i="15"/>
  <c r="T776" i="15" s="1"/>
  <c r="AE768" i="15"/>
  <c r="AE776" i="15" s="1"/>
  <c r="O768" i="15"/>
  <c r="O776" i="15" s="1"/>
  <c r="AF768" i="15"/>
  <c r="AF776" i="15" s="1"/>
  <c r="U768" i="15"/>
  <c r="U776" i="15" s="1"/>
  <c r="AM768" i="15"/>
  <c r="AM776" i="15" s="1"/>
  <c r="V768" i="15"/>
  <c r="V776" i="15" s="1"/>
  <c r="AI768" i="15"/>
  <c r="AI776" i="15" s="1"/>
  <c r="Y768" i="15"/>
  <c r="Y776" i="15" s="1"/>
  <c r="K768" i="15"/>
  <c r="K776" i="15" s="1"/>
  <c r="AA768" i="15"/>
  <c r="AA776" i="15" s="1"/>
  <c r="I768" i="15"/>
  <c r="I776" i="15" s="1"/>
  <c r="AC768" i="15"/>
  <c r="AC776" i="15" s="1"/>
  <c r="Q768" i="15"/>
  <c r="Q776" i="15" s="1"/>
  <c r="X768" i="15"/>
  <c r="X776" i="15" s="1"/>
  <c r="R768" i="15"/>
  <c r="R776" i="15" s="1"/>
  <c r="Z768" i="15"/>
  <c r="Z776" i="15" s="1"/>
  <c r="AB768" i="15"/>
  <c r="AB776" i="15" s="1"/>
  <c r="AL768" i="15"/>
  <c r="AL776" i="15" s="1"/>
  <c r="J768" i="15"/>
  <c r="J776" i="15" s="1"/>
  <c r="P768" i="15"/>
  <c r="P776" i="15" s="1"/>
  <c r="W768" i="15"/>
  <c r="W776" i="15" s="1"/>
  <c r="M768" i="15"/>
  <c r="M776" i="15" s="1"/>
  <c r="AD768" i="15"/>
  <c r="AD776" i="15" s="1"/>
  <c r="AN249" i="8"/>
  <c r="AN257" i="8" s="1"/>
  <c r="AA249" i="8"/>
  <c r="AA257" i="8" s="1"/>
  <c r="W249" i="8"/>
  <c r="W257" i="8" s="1"/>
  <c r="AB249" i="8"/>
  <c r="AB257" i="8" s="1"/>
  <c r="P249" i="8"/>
  <c r="P257" i="8" s="1"/>
  <c r="Y249" i="8"/>
  <c r="Y257" i="8" s="1"/>
  <c r="AO249" i="8"/>
  <c r="AO257" i="8" s="1"/>
  <c r="AG249" i="8"/>
  <c r="AG257" i="8" s="1"/>
  <c r="AD249" i="8"/>
  <c r="AD257" i="8" s="1"/>
  <c r="M249" i="8"/>
  <c r="M257" i="8" s="1"/>
  <c r="AI249" i="8"/>
  <c r="AI257" i="8" s="1"/>
  <c r="V249" i="8"/>
  <c r="V257" i="8" s="1"/>
  <c r="AK249" i="8"/>
  <c r="AK257" i="8" s="1"/>
  <c r="AM249" i="8"/>
  <c r="AM257" i="8" s="1"/>
  <c r="R249" i="8"/>
  <c r="R257" i="8" s="1"/>
  <c r="Z249" i="8"/>
  <c r="Z257" i="8" s="1"/>
  <c r="N249" i="8"/>
  <c r="N257" i="8" s="1"/>
  <c r="U249" i="8"/>
  <c r="U257" i="8" s="1"/>
  <c r="AJ249" i="8"/>
  <c r="AJ257" i="8" s="1"/>
  <c r="AL249" i="8"/>
  <c r="AL257" i="8" s="1"/>
  <c r="Q249" i="8"/>
  <c r="Q257" i="8" s="1"/>
  <c r="T249" i="8"/>
  <c r="T257" i="8" s="1"/>
  <c r="K249" i="8"/>
  <c r="K257" i="8" s="1"/>
  <c r="AF249" i="8"/>
  <c r="AF257" i="8" s="1"/>
  <c r="S249" i="8"/>
  <c r="S257" i="8" s="1"/>
  <c r="O249" i="8"/>
  <c r="O257" i="8" s="1"/>
  <c r="J249" i="8"/>
  <c r="J257" i="8" s="1"/>
  <c r="AH249" i="8"/>
  <c r="AH257" i="8" s="1"/>
  <c r="AC249" i="8"/>
  <c r="AC257" i="8" s="1"/>
  <c r="X249" i="8"/>
  <c r="X257" i="8" s="1"/>
  <c r="I249" i="8"/>
  <c r="AE249" i="8"/>
  <c r="AE257" i="8" s="1"/>
  <c r="L249" i="8"/>
  <c r="L257" i="8" s="1"/>
  <c r="AI155" i="7"/>
  <c r="AI163" i="7" s="1"/>
  <c r="AL155" i="7"/>
  <c r="AL163" i="7" s="1"/>
  <c r="AJ155" i="7"/>
  <c r="AJ163" i="7" s="1"/>
  <c r="AN155" i="7"/>
  <c r="AN163" i="7" s="1"/>
  <c r="AH155" i="7"/>
  <c r="AH163" i="7" s="1"/>
  <c r="AM155" i="7"/>
  <c r="AM163" i="7" s="1"/>
  <c r="AK155" i="7"/>
  <c r="AK163" i="7" s="1"/>
  <c r="AO155" i="7"/>
  <c r="AO163" i="7" s="1"/>
  <c r="K155" i="7"/>
  <c r="K163" i="7" s="1"/>
  <c r="N155" i="7"/>
  <c r="N163" i="7" s="1"/>
  <c r="T155" i="7"/>
  <c r="T163" i="7" s="1"/>
  <c r="AA155" i="7"/>
  <c r="AA163" i="7" s="1"/>
  <c r="AD155" i="7"/>
  <c r="AD163" i="7" s="1"/>
  <c r="R155" i="7"/>
  <c r="R163" i="7" s="1"/>
  <c r="I155" i="7"/>
  <c r="P155" i="7"/>
  <c r="P163" i="7" s="1"/>
  <c r="J155" i="7"/>
  <c r="J163" i="7" s="1"/>
  <c r="V155" i="7"/>
  <c r="V163" i="7" s="1"/>
  <c r="Y155" i="7"/>
  <c r="Y163" i="7" s="1"/>
  <c r="Q155" i="7"/>
  <c r="Q163" i="7" s="1"/>
  <c r="X155" i="7"/>
  <c r="X163" i="7" s="1"/>
  <c r="W155" i="7"/>
  <c r="W163" i="7" s="1"/>
  <c r="AG155" i="7"/>
  <c r="AG163" i="7" s="1"/>
  <c r="AC155" i="7"/>
  <c r="AC163" i="7" s="1"/>
  <c r="AB155" i="7"/>
  <c r="AB163" i="7" s="1"/>
  <c r="S155" i="7"/>
  <c r="S163" i="7" s="1"/>
  <c r="AE155" i="7"/>
  <c r="AE163" i="7" s="1"/>
  <c r="M155" i="7"/>
  <c r="M163" i="7" s="1"/>
  <c r="Z155" i="7"/>
  <c r="Z163" i="7" s="1"/>
  <c r="O155" i="7"/>
  <c r="O163" i="7" s="1"/>
  <c r="L155" i="7"/>
  <c r="L163" i="7" s="1"/>
  <c r="U155" i="7"/>
  <c r="U163" i="7" s="1"/>
  <c r="AF155" i="7"/>
  <c r="AF163" i="7" s="1"/>
  <c r="S71" i="7"/>
  <c r="S79" i="7" s="1"/>
  <c r="V71" i="7"/>
  <c r="V79" i="7" s="1"/>
  <c r="O71" i="7"/>
  <c r="O79" i="7" s="1"/>
  <c r="AA71" i="7"/>
  <c r="AA79" i="7" s="1"/>
  <c r="I71" i="7"/>
  <c r="I79" i="7" s="1"/>
  <c r="Z71" i="7"/>
  <c r="Z79" i="7" s="1"/>
  <c r="N71" i="7"/>
  <c r="N79" i="7" s="1"/>
  <c r="AB71" i="7"/>
  <c r="AB79" i="7" s="1"/>
  <c r="Q71" i="7"/>
  <c r="Q79" i="7" s="1"/>
  <c r="U71" i="7"/>
  <c r="U79" i="7" s="1"/>
  <c r="M71" i="7"/>
  <c r="M79" i="7" s="1"/>
  <c r="X71" i="7"/>
  <c r="X79" i="7" s="1"/>
  <c r="W71" i="7"/>
  <c r="W79" i="7" s="1"/>
  <c r="K71" i="7"/>
  <c r="K79" i="7" s="1"/>
  <c r="R71" i="7"/>
  <c r="R79" i="7" s="1"/>
  <c r="Y71" i="7"/>
  <c r="Y79" i="7" s="1"/>
  <c r="J71" i="7"/>
  <c r="J79" i="7" s="1"/>
  <c r="T71" i="7"/>
  <c r="T79" i="7" s="1"/>
  <c r="L71" i="7"/>
  <c r="L79" i="7" s="1"/>
  <c r="P71" i="7"/>
  <c r="P79" i="7" s="1"/>
  <c r="V252" i="8"/>
  <c r="V260" i="8" s="1"/>
  <c r="AM252" i="8"/>
  <c r="AM260" i="8" s="1"/>
  <c r="N252" i="8"/>
  <c r="N260" i="8" s="1"/>
  <c r="M252" i="8"/>
  <c r="M260" i="8" s="1"/>
  <c r="AN252" i="8"/>
  <c r="AN260" i="8" s="1"/>
  <c r="J252" i="8"/>
  <c r="J260" i="8" s="1"/>
  <c r="AE252" i="8"/>
  <c r="AE260" i="8" s="1"/>
  <c r="AJ252" i="8"/>
  <c r="AJ260" i="8" s="1"/>
  <c r="R252" i="8"/>
  <c r="R260" i="8" s="1"/>
  <c r="Y252" i="8"/>
  <c r="Y260" i="8" s="1"/>
  <c r="AO252" i="8"/>
  <c r="AO260" i="8" s="1"/>
  <c r="S252" i="8"/>
  <c r="S260" i="8" s="1"/>
  <c r="X252" i="8"/>
  <c r="X260" i="8" s="1"/>
  <c r="AF252" i="8"/>
  <c r="AF260" i="8" s="1"/>
  <c r="O252" i="8"/>
  <c r="O260" i="8" s="1"/>
  <c r="AB252" i="8"/>
  <c r="AB260" i="8" s="1"/>
  <c r="AL252" i="8"/>
  <c r="AL260" i="8" s="1"/>
  <c r="I252" i="8"/>
  <c r="I260" i="8" s="1"/>
  <c r="Q252" i="8"/>
  <c r="Q260" i="8" s="1"/>
  <c r="U252" i="8"/>
  <c r="U260" i="8" s="1"/>
  <c r="AH252" i="8"/>
  <c r="AH260" i="8" s="1"/>
  <c r="L252" i="8"/>
  <c r="L260" i="8" s="1"/>
  <c r="K252" i="8"/>
  <c r="K260" i="8" s="1"/>
  <c r="AI252" i="8"/>
  <c r="AI260" i="8" s="1"/>
  <c r="W252" i="8"/>
  <c r="W260" i="8" s="1"/>
  <c r="P252" i="8"/>
  <c r="P260" i="8" s="1"/>
  <c r="AC252" i="8"/>
  <c r="AC260" i="8" s="1"/>
  <c r="AA252" i="8"/>
  <c r="AA260" i="8" s="1"/>
  <c r="AG252" i="8"/>
  <c r="AG260" i="8" s="1"/>
  <c r="Z252" i="8"/>
  <c r="Z260" i="8" s="1"/>
  <c r="T252" i="8"/>
  <c r="T260" i="8" s="1"/>
  <c r="AD252" i="8"/>
  <c r="AD260" i="8" s="1"/>
  <c r="AK252" i="8"/>
  <c r="AK260" i="8" s="1"/>
  <c r="R397" i="16"/>
  <c r="R405" i="16" s="1"/>
  <c r="AD397" i="16"/>
  <c r="AD405" i="16" s="1"/>
  <c r="N397" i="16"/>
  <c r="N405" i="16" s="1"/>
  <c r="W397" i="16"/>
  <c r="W405" i="16" s="1"/>
  <c r="M397" i="16"/>
  <c r="M405" i="16" s="1"/>
  <c r="X397" i="16"/>
  <c r="X405" i="16" s="1"/>
  <c r="S397" i="16"/>
  <c r="S405" i="16" s="1"/>
  <c r="AJ397" i="16"/>
  <c r="AJ405" i="16" s="1"/>
  <c r="V397" i="16"/>
  <c r="V405" i="16" s="1"/>
  <c r="AI397" i="16"/>
  <c r="AI405" i="16" s="1"/>
  <c r="O397" i="16"/>
  <c r="O405" i="16" s="1"/>
  <c r="Y397" i="16"/>
  <c r="Y405" i="16" s="1"/>
  <c r="Q397" i="16"/>
  <c r="Q405" i="16" s="1"/>
  <c r="Z397" i="16"/>
  <c r="Z405" i="16" s="1"/>
  <c r="AB397" i="16"/>
  <c r="AB405" i="16" s="1"/>
  <c r="AA397" i="16"/>
  <c r="AA405" i="16" s="1"/>
  <c r="AN397" i="16"/>
  <c r="AN405" i="16" s="1"/>
  <c r="AO397" i="16"/>
  <c r="AO405" i="16" s="1"/>
  <c r="AH397" i="16"/>
  <c r="AH405" i="16" s="1"/>
  <c r="AG397" i="16"/>
  <c r="AG405" i="16" s="1"/>
  <c r="T397" i="16"/>
  <c r="T405" i="16" s="1"/>
  <c r="AF397" i="16"/>
  <c r="AF405" i="16" s="1"/>
  <c r="U397" i="16"/>
  <c r="U405" i="16" s="1"/>
  <c r="J397" i="16"/>
  <c r="J405" i="16" s="1"/>
  <c r="AM397" i="16"/>
  <c r="AM405" i="16" s="1"/>
  <c r="I397" i="16"/>
  <c r="I405" i="16" s="1"/>
  <c r="P397" i="16"/>
  <c r="P405" i="16" s="1"/>
  <c r="AL397" i="16"/>
  <c r="AL405" i="16" s="1"/>
  <c r="K397" i="16"/>
  <c r="K405" i="16" s="1"/>
  <c r="AC397" i="16"/>
  <c r="AC405" i="16" s="1"/>
  <c r="AE397" i="16"/>
  <c r="AE405" i="16" s="1"/>
  <c r="L397" i="16"/>
  <c r="L405" i="16" s="1"/>
  <c r="AK397" i="16"/>
  <c r="AK405" i="16" s="1"/>
  <c r="AK276" i="15"/>
  <c r="AK284" i="15" s="1"/>
  <c r="AH276" i="15"/>
  <c r="AH284" i="15" s="1"/>
  <c r="AF276" i="15"/>
  <c r="AF284" i="15" s="1"/>
  <c r="AJ276" i="15"/>
  <c r="AJ284" i="15" s="1"/>
  <c r="AO276" i="15"/>
  <c r="AO284" i="15" s="1"/>
  <c r="AN276" i="15"/>
  <c r="AN284" i="15" s="1"/>
  <c r="AC276" i="15"/>
  <c r="AC284" i="15" s="1"/>
  <c r="AI276" i="15"/>
  <c r="AI284" i="15" s="1"/>
  <c r="AG276" i="15"/>
  <c r="AG284" i="15" s="1"/>
  <c r="AP276" i="15"/>
  <c r="AP284" i="15" s="1"/>
  <c r="AM276" i="15"/>
  <c r="AM284" i="15" s="1"/>
  <c r="AL276" i="15"/>
  <c r="AL284" i="15" s="1"/>
  <c r="AD276" i="15"/>
  <c r="AD284" i="15" s="1"/>
  <c r="AE276" i="15"/>
  <c r="AE284" i="15" s="1"/>
  <c r="K276" i="15"/>
  <c r="K284" i="15" s="1"/>
  <c r="T276" i="15"/>
  <c r="T284" i="15" s="1"/>
  <c r="Z276" i="15"/>
  <c r="Z284" i="15" s="1"/>
  <c r="M276" i="15"/>
  <c r="M284" i="15" s="1"/>
  <c r="U276" i="15"/>
  <c r="U284" i="15" s="1"/>
  <c r="X276" i="15"/>
  <c r="X284" i="15" s="1"/>
  <c r="Q276" i="15"/>
  <c r="Q284" i="15" s="1"/>
  <c r="P276" i="15"/>
  <c r="P284" i="15" s="1"/>
  <c r="L276" i="15"/>
  <c r="L284" i="15" s="1"/>
  <c r="AB276" i="15"/>
  <c r="AB284" i="15" s="1"/>
  <c r="N276" i="15"/>
  <c r="N284" i="15" s="1"/>
  <c r="J276" i="15"/>
  <c r="J284" i="15" s="1"/>
  <c r="O276" i="15"/>
  <c r="O284" i="15" s="1"/>
  <c r="V276" i="15"/>
  <c r="V284" i="15" s="1"/>
  <c r="Y276" i="15"/>
  <c r="Y284" i="15" s="1"/>
  <c r="I276" i="15"/>
  <c r="I284" i="15" s="1"/>
  <c r="S276" i="15"/>
  <c r="S284" i="15" s="1"/>
  <c r="R276" i="15"/>
  <c r="R284" i="15" s="1"/>
  <c r="AA276" i="15"/>
  <c r="AA284" i="15" s="1"/>
  <c r="W276" i="15"/>
  <c r="W284" i="15" s="1"/>
  <c r="Q771" i="15"/>
  <c r="Q779" i="15" s="1"/>
  <c r="AA771" i="15"/>
  <c r="AA779" i="15" s="1"/>
  <c r="N771" i="15"/>
  <c r="N779" i="15" s="1"/>
  <c r="AF771" i="15"/>
  <c r="AF779" i="15" s="1"/>
  <c r="AE771" i="15"/>
  <c r="AE779" i="15" s="1"/>
  <c r="T771" i="15"/>
  <c r="T779" i="15" s="1"/>
  <c r="AB771" i="15"/>
  <c r="AB779" i="15" s="1"/>
  <c r="AN771" i="15"/>
  <c r="AN779" i="15" s="1"/>
  <c r="J771" i="15"/>
  <c r="J779" i="15" s="1"/>
  <c r="W771" i="15"/>
  <c r="W779" i="15" s="1"/>
  <c r="AO771" i="15"/>
  <c r="AO779" i="15" s="1"/>
  <c r="AJ771" i="15"/>
  <c r="AJ779" i="15" s="1"/>
  <c r="O771" i="15"/>
  <c r="O779" i="15" s="1"/>
  <c r="AD771" i="15"/>
  <c r="AD779" i="15" s="1"/>
  <c r="V771" i="15"/>
  <c r="V779" i="15" s="1"/>
  <c r="AK771" i="15"/>
  <c r="AK779" i="15" s="1"/>
  <c r="P771" i="15"/>
  <c r="P779" i="15" s="1"/>
  <c r="AG771" i="15"/>
  <c r="AG779" i="15" s="1"/>
  <c r="M771" i="15"/>
  <c r="M779" i="15" s="1"/>
  <c r="AC771" i="15"/>
  <c r="AC779" i="15" s="1"/>
  <c r="U771" i="15"/>
  <c r="U779" i="15" s="1"/>
  <c r="AM771" i="15"/>
  <c r="AM779" i="15" s="1"/>
  <c r="K771" i="15"/>
  <c r="K779" i="15" s="1"/>
  <c r="AL771" i="15"/>
  <c r="AL779" i="15" s="1"/>
  <c r="S771" i="15"/>
  <c r="S779" i="15" s="1"/>
  <c r="L771" i="15"/>
  <c r="L779" i="15" s="1"/>
  <c r="Z771" i="15"/>
  <c r="Z779" i="15" s="1"/>
  <c r="I771" i="15"/>
  <c r="I779" i="15" s="1"/>
  <c r="Y771" i="15"/>
  <c r="Y779" i="15" s="1"/>
  <c r="R771" i="15"/>
  <c r="R779" i="15" s="1"/>
  <c r="AH771" i="15"/>
  <c r="AH779" i="15" s="1"/>
  <c r="AI771" i="15"/>
  <c r="AI779" i="15" s="1"/>
  <c r="X771" i="15"/>
  <c r="X779" i="15" s="1"/>
  <c r="M915" i="15"/>
  <c r="M923" i="15" s="1"/>
  <c r="AF915" i="15"/>
  <c r="AF923" i="15" s="1"/>
  <c r="L915" i="15"/>
  <c r="L923" i="15" s="1"/>
  <c r="AE915" i="15"/>
  <c r="AE923" i="15" s="1"/>
  <c r="AP915" i="15"/>
  <c r="AP923" i="15" s="1"/>
  <c r="AI915" i="15"/>
  <c r="AI923" i="15" s="1"/>
  <c r="AM915" i="15"/>
  <c r="AM923" i="15" s="1"/>
  <c r="N915" i="15"/>
  <c r="N923" i="15" s="1"/>
  <c r="T915" i="15"/>
  <c r="T923" i="15" s="1"/>
  <c r="J915" i="15"/>
  <c r="J923" i="15" s="1"/>
  <c r="V915" i="15"/>
  <c r="V923" i="15" s="1"/>
  <c r="P915" i="15"/>
  <c r="P923" i="15" s="1"/>
  <c r="Y915" i="15"/>
  <c r="Y923" i="15" s="1"/>
  <c r="Q915" i="15"/>
  <c r="Q923" i="15" s="1"/>
  <c r="AJ915" i="15"/>
  <c r="AJ923" i="15" s="1"/>
  <c r="AO915" i="15"/>
  <c r="AO923" i="15" s="1"/>
  <c r="AC915" i="15"/>
  <c r="AC923" i="15" s="1"/>
  <c r="AL915" i="15"/>
  <c r="AL923" i="15" s="1"/>
  <c r="Z915" i="15"/>
  <c r="Z923" i="15" s="1"/>
  <c r="AB915" i="15"/>
  <c r="AB923" i="15" s="1"/>
  <c r="W915" i="15"/>
  <c r="W923" i="15" s="1"/>
  <c r="I915" i="15"/>
  <c r="I923" i="15" s="1"/>
  <c r="AK915" i="15"/>
  <c r="AK923" i="15" s="1"/>
  <c r="AD915" i="15"/>
  <c r="AD923" i="15" s="1"/>
  <c r="AN915" i="15"/>
  <c r="AN923" i="15" s="1"/>
  <c r="K915" i="15"/>
  <c r="K923" i="15" s="1"/>
  <c r="U915" i="15"/>
  <c r="U923" i="15" s="1"/>
  <c r="AH915" i="15"/>
  <c r="AH923" i="15" s="1"/>
  <c r="R915" i="15"/>
  <c r="R923" i="15" s="1"/>
  <c r="X915" i="15"/>
  <c r="X923" i="15" s="1"/>
  <c r="O915" i="15"/>
  <c r="O923" i="15" s="1"/>
  <c r="AG915" i="15"/>
  <c r="AG923" i="15" s="1"/>
  <c r="S915" i="15"/>
  <c r="S923" i="15" s="1"/>
  <c r="AA915" i="15"/>
  <c r="AA923" i="15" s="1"/>
  <c r="AH274" i="15"/>
  <c r="AH282" i="15" s="1"/>
  <c r="Q274" i="15"/>
  <c r="Q282" i="15" s="1"/>
  <c r="S274" i="15"/>
  <c r="S282" i="15" s="1"/>
  <c r="AE274" i="15"/>
  <c r="AE282" i="15" s="1"/>
  <c r="J274" i="15"/>
  <c r="J282" i="15" s="1"/>
  <c r="AD274" i="15"/>
  <c r="AD282" i="15" s="1"/>
  <c r="V274" i="15"/>
  <c r="V282" i="15" s="1"/>
  <c r="AJ274" i="15"/>
  <c r="AJ282" i="15" s="1"/>
  <c r="U274" i="15"/>
  <c r="U282" i="15" s="1"/>
  <c r="AC274" i="15"/>
  <c r="AC282" i="15" s="1"/>
  <c r="O274" i="15"/>
  <c r="O282" i="15" s="1"/>
  <c r="AI274" i="15"/>
  <c r="AI282" i="15" s="1"/>
  <c r="K274" i="15"/>
  <c r="K282" i="15" s="1"/>
  <c r="AN274" i="15"/>
  <c r="AN282" i="15" s="1"/>
  <c r="L274" i="15"/>
  <c r="L282" i="15" s="1"/>
  <c r="AK274" i="15"/>
  <c r="AK282" i="15" s="1"/>
  <c r="W274" i="15"/>
  <c r="W282" i="15" s="1"/>
  <c r="AM274" i="15"/>
  <c r="AM282" i="15" s="1"/>
  <c r="X274" i="15"/>
  <c r="X282" i="15" s="1"/>
  <c r="AL274" i="15"/>
  <c r="AL282" i="15" s="1"/>
  <c r="Z274" i="15"/>
  <c r="Z282" i="15" s="1"/>
  <c r="AP274" i="15"/>
  <c r="AP282" i="15" s="1"/>
  <c r="Y274" i="15"/>
  <c r="Y282" i="15" s="1"/>
  <c r="AG274" i="15"/>
  <c r="AG282" i="15" s="1"/>
  <c r="AB274" i="15"/>
  <c r="AB282" i="15" s="1"/>
  <c r="AO274" i="15"/>
  <c r="AO282" i="15" s="1"/>
  <c r="T274" i="15"/>
  <c r="T282" i="15" s="1"/>
  <c r="P274" i="15"/>
  <c r="P282" i="15" s="1"/>
  <c r="AA274" i="15"/>
  <c r="AA282" i="15" s="1"/>
  <c r="M274" i="15"/>
  <c r="M282" i="15" s="1"/>
  <c r="R274" i="15"/>
  <c r="R282" i="15" s="1"/>
  <c r="AF274" i="15"/>
  <c r="AF282" i="15" s="1"/>
  <c r="N274" i="15"/>
  <c r="N282" i="15" s="1"/>
  <c r="I274" i="15"/>
  <c r="L453" i="15"/>
  <c r="L461" i="15" s="1"/>
  <c r="AG453" i="15"/>
  <c r="AG461" i="15" s="1"/>
  <c r="Q453" i="15"/>
  <c r="Q461" i="15" s="1"/>
  <c r="W453" i="15"/>
  <c r="W461" i="15" s="1"/>
  <c r="AO453" i="15"/>
  <c r="AO461" i="15" s="1"/>
  <c r="AJ453" i="15"/>
  <c r="AJ461" i="15" s="1"/>
  <c r="I453" i="15"/>
  <c r="I461" i="15" s="1"/>
  <c r="AH453" i="15"/>
  <c r="AH461" i="15" s="1"/>
  <c r="N453" i="15"/>
  <c r="N461" i="15" s="1"/>
  <c r="Z453" i="15"/>
  <c r="Z461" i="15" s="1"/>
  <c r="M453" i="15"/>
  <c r="M461" i="15" s="1"/>
  <c r="AK453" i="15"/>
  <c r="AK461" i="15" s="1"/>
  <c r="R453" i="15"/>
  <c r="R461" i="15" s="1"/>
  <c r="AC453" i="15"/>
  <c r="AC461" i="15" s="1"/>
  <c r="X453" i="15"/>
  <c r="X461" i="15" s="1"/>
  <c r="AF453" i="15"/>
  <c r="AF461" i="15" s="1"/>
  <c r="J453" i="15"/>
  <c r="J461" i="15" s="1"/>
  <c r="AA453" i="15"/>
  <c r="AA461" i="15" s="1"/>
  <c r="AL453" i="15"/>
  <c r="AL461" i="15" s="1"/>
  <c r="P453" i="15"/>
  <c r="P461" i="15" s="1"/>
  <c r="AI453" i="15"/>
  <c r="AI461" i="15" s="1"/>
  <c r="U453" i="15"/>
  <c r="U461" i="15" s="1"/>
  <c r="Y453" i="15"/>
  <c r="Y461" i="15" s="1"/>
  <c r="O453" i="15"/>
  <c r="O461" i="15" s="1"/>
  <c r="AN453" i="15"/>
  <c r="AN461" i="15" s="1"/>
  <c r="V453" i="15"/>
  <c r="V461" i="15" s="1"/>
  <c r="AM453" i="15"/>
  <c r="AM461" i="15" s="1"/>
  <c r="T453" i="15"/>
  <c r="T461" i="15" s="1"/>
  <c r="AB453" i="15"/>
  <c r="AB461" i="15" s="1"/>
  <c r="S453" i="15"/>
  <c r="S461" i="15" s="1"/>
  <c r="K453" i="15"/>
  <c r="K461" i="15" s="1"/>
  <c r="AD453" i="15"/>
  <c r="AD461" i="15" s="1"/>
  <c r="AE453" i="15"/>
  <c r="AE461" i="15" s="1"/>
  <c r="M477" i="15"/>
  <c r="M485" i="15" s="1"/>
  <c r="AK477" i="15"/>
  <c r="AK485" i="15" s="1"/>
  <c r="O477" i="15"/>
  <c r="O485" i="15" s="1"/>
  <c r="AG477" i="15"/>
  <c r="AG485" i="15" s="1"/>
  <c r="AA477" i="15"/>
  <c r="AA485" i="15" s="1"/>
  <c r="V477" i="15"/>
  <c r="V485" i="15" s="1"/>
  <c r="AL477" i="15"/>
  <c r="AL485" i="15" s="1"/>
  <c r="AH477" i="15"/>
  <c r="AH485" i="15" s="1"/>
  <c r="Q477" i="15"/>
  <c r="Q485" i="15" s="1"/>
  <c r="AC477" i="15"/>
  <c r="AC485" i="15" s="1"/>
  <c r="W477" i="15"/>
  <c r="W485" i="15" s="1"/>
  <c r="AD477" i="15"/>
  <c r="AD485" i="15" s="1"/>
  <c r="N477" i="15"/>
  <c r="N485" i="15" s="1"/>
  <c r="AF477" i="15"/>
  <c r="AF485" i="15" s="1"/>
  <c r="I477" i="15"/>
  <c r="I485" i="15" s="1"/>
  <c r="X477" i="15"/>
  <c r="X485" i="15" s="1"/>
  <c r="K477" i="15"/>
  <c r="K485" i="15" s="1"/>
  <c r="AN477" i="15"/>
  <c r="AN485" i="15" s="1"/>
  <c r="P477" i="15"/>
  <c r="P485" i="15" s="1"/>
  <c r="AB477" i="15"/>
  <c r="AB485" i="15" s="1"/>
  <c r="S477" i="15"/>
  <c r="S485" i="15" s="1"/>
  <c r="Y477" i="15"/>
  <c r="Y485" i="15" s="1"/>
  <c r="L477" i="15"/>
  <c r="L485" i="15" s="1"/>
  <c r="T477" i="15"/>
  <c r="T485" i="15" s="1"/>
  <c r="R477" i="15"/>
  <c r="R485" i="15" s="1"/>
  <c r="U477" i="15"/>
  <c r="U485" i="15" s="1"/>
  <c r="AO477" i="15"/>
  <c r="AO485" i="15" s="1"/>
  <c r="AE477" i="15"/>
  <c r="AE485" i="15" s="1"/>
  <c r="AI477" i="15"/>
  <c r="AI485" i="15" s="1"/>
  <c r="Z477" i="15"/>
  <c r="Z485" i="15" s="1"/>
  <c r="AM477" i="15"/>
  <c r="AM485" i="15" s="1"/>
  <c r="J477" i="15"/>
  <c r="J485" i="15" s="1"/>
  <c r="AJ477" i="15"/>
  <c r="AJ485" i="15" s="1"/>
  <c r="V65" i="7"/>
  <c r="V73" i="7" s="1"/>
  <c r="X65" i="7"/>
  <c r="X73" i="7" s="1"/>
  <c r="W65" i="7"/>
  <c r="W73" i="7" s="1"/>
  <c r="L65" i="7"/>
  <c r="L73" i="7" s="1"/>
  <c r="R65" i="7"/>
  <c r="R73" i="7" s="1"/>
  <c r="M65" i="7"/>
  <c r="M73" i="7" s="1"/>
  <c r="AB65" i="7"/>
  <c r="AB73" i="7" s="1"/>
  <c r="K65" i="7"/>
  <c r="K73" i="7" s="1"/>
  <c r="Y65" i="7"/>
  <c r="Y73" i="7" s="1"/>
  <c r="T65" i="7"/>
  <c r="T73" i="7" s="1"/>
  <c r="J65" i="7"/>
  <c r="J73" i="7" s="1"/>
  <c r="O65" i="7"/>
  <c r="O73" i="7" s="1"/>
  <c r="P65" i="7"/>
  <c r="P73" i="7" s="1"/>
  <c r="U65" i="7"/>
  <c r="U73" i="7" s="1"/>
  <c r="S65" i="7"/>
  <c r="S73" i="7" s="1"/>
  <c r="AA65" i="7"/>
  <c r="AA73" i="7" s="1"/>
  <c r="Q65" i="7"/>
  <c r="Q73" i="7" s="1"/>
  <c r="N65" i="7"/>
  <c r="N73" i="7" s="1"/>
  <c r="Z65" i="7"/>
  <c r="Z73" i="7" s="1"/>
  <c r="I65" i="7"/>
  <c r="I73" i="7" s="1"/>
  <c r="AL277" i="15"/>
  <c r="AL285" i="15" s="1"/>
  <c r="AF277" i="15"/>
  <c r="AF285" i="15" s="1"/>
  <c r="AC277" i="15"/>
  <c r="AC285" i="15" s="1"/>
  <c r="AP277" i="15"/>
  <c r="AP285" i="15" s="1"/>
  <c r="AE277" i="15"/>
  <c r="AE285" i="15" s="1"/>
  <c r="AD277" i="15"/>
  <c r="AD285" i="15" s="1"/>
  <c r="AH277" i="15"/>
  <c r="AH285" i="15" s="1"/>
  <c r="AG277" i="15"/>
  <c r="AG285" i="15" s="1"/>
  <c r="AO277" i="15"/>
  <c r="AO285" i="15" s="1"/>
  <c r="AI277" i="15"/>
  <c r="AI285" i="15" s="1"/>
  <c r="AK277" i="15"/>
  <c r="AK285" i="15" s="1"/>
  <c r="AN277" i="15"/>
  <c r="AN285" i="15" s="1"/>
  <c r="AJ277" i="15"/>
  <c r="AJ285" i="15" s="1"/>
  <c r="AM277" i="15"/>
  <c r="AM285" i="15" s="1"/>
  <c r="N277" i="15"/>
  <c r="N285" i="15" s="1"/>
  <c r="Y277" i="15"/>
  <c r="Y285" i="15" s="1"/>
  <c r="U277" i="15"/>
  <c r="U285" i="15" s="1"/>
  <c r="Q277" i="15"/>
  <c r="Q285" i="15" s="1"/>
  <c r="M277" i="15"/>
  <c r="M285" i="15" s="1"/>
  <c r="K277" i="15"/>
  <c r="K285" i="15" s="1"/>
  <c r="R277" i="15"/>
  <c r="R285" i="15" s="1"/>
  <c r="S277" i="15"/>
  <c r="S285" i="15" s="1"/>
  <c r="W277" i="15"/>
  <c r="W285" i="15" s="1"/>
  <c r="V277" i="15"/>
  <c r="V285" i="15" s="1"/>
  <c r="T277" i="15"/>
  <c r="T285" i="15" s="1"/>
  <c r="AA277" i="15"/>
  <c r="AA285" i="15" s="1"/>
  <c r="O277" i="15"/>
  <c r="O285" i="15" s="1"/>
  <c r="J277" i="15"/>
  <c r="J285" i="15" s="1"/>
  <c r="I277" i="15"/>
  <c r="I285" i="15" s="1"/>
  <c r="P277" i="15"/>
  <c r="P285" i="15" s="1"/>
  <c r="AB277" i="15"/>
  <c r="AB285" i="15" s="1"/>
  <c r="L277" i="15"/>
  <c r="L285" i="15" s="1"/>
  <c r="Z277" i="15"/>
  <c r="Z285" i="15" s="1"/>
  <c r="X277" i="15"/>
  <c r="X285" i="15" s="1"/>
  <c r="AO244" i="7"/>
  <c r="AO252" i="7" s="1"/>
  <c r="K244" i="7"/>
  <c r="K252" i="7" s="1"/>
  <c r="AI244" i="7"/>
  <c r="AI252" i="7" s="1"/>
  <c r="AG244" i="7"/>
  <c r="AG252" i="7" s="1"/>
  <c r="AK244" i="7"/>
  <c r="AK252" i="7" s="1"/>
  <c r="AN244" i="7"/>
  <c r="AN252" i="7" s="1"/>
  <c r="AM244" i="7"/>
  <c r="AM252" i="7" s="1"/>
  <c r="AE244" i="7"/>
  <c r="AE252" i="7" s="1"/>
  <c r="Z244" i="7"/>
  <c r="Z252" i="7" s="1"/>
  <c r="AD244" i="7"/>
  <c r="AD252" i="7" s="1"/>
  <c r="AL244" i="7"/>
  <c r="AL252" i="7" s="1"/>
  <c r="AJ244" i="7"/>
  <c r="AJ252" i="7" s="1"/>
  <c r="AH244" i="7"/>
  <c r="AH252" i="7" s="1"/>
  <c r="AF244" i="7"/>
  <c r="AF252" i="7" s="1"/>
  <c r="AC244" i="7"/>
  <c r="AC252" i="7" s="1"/>
  <c r="T244" i="7"/>
  <c r="T252" i="7" s="1"/>
  <c r="U244" i="7"/>
  <c r="U252" i="7" s="1"/>
  <c r="Q244" i="7"/>
  <c r="Q252" i="7" s="1"/>
  <c r="M244" i="7"/>
  <c r="M252" i="7" s="1"/>
  <c r="R244" i="7"/>
  <c r="R252" i="7" s="1"/>
  <c r="AA244" i="7"/>
  <c r="AA252" i="7" s="1"/>
  <c r="I244" i="7"/>
  <c r="J244" i="7"/>
  <c r="J252" i="7" s="1"/>
  <c r="P244" i="7"/>
  <c r="P252" i="7" s="1"/>
  <c r="S244" i="7"/>
  <c r="S252" i="7" s="1"/>
  <c r="L244" i="7"/>
  <c r="L252" i="7" s="1"/>
  <c r="V244" i="7"/>
  <c r="V252" i="7" s="1"/>
  <c r="AB244" i="7"/>
  <c r="AB252" i="7" s="1"/>
  <c r="Y244" i="7"/>
  <c r="Y252" i="7" s="1"/>
  <c r="X244" i="7"/>
  <c r="X252" i="7" s="1"/>
  <c r="N244" i="7"/>
  <c r="N252" i="7" s="1"/>
  <c r="O244" i="7"/>
  <c r="O252" i="7" s="1"/>
  <c r="W244" i="7"/>
  <c r="W252" i="7" s="1"/>
  <c r="AO156" i="7"/>
  <c r="AO164" i="7" s="1"/>
  <c r="AI156" i="7"/>
  <c r="AI164" i="7" s="1"/>
  <c r="AE156" i="7"/>
  <c r="AE164" i="7" s="1"/>
  <c r="AN156" i="7"/>
  <c r="AN164" i="7" s="1"/>
  <c r="X156" i="7"/>
  <c r="X164" i="7" s="1"/>
  <c r="AG156" i="7"/>
  <c r="AG164" i="7" s="1"/>
  <c r="AH156" i="7"/>
  <c r="AH164" i="7" s="1"/>
  <c r="AJ156" i="7"/>
  <c r="AJ164" i="7" s="1"/>
  <c r="AF156" i="7"/>
  <c r="AF164" i="7" s="1"/>
  <c r="AD156" i="7"/>
  <c r="AD164" i="7" s="1"/>
  <c r="AB156" i="7"/>
  <c r="AB164" i="7" s="1"/>
  <c r="O156" i="7"/>
  <c r="O164" i="7" s="1"/>
  <c r="AC156" i="7"/>
  <c r="AC164" i="7" s="1"/>
  <c r="AK156" i="7"/>
  <c r="AK164" i="7" s="1"/>
  <c r="AM156" i="7"/>
  <c r="AM164" i="7" s="1"/>
  <c r="AL156" i="7"/>
  <c r="AL164" i="7" s="1"/>
  <c r="Q156" i="7"/>
  <c r="Q164" i="7" s="1"/>
  <c r="T156" i="7"/>
  <c r="T164" i="7" s="1"/>
  <c r="J156" i="7"/>
  <c r="J164" i="7" s="1"/>
  <c r="U156" i="7"/>
  <c r="U164" i="7" s="1"/>
  <c r="Y156" i="7"/>
  <c r="Y164" i="7" s="1"/>
  <c r="P156" i="7"/>
  <c r="P164" i="7" s="1"/>
  <c r="N156" i="7"/>
  <c r="N164" i="7" s="1"/>
  <c r="K156" i="7"/>
  <c r="K164" i="7" s="1"/>
  <c r="M156" i="7"/>
  <c r="M164" i="7" s="1"/>
  <c r="V156" i="7"/>
  <c r="V164" i="7" s="1"/>
  <c r="Z156" i="7"/>
  <c r="Z164" i="7" s="1"/>
  <c r="AA156" i="7"/>
  <c r="AA164" i="7" s="1"/>
  <c r="L156" i="7"/>
  <c r="L164" i="7" s="1"/>
  <c r="W156" i="7"/>
  <c r="W164" i="7" s="1"/>
  <c r="R156" i="7"/>
  <c r="R164" i="7" s="1"/>
  <c r="S156" i="7"/>
  <c r="S164" i="7" s="1"/>
  <c r="I156" i="7"/>
  <c r="L454" i="15"/>
  <c r="L462" i="15" s="1"/>
  <c r="AN454" i="15"/>
  <c r="AN462" i="15" s="1"/>
  <c r="K454" i="15"/>
  <c r="K462" i="15" s="1"/>
  <c r="AJ454" i="15"/>
  <c r="AJ462" i="15" s="1"/>
  <c r="S454" i="15"/>
  <c r="S462" i="15" s="1"/>
  <c r="AI454" i="15"/>
  <c r="AI462" i="15" s="1"/>
  <c r="I454" i="15"/>
  <c r="I462" i="15" s="1"/>
  <c r="AD454" i="15"/>
  <c r="AD462" i="15" s="1"/>
  <c r="V454" i="15"/>
  <c r="V462" i="15" s="1"/>
  <c r="AC454" i="15"/>
  <c r="AC462" i="15" s="1"/>
  <c r="M454" i="15"/>
  <c r="M462" i="15" s="1"/>
  <c r="AH454" i="15"/>
  <c r="AH462" i="15" s="1"/>
  <c r="R454" i="15"/>
  <c r="R462" i="15" s="1"/>
  <c r="AK454" i="15"/>
  <c r="AK462" i="15" s="1"/>
  <c r="T454" i="15"/>
  <c r="T462" i="15" s="1"/>
  <c r="AB454" i="15"/>
  <c r="AB462" i="15" s="1"/>
  <c r="X454" i="15"/>
  <c r="X462" i="15" s="1"/>
  <c r="AF454" i="15"/>
  <c r="AF462" i="15" s="1"/>
  <c r="P454" i="15"/>
  <c r="P462" i="15" s="1"/>
  <c r="AL454" i="15"/>
  <c r="AL462" i="15" s="1"/>
  <c r="Q454" i="15"/>
  <c r="Q462" i="15" s="1"/>
  <c r="AE454" i="15"/>
  <c r="AE462" i="15" s="1"/>
  <c r="U454" i="15"/>
  <c r="U462" i="15" s="1"/>
  <c r="Y454" i="15"/>
  <c r="Y462" i="15" s="1"/>
  <c r="W454" i="15"/>
  <c r="W462" i="15" s="1"/>
  <c r="N454" i="15"/>
  <c r="N462" i="15" s="1"/>
  <c r="Z454" i="15"/>
  <c r="Z462" i="15" s="1"/>
  <c r="J454" i="15"/>
  <c r="J462" i="15" s="1"/>
  <c r="AA454" i="15"/>
  <c r="AA462" i="15" s="1"/>
  <c r="O454" i="15"/>
  <c r="O462" i="15" s="1"/>
  <c r="AG454" i="15"/>
  <c r="AG462" i="15" s="1"/>
  <c r="AO454" i="15"/>
  <c r="AO462" i="15" s="1"/>
  <c r="AM454" i="15"/>
  <c r="AM462" i="15" s="1"/>
  <c r="V450" i="15"/>
  <c r="V458" i="15" s="1"/>
  <c r="AK450" i="15"/>
  <c r="AK458" i="15" s="1"/>
  <c r="K450" i="15"/>
  <c r="K458" i="15" s="1"/>
  <c r="AH450" i="15"/>
  <c r="AH458" i="15" s="1"/>
  <c r="J450" i="15"/>
  <c r="J458" i="15" s="1"/>
  <c r="AF450" i="15"/>
  <c r="AF458" i="15" s="1"/>
  <c r="M450" i="15"/>
  <c r="M458" i="15" s="1"/>
  <c r="AG450" i="15"/>
  <c r="AG458" i="15" s="1"/>
  <c r="P450" i="15"/>
  <c r="P458" i="15" s="1"/>
  <c r="AL450" i="15"/>
  <c r="AL458" i="15" s="1"/>
  <c r="I450" i="15"/>
  <c r="I458" i="15" s="1"/>
  <c r="Y450" i="15"/>
  <c r="Y458" i="15" s="1"/>
  <c r="L450" i="15"/>
  <c r="L458" i="15" s="1"/>
  <c r="W450" i="15"/>
  <c r="W458" i="15" s="1"/>
  <c r="X450" i="15"/>
  <c r="X458" i="15" s="1"/>
  <c r="AJ450" i="15"/>
  <c r="AJ458" i="15" s="1"/>
  <c r="U450" i="15"/>
  <c r="U458" i="15" s="1"/>
  <c r="AE450" i="15"/>
  <c r="AE458" i="15" s="1"/>
  <c r="S450" i="15"/>
  <c r="S458" i="15" s="1"/>
  <c r="AD450" i="15"/>
  <c r="AD458" i="15" s="1"/>
  <c r="AO450" i="15"/>
  <c r="AO458" i="15" s="1"/>
  <c r="AB450" i="15"/>
  <c r="AB458" i="15" s="1"/>
  <c r="AC450" i="15"/>
  <c r="AC458" i="15" s="1"/>
  <c r="T450" i="15"/>
  <c r="T458" i="15" s="1"/>
  <c r="AA450" i="15"/>
  <c r="AA458" i="15" s="1"/>
  <c r="Q450" i="15"/>
  <c r="Q458" i="15" s="1"/>
  <c r="AM450" i="15"/>
  <c r="AM458" i="15" s="1"/>
  <c r="R450" i="15"/>
  <c r="R458" i="15" s="1"/>
  <c r="N450" i="15"/>
  <c r="N458" i="15" s="1"/>
  <c r="AN450" i="15"/>
  <c r="AN458" i="15" s="1"/>
  <c r="Z450" i="15"/>
  <c r="Z458" i="15" s="1"/>
  <c r="O450" i="15"/>
  <c r="O458" i="15" s="1"/>
  <c r="AI450" i="15"/>
  <c r="AI458" i="15" s="1"/>
  <c r="X758" i="16"/>
  <c r="X766" i="16" s="1"/>
  <c r="Y758" i="16"/>
  <c r="Y766" i="16" s="1"/>
  <c r="V758" i="16"/>
  <c r="V766" i="16" s="1"/>
  <c r="W758" i="16"/>
  <c r="W766" i="16" s="1"/>
  <c r="AE758" i="16"/>
  <c r="AE766" i="16" s="1"/>
  <c r="Q758" i="16"/>
  <c r="Q766" i="16" s="1"/>
  <c r="AJ758" i="16"/>
  <c r="AJ766" i="16" s="1"/>
  <c r="N758" i="16"/>
  <c r="N766" i="16" s="1"/>
  <c r="AB758" i="16"/>
  <c r="AB766" i="16" s="1"/>
  <c r="AL758" i="16"/>
  <c r="AL766" i="16" s="1"/>
  <c r="Z758" i="16"/>
  <c r="Z766" i="16" s="1"/>
  <c r="AF758" i="16"/>
  <c r="AF766" i="16" s="1"/>
  <c r="AC758" i="16"/>
  <c r="AC766" i="16" s="1"/>
  <c r="L758" i="16"/>
  <c r="L766" i="16" s="1"/>
  <c r="AG758" i="16"/>
  <c r="AG766" i="16" s="1"/>
  <c r="AH758" i="16"/>
  <c r="AH766" i="16" s="1"/>
  <c r="R758" i="16"/>
  <c r="R766" i="16" s="1"/>
  <c r="AA758" i="16"/>
  <c r="AA766" i="16" s="1"/>
  <c r="AD758" i="16"/>
  <c r="AD766" i="16" s="1"/>
  <c r="P758" i="16"/>
  <c r="P766" i="16" s="1"/>
  <c r="AI758" i="16"/>
  <c r="AI766" i="16" s="1"/>
  <c r="T758" i="16"/>
  <c r="T766" i="16" s="1"/>
  <c r="O758" i="16"/>
  <c r="O766" i="16" s="1"/>
  <c r="AM758" i="16"/>
  <c r="AM766" i="16" s="1"/>
  <c r="J758" i="16"/>
  <c r="J766" i="16" s="1"/>
  <c r="AO758" i="16"/>
  <c r="AO766" i="16" s="1"/>
  <c r="K758" i="16"/>
  <c r="K766" i="16" s="1"/>
  <c r="AK758" i="16"/>
  <c r="AK766" i="16" s="1"/>
  <c r="AP758" i="16"/>
  <c r="AP766" i="16" s="1"/>
  <c r="S758" i="16"/>
  <c r="S766" i="16" s="1"/>
  <c r="M758" i="16"/>
  <c r="M766" i="16" s="1"/>
  <c r="AQ758" i="16"/>
  <c r="U758" i="16"/>
  <c r="U766" i="16" s="1"/>
  <c r="I758" i="16"/>
  <c r="I766" i="16" s="1"/>
  <c r="AN758" i="16"/>
  <c r="AN766" i="16" s="1"/>
  <c r="M399" i="16"/>
  <c r="M407" i="16" s="1"/>
  <c r="AK399" i="16"/>
  <c r="AK407" i="16" s="1"/>
  <c r="V399" i="16"/>
  <c r="V407" i="16" s="1"/>
  <c r="Q399" i="16"/>
  <c r="Q407" i="16" s="1"/>
  <c r="K399" i="16"/>
  <c r="K407" i="16" s="1"/>
  <c r="AJ399" i="16"/>
  <c r="AJ407" i="16" s="1"/>
  <c r="AN399" i="16"/>
  <c r="AN407" i="16" s="1"/>
  <c r="AA399" i="16"/>
  <c r="AA407" i="16" s="1"/>
  <c r="AB399" i="16"/>
  <c r="AB407" i="16" s="1"/>
  <c r="AO399" i="16"/>
  <c r="AO407" i="16" s="1"/>
  <c r="AC399" i="16"/>
  <c r="AC407" i="16" s="1"/>
  <c r="J399" i="16"/>
  <c r="J407" i="16" s="1"/>
  <c r="L399" i="16"/>
  <c r="L407" i="16" s="1"/>
  <c r="T399" i="16"/>
  <c r="T407" i="16" s="1"/>
  <c r="AF399" i="16"/>
  <c r="AF407" i="16" s="1"/>
  <c r="U399" i="16"/>
  <c r="U407" i="16" s="1"/>
  <c r="I399" i="16"/>
  <c r="I407" i="16" s="1"/>
  <c r="Z399" i="16"/>
  <c r="Z407" i="16" s="1"/>
  <c r="P399" i="16"/>
  <c r="P407" i="16" s="1"/>
  <c r="W399" i="16"/>
  <c r="W407" i="16" s="1"/>
  <c r="AI399" i="16"/>
  <c r="AI407" i="16" s="1"/>
  <c r="X399" i="16"/>
  <c r="X407" i="16" s="1"/>
  <c r="AH399" i="16"/>
  <c r="AH407" i="16" s="1"/>
  <c r="R399" i="16"/>
  <c r="R407" i="16" s="1"/>
  <c r="Y399" i="16"/>
  <c r="Y407" i="16" s="1"/>
  <c r="S399" i="16"/>
  <c r="S407" i="16" s="1"/>
  <c r="AD399" i="16"/>
  <c r="AD407" i="16" s="1"/>
  <c r="O399" i="16"/>
  <c r="O407" i="16" s="1"/>
  <c r="AG399" i="16"/>
  <c r="AG407" i="16" s="1"/>
  <c r="AL399" i="16"/>
  <c r="AL407" i="16" s="1"/>
  <c r="AM399" i="16"/>
  <c r="AM407" i="16" s="1"/>
  <c r="N399" i="16"/>
  <c r="N407" i="16" s="1"/>
  <c r="AE399" i="16"/>
  <c r="AE407" i="16" s="1"/>
  <c r="R82" i="17"/>
  <c r="R84" i="17" s="1"/>
  <c r="W131" i="15"/>
  <c r="W139" i="15" s="1"/>
  <c r="AH131" i="15"/>
  <c r="AH139" i="15" s="1"/>
  <c r="Q131" i="15"/>
  <c r="Q139" i="15" s="1"/>
  <c r="O131" i="15"/>
  <c r="O139" i="15" s="1"/>
  <c r="AB131" i="15"/>
  <c r="AB139" i="15" s="1"/>
  <c r="N131" i="15"/>
  <c r="N139" i="15" s="1"/>
  <c r="T131" i="15"/>
  <c r="T139" i="15" s="1"/>
  <c r="AO131" i="15"/>
  <c r="AO139" i="15" s="1"/>
  <c r="AL131" i="15"/>
  <c r="AL139" i="15" s="1"/>
  <c r="X131" i="15"/>
  <c r="X139" i="15" s="1"/>
  <c r="AF131" i="15"/>
  <c r="AF139" i="15" s="1"/>
  <c r="M131" i="15"/>
  <c r="M139" i="15" s="1"/>
  <c r="K131" i="15"/>
  <c r="K139" i="15" s="1"/>
  <c r="J131" i="15"/>
  <c r="J139" i="15" s="1"/>
  <c r="R131" i="15"/>
  <c r="R139" i="15" s="1"/>
  <c r="U131" i="15"/>
  <c r="U139" i="15" s="1"/>
  <c r="AE131" i="15"/>
  <c r="AE139" i="15" s="1"/>
  <c r="V131" i="15"/>
  <c r="V139" i="15" s="1"/>
  <c r="Y131" i="15"/>
  <c r="Y139" i="15" s="1"/>
  <c r="AC131" i="15"/>
  <c r="AC139" i="15" s="1"/>
  <c r="AM131" i="15"/>
  <c r="AM139" i="15" s="1"/>
  <c r="L131" i="15"/>
  <c r="L139" i="15" s="1"/>
  <c r="AD131" i="15"/>
  <c r="AD139" i="15" s="1"/>
  <c r="P131" i="15"/>
  <c r="P139" i="15" s="1"/>
  <c r="S131" i="15"/>
  <c r="S139" i="15" s="1"/>
  <c r="AN131" i="15"/>
  <c r="AN139" i="15" s="1"/>
  <c r="AA131" i="15"/>
  <c r="AA139" i="15" s="1"/>
  <c r="AJ131" i="15"/>
  <c r="AJ139" i="15" s="1"/>
  <c r="Z131" i="15"/>
  <c r="Z139" i="15" s="1"/>
  <c r="AG131" i="15"/>
  <c r="AG139" i="15" s="1"/>
  <c r="AK131" i="15"/>
  <c r="AK139" i="15" s="1"/>
  <c r="I131" i="15"/>
  <c r="I139" i="15" s="1"/>
  <c r="AI131" i="15"/>
  <c r="AI139" i="15" s="1"/>
  <c r="AO912" i="15"/>
  <c r="AO920" i="15" s="1"/>
  <c r="AB912" i="15"/>
  <c r="AB920" i="15" s="1"/>
  <c r="L912" i="15"/>
  <c r="L920" i="15" s="1"/>
  <c r="U912" i="15"/>
  <c r="U920" i="15" s="1"/>
  <c r="K912" i="15"/>
  <c r="K920" i="15" s="1"/>
  <c r="AF912" i="15"/>
  <c r="AF920" i="15" s="1"/>
  <c r="S912" i="15"/>
  <c r="S920" i="15" s="1"/>
  <c r="X912" i="15"/>
  <c r="X920" i="15" s="1"/>
  <c r="O912" i="15"/>
  <c r="O920" i="15" s="1"/>
  <c r="Y912" i="15"/>
  <c r="Y920" i="15" s="1"/>
  <c r="M912" i="15"/>
  <c r="M920" i="15" s="1"/>
  <c r="W912" i="15"/>
  <c r="W920" i="15" s="1"/>
  <c r="N912" i="15"/>
  <c r="N920" i="15" s="1"/>
  <c r="AK912" i="15"/>
  <c r="AK920" i="15" s="1"/>
  <c r="AH912" i="15"/>
  <c r="AH920" i="15" s="1"/>
  <c r="Z912" i="15"/>
  <c r="Z920" i="15" s="1"/>
  <c r="P912" i="15"/>
  <c r="P920" i="15" s="1"/>
  <c r="AD912" i="15"/>
  <c r="AD920" i="15" s="1"/>
  <c r="Q912" i="15"/>
  <c r="Q920" i="15" s="1"/>
  <c r="AJ912" i="15"/>
  <c r="AJ920" i="15" s="1"/>
  <c r="AN912" i="15"/>
  <c r="AN920" i="15" s="1"/>
  <c r="J912" i="15"/>
  <c r="J920" i="15" s="1"/>
  <c r="V912" i="15"/>
  <c r="V920" i="15" s="1"/>
  <c r="R912" i="15"/>
  <c r="R920" i="15" s="1"/>
  <c r="T912" i="15"/>
  <c r="T920" i="15" s="1"/>
  <c r="AG912" i="15"/>
  <c r="AG920" i="15" s="1"/>
  <c r="AE912" i="15"/>
  <c r="AE920" i="15" s="1"/>
  <c r="AL912" i="15"/>
  <c r="AL920" i="15" s="1"/>
  <c r="AC912" i="15"/>
  <c r="AC920" i="15" s="1"/>
  <c r="AI912" i="15"/>
  <c r="AI920" i="15" s="1"/>
  <c r="I912" i="15"/>
  <c r="I920" i="15" s="1"/>
  <c r="AM912" i="15"/>
  <c r="AM920" i="15" s="1"/>
  <c r="AP912" i="15"/>
  <c r="AP920" i="15" s="1"/>
  <c r="AA912" i="15"/>
  <c r="AA920" i="15" s="1"/>
  <c r="Q231" i="14"/>
  <c r="Q239" i="14" s="1"/>
  <c r="I231" i="14"/>
  <c r="I239" i="14" s="1"/>
  <c r="AI231" i="14"/>
  <c r="AI239" i="14" s="1"/>
  <c r="AG231" i="14"/>
  <c r="AG239" i="14" s="1"/>
  <c r="AD231" i="14"/>
  <c r="AD239" i="14" s="1"/>
  <c r="J231" i="14"/>
  <c r="J239" i="14" s="1"/>
  <c r="W231" i="14"/>
  <c r="W239" i="14" s="1"/>
  <c r="O231" i="14"/>
  <c r="O239" i="14" s="1"/>
  <c r="AE231" i="14"/>
  <c r="AE239" i="14" s="1"/>
  <c r="R231" i="14"/>
  <c r="R239" i="14" s="1"/>
  <c r="AA231" i="14"/>
  <c r="AA239" i="14" s="1"/>
  <c r="AJ231" i="14"/>
  <c r="AJ239" i="14" s="1"/>
  <c r="U231" i="14"/>
  <c r="U239" i="14" s="1"/>
  <c r="AH231" i="14"/>
  <c r="AH239" i="14" s="1"/>
  <c r="T231" i="14"/>
  <c r="T239" i="14" s="1"/>
  <c r="AC231" i="14"/>
  <c r="AC239" i="14" s="1"/>
  <c r="V231" i="14"/>
  <c r="V239" i="14" s="1"/>
  <c r="Y231" i="14"/>
  <c r="Y239" i="14" s="1"/>
  <c r="K231" i="14"/>
  <c r="K239" i="14" s="1"/>
  <c r="AM231" i="14"/>
  <c r="AM239" i="14" s="1"/>
  <c r="AO231" i="14"/>
  <c r="AO239" i="14" s="1"/>
  <c r="AO242" i="14" s="1"/>
  <c r="AO244" i="14" s="1"/>
  <c r="P231" i="14"/>
  <c r="P239" i="14" s="1"/>
  <c r="AN231" i="14"/>
  <c r="AN239" i="14" s="1"/>
  <c r="N231" i="14"/>
  <c r="N239" i="14" s="1"/>
  <c r="X231" i="14"/>
  <c r="X239" i="14" s="1"/>
  <c r="M231" i="14"/>
  <c r="M239" i="14" s="1"/>
  <c r="AK231" i="14"/>
  <c r="AK239" i="14" s="1"/>
  <c r="S231" i="14"/>
  <c r="S239" i="14" s="1"/>
  <c r="AL231" i="14"/>
  <c r="AL239" i="14" s="1"/>
  <c r="AF231" i="14"/>
  <c r="AF239" i="14" s="1"/>
  <c r="L231" i="14"/>
  <c r="L239" i="14" s="1"/>
  <c r="AB231" i="14"/>
  <c r="AB239" i="14" s="1"/>
  <c r="Z231" i="14"/>
  <c r="Z239" i="14" s="1"/>
  <c r="O595" i="15"/>
  <c r="O603" i="15" s="1"/>
  <c r="AB595" i="15"/>
  <c r="AB603" i="15" s="1"/>
  <c r="K595" i="15"/>
  <c r="K603" i="15" s="1"/>
  <c r="Z595" i="15"/>
  <c r="Z603" i="15" s="1"/>
  <c r="I595" i="15"/>
  <c r="I603" i="15" s="1"/>
  <c r="AG595" i="15"/>
  <c r="AG603" i="15" s="1"/>
  <c r="AA595" i="15"/>
  <c r="AA603" i="15" s="1"/>
  <c r="AE595" i="15"/>
  <c r="AE603" i="15" s="1"/>
  <c r="AC595" i="15"/>
  <c r="AC603" i="15" s="1"/>
  <c r="S595" i="15"/>
  <c r="S603" i="15" s="1"/>
  <c r="Y595" i="15"/>
  <c r="Y603" i="15" s="1"/>
  <c r="Q595" i="15"/>
  <c r="Q603" i="15" s="1"/>
  <c r="W595" i="15"/>
  <c r="W603" i="15" s="1"/>
  <c r="N595" i="15"/>
  <c r="N603" i="15" s="1"/>
  <c r="AI595" i="15"/>
  <c r="AI603" i="15" s="1"/>
  <c r="R595" i="15"/>
  <c r="R603" i="15" s="1"/>
  <c r="AN595" i="15"/>
  <c r="AN603" i="15" s="1"/>
  <c r="J595" i="15"/>
  <c r="J603" i="15" s="1"/>
  <c r="AF595" i="15"/>
  <c r="AF603" i="15" s="1"/>
  <c r="V595" i="15"/>
  <c r="V603" i="15" s="1"/>
  <c r="X595" i="15"/>
  <c r="X603" i="15" s="1"/>
  <c r="P595" i="15"/>
  <c r="P603" i="15" s="1"/>
  <c r="T595" i="15"/>
  <c r="T603" i="15" s="1"/>
  <c r="AP595" i="15"/>
  <c r="AP603" i="15" s="1"/>
  <c r="AH595" i="15"/>
  <c r="AH603" i="15" s="1"/>
  <c r="L595" i="15"/>
  <c r="L603" i="15" s="1"/>
  <c r="AK595" i="15"/>
  <c r="AK603" i="15" s="1"/>
  <c r="M595" i="15"/>
  <c r="M603" i="15" s="1"/>
  <c r="AD595" i="15"/>
  <c r="AD603" i="15" s="1"/>
  <c r="AO595" i="15"/>
  <c r="AO603" i="15" s="1"/>
  <c r="U595" i="15"/>
  <c r="U603" i="15" s="1"/>
  <c r="AM595" i="15"/>
  <c r="AM603" i="15" s="1"/>
  <c r="AL595" i="15"/>
  <c r="AL603" i="15" s="1"/>
  <c r="AJ595" i="15"/>
  <c r="AJ603" i="15" s="1"/>
  <c r="AN82" i="17"/>
  <c r="AN84" i="17" s="1"/>
  <c r="K82" i="17"/>
  <c r="K84" i="17" s="1"/>
  <c r="AD82" i="17"/>
  <c r="AD84" i="17" s="1"/>
  <c r="AO82" i="17"/>
  <c r="AO84" i="17" s="1"/>
  <c r="AJ71" i="8"/>
  <c r="AJ79" i="8" s="1"/>
  <c r="AI71" i="8"/>
  <c r="AI79" i="8" s="1"/>
  <c r="AO71" i="8"/>
  <c r="AO79" i="8" s="1"/>
  <c r="AM71" i="8"/>
  <c r="AM79" i="8" s="1"/>
  <c r="AG71" i="8"/>
  <c r="AG79" i="8" s="1"/>
  <c r="AE71" i="8"/>
  <c r="AE79" i="8" s="1"/>
  <c r="AD71" i="8"/>
  <c r="AD79" i="8" s="1"/>
  <c r="AH71" i="8"/>
  <c r="AH79" i="8" s="1"/>
  <c r="AL71" i="8"/>
  <c r="AL79" i="8" s="1"/>
  <c r="AF71" i="8"/>
  <c r="AF79" i="8" s="1"/>
  <c r="AC71" i="8"/>
  <c r="AC79" i="8" s="1"/>
  <c r="AK71" i="8"/>
  <c r="AK79" i="8" s="1"/>
  <c r="AN71" i="8"/>
  <c r="AN79" i="8" s="1"/>
  <c r="Z71" i="8"/>
  <c r="Z79" i="8" s="1"/>
  <c r="U71" i="8"/>
  <c r="U79" i="8" s="1"/>
  <c r="AB71" i="8"/>
  <c r="AB79" i="8" s="1"/>
  <c r="K71" i="8"/>
  <c r="K79" i="8" s="1"/>
  <c r="V71" i="8"/>
  <c r="V79" i="8" s="1"/>
  <c r="O71" i="8"/>
  <c r="O79" i="8" s="1"/>
  <c r="S71" i="8"/>
  <c r="S79" i="8" s="1"/>
  <c r="W71" i="8"/>
  <c r="W79" i="8" s="1"/>
  <c r="X71" i="8"/>
  <c r="X79" i="8" s="1"/>
  <c r="Y71" i="8"/>
  <c r="Y79" i="8" s="1"/>
  <c r="Q71" i="8"/>
  <c r="Q79" i="8" s="1"/>
  <c r="N71" i="8"/>
  <c r="N79" i="8" s="1"/>
  <c r="P71" i="8"/>
  <c r="P79" i="8" s="1"/>
  <c r="AA71" i="8"/>
  <c r="AA79" i="8" s="1"/>
  <c r="R71" i="8"/>
  <c r="R79" i="8" s="1"/>
  <c r="L71" i="8"/>
  <c r="L79" i="8" s="1"/>
  <c r="T71" i="8"/>
  <c r="T79" i="8" s="1"/>
  <c r="M71" i="8"/>
  <c r="M79" i="8" s="1"/>
  <c r="J71" i="8"/>
  <c r="J79" i="8" s="1"/>
  <c r="I71" i="8"/>
  <c r="AK240" i="9"/>
  <c r="AK248" i="9" s="1"/>
  <c r="AL240" i="9"/>
  <c r="AL248" i="9" s="1"/>
  <c r="T240" i="9"/>
  <c r="T248" i="9" s="1"/>
  <c r="N240" i="9"/>
  <c r="N248" i="9" s="1"/>
  <c r="U240" i="9"/>
  <c r="U248" i="9" s="1"/>
  <c r="V240" i="9"/>
  <c r="V248" i="9" s="1"/>
  <c r="AC240" i="9"/>
  <c r="AC248" i="9" s="1"/>
  <c r="AD240" i="9"/>
  <c r="AD248" i="9" s="1"/>
  <c r="AN240" i="9"/>
  <c r="AN248" i="9" s="1"/>
  <c r="I240" i="9"/>
  <c r="I248" i="9" s="1"/>
  <c r="AB240" i="9"/>
  <c r="AB248" i="9" s="1"/>
  <c r="O240" i="9"/>
  <c r="O248" i="9" s="1"/>
  <c r="J240" i="9"/>
  <c r="J248" i="9" s="1"/>
  <c r="Q240" i="9"/>
  <c r="Q248" i="9" s="1"/>
  <c r="P240" i="9"/>
  <c r="P248" i="9" s="1"/>
  <c r="AE240" i="9"/>
  <c r="AE248" i="9" s="1"/>
  <c r="AI240" i="9"/>
  <c r="AI248" i="9" s="1"/>
  <c r="X240" i="9"/>
  <c r="X248" i="9" s="1"/>
  <c r="Y240" i="9"/>
  <c r="Y248" i="9" s="1"/>
  <c r="AM240" i="9"/>
  <c r="AM248" i="9" s="1"/>
  <c r="AJ240" i="9"/>
  <c r="AJ248" i="9" s="1"/>
  <c r="AF240" i="9"/>
  <c r="AF248" i="9" s="1"/>
  <c r="AG240" i="9"/>
  <c r="AG248" i="9" s="1"/>
  <c r="W240" i="9"/>
  <c r="W248" i="9" s="1"/>
  <c r="L240" i="9"/>
  <c r="L248" i="9" s="1"/>
  <c r="R240" i="9"/>
  <c r="R248" i="9" s="1"/>
  <c r="S240" i="9"/>
  <c r="S248" i="9" s="1"/>
  <c r="Z240" i="9"/>
  <c r="Z248" i="9" s="1"/>
  <c r="AA240" i="9"/>
  <c r="AA248" i="9" s="1"/>
  <c r="AH240" i="9"/>
  <c r="AH248" i="9" s="1"/>
  <c r="M240" i="9"/>
  <c r="M248" i="9" s="1"/>
  <c r="K240" i="9"/>
  <c r="K248" i="9" s="1"/>
  <c r="AO240" i="9"/>
  <c r="AO248" i="9" s="1"/>
  <c r="R475" i="15"/>
  <c r="R483" i="15" s="1"/>
  <c r="AD475" i="15"/>
  <c r="AD483" i="15" s="1"/>
  <c r="AG475" i="15"/>
  <c r="AG483" i="15" s="1"/>
  <c r="AA475" i="15"/>
  <c r="AA483" i="15" s="1"/>
  <c r="N475" i="15"/>
  <c r="N483" i="15" s="1"/>
  <c r="X475" i="15"/>
  <c r="X483" i="15" s="1"/>
  <c r="I475" i="15"/>
  <c r="I483" i="15" s="1"/>
  <c r="U475" i="15"/>
  <c r="U483" i="15" s="1"/>
  <c r="AB475" i="15"/>
  <c r="AB483" i="15" s="1"/>
  <c r="AI475" i="15"/>
  <c r="AI483" i="15" s="1"/>
  <c r="AL475" i="15"/>
  <c r="AL483" i="15" s="1"/>
  <c r="AC475" i="15"/>
  <c r="AC483" i="15" s="1"/>
  <c r="Q475" i="15"/>
  <c r="Q483" i="15" s="1"/>
  <c r="T475" i="15"/>
  <c r="T483" i="15" s="1"/>
  <c r="M475" i="15"/>
  <c r="M483" i="15" s="1"/>
  <c r="Y475" i="15"/>
  <c r="Y483" i="15" s="1"/>
  <c r="AH475" i="15"/>
  <c r="AH483" i="15" s="1"/>
  <c r="AN475" i="15"/>
  <c r="AN483" i="15" s="1"/>
  <c r="O475" i="15"/>
  <c r="O483" i="15" s="1"/>
  <c r="Z475" i="15"/>
  <c r="Z483" i="15" s="1"/>
  <c r="S475" i="15"/>
  <c r="S483" i="15" s="1"/>
  <c r="AE475" i="15"/>
  <c r="AE483" i="15" s="1"/>
  <c r="J475" i="15"/>
  <c r="J483" i="15" s="1"/>
  <c r="W475" i="15"/>
  <c r="W483" i="15" s="1"/>
  <c r="L475" i="15"/>
  <c r="L483" i="15" s="1"/>
  <c r="V475" i="15"/>
  <c r="V483" i="15" s="1"/>
  <c r="AO475" i="15"/>
  <c r="AO483" i="15" s="1"/>
  <c r="AK475" i="15"/>
  <c r="AK483" i="15" s="1"/>
  <c r="AM475" i="15"/>
  <c r="AM483" i="15" s="1"/>
  <c r="K475" i="15"/>
  <c r="K483" i="15" s="1"/>
  <c r="AJ475" i="15"/>
  <c r="AJ483" i="15" s="1"/>
  <c r="P475" i="15"/>
  <c r="P483" i="15" s="1"/>
  <c r="AF475" i="15"/>
  <c r="AF483" i="15" s="1"/>
  <c r="K597" i="15"/>
  <c r="K605" i="15" s="1"/>
  <c r="I597" i="15"/>
  <c r="I605" i="15" s="1"/>
  <c r="J597" i="15"/>
  <c r="J605" i="15" s="1"/>
  <c r="L597" i="15"/>
  <c r="AP597" i="15"/>
  <c r="AB597" i="15"/>
  <c r="U597" i="15"/>
  <c r="R597" i="15"/>
  <c r="S597" i="15"/>
  <c r="Z597" i="15"/>
  <c r="AH597" i="15"/>
  <c r="AE597" i="15"/>
  <c r="W597" i="15"/>
  <c r="AG597" i="15"/>
  <c r="AA597" i="15"/>
  <c r="AK597" i="15"/>
  <c r="AI597" i="15"/>
  <c r="O597" i="15"/>
  <c r="N597" i="15"/>
  <c r="X597" i="15"/>
  <c r="AJ597" i="15"/>
  <c r="M597" i="15"/>
  <c r="P597" i="15"/>
  <c r="AD597" i="15"/>
  <c r="AC597" i="15"/>
  <c r="T597" i="15"/>
  <c r="Y597" i="15"/>
  <c r="AL597" i="15"/>
  <c r="V597" i="15"/>
  <c r="AN597" i="15"/>
  <c r="Q597" i="15"/>
  <c r="AM597" i="15"/>
  <c r="AF597" i="15"/>
  <c r="AO597" i="15"/>
  <c r="AO792" i="15"/>
  <c r="AO800" i="15" s="1"/>
  <c r="AF792" i="15"/>
  <c r="AF800" i="15" s="1"/>
  <c r="S792" i="15"/>
  <c r="S800" i="15" s="1"/>
  <c r="AA792" i="15"/>
  <c r="AA800" i="15" s="1"/>
  <c r="AG792" i="15"/>
  <c r="AG800" i="15" s="1"/>
  <c r="M792" i="15"/>
  <c r="M800" i="15" s="1"/>
  <c r="T792" i="15"/>
  <c r="T800" i="15" s="1"/>
  <c r="W792" i="15"/>
  <c r="W800" i="15" s="1"/>
  <c r="AM792" i="15"/>
  <c r="AM800" i="15" s="1"/>
  <c r="P792" i="15"/>
  <c r="P800" i="15" s="1"/>
  <c r="X792" i="15"/>
  <c r="X800" i="15" s="1"/>
  <c r="N792" i="15"/>
  <c r="N800" i="15" s="1"/>
  <c r="V792" i="15"/>
  <c r="V800" i="15" s="1"/>
  <c r="J792" i="15"/>
  <c r="J800" i="15" s="1"/>
  <c r="AJ792" i="15"/>
  <c r="AJ800" i="15" s="1"/>
  <c r="L792" i="15"/>
  <c r="L800" i="15" s="1"/>
  <c r="AB792" i="15"/>
  <c r="AB800" i="15" s="1"/>
  <c r="AN792" i="15"/>
  <c r="AN800" i="15" s="1"/>
  <c r="AL792" i="15"/>
  <c r="AL800" i="15" s="1"/>
  <c r="AC792" i="15"/>
  <c r="AC800" i="15" s="1"/>
  <c r="R792" i="15"/>
  <c r="R800" i="15" s="1"/>
  <c r="AD792" i="15"/>
  <c r="AD800" i="15" s="1"/>
  <c r="I792" i="15"/>
  <c r="I800" i="15" s="1"/>
  <c r="Z792" i="15"/>
  <c r="Z800" i="15" s="1"/>
  <c r="AE792" i="15"/>
  <c r="AE800" i="15" s="1"/>
  <c r="AK792" i="15"/>
  <c r="AK800" i="15" s="1"/>
  <c r="K792" i="15"/>
  <c r="K800" i="15" s="1"/>
  <c r="Y792" i="15"/>
  <c r="Y800" i="15" s="1"/>
  <c r="O792" i="15"/>
  <c r="O800" i="15" s="1"/>
  <c r="U792" i="15"/>
  <c r="U800" i="15" s="1"/>
  <c r="AH792" i="15"/>
  <c r="AH800" i="15" s="1"/>
  <c r="Q792" i="15"/>
  <c r="Q800" i="15" s="1"/>
  <c r="AI792" i="15"/>
  <c r="AI800" i="15" s="1"/>
  <c r="F373" i="16"/>
  <c r="F463" i="16"/>
  <c r="N70" i="7"/>
  <c r="N78" i="7" s="1"/>
  <c r="Q70" i="7"/>
  <c r="Q78" i="7" s="1"/>
  <c r="Z70" i="7"/>
  <c r="Z78" i="7" s="1"/>
  <c r="K70" i="7"/>
  <c r="K78" i="7" s="1"/>
  <c r="W70" i="7"/>
  <c r="W78" i="7" s="1"/>
  <c r="L70" i="7"/>
  <c r="L78" i="7" s="1"/>
  <c r="T70" i="7"/>
  <c r="T78" i="7" s="1"/>
  <c r="P70" i="7"/>
  <c r="P78" i="7" s="1"/>
  <c r="X70" i="7"/>
  <c r="X78" i="7" s="1"/>
  <c r="V70" i="7"/>
  <c r="V78" i="7" s="1"/>
  <c r="U70" i="7"/>
  <c r="U78" i="7" s="1"/>
  <c r="AB70" i="7"/>
  <c r="AB78" i="7" s="1"/>
  <c r="R70" i="7"/>
  <c r="R78" i="7" s="1"/>
  <c r="M70" i="7"/>
  <c r="M78" i="7" s="1"/>
  <c r="S70" i="7"/>
  <c r="S78" i="7" s="1"/>
  <c r="J70" i="7"/>
  <c r="J78" i="7" s="1"/>
  <c r="I70" i="7"/>
  <c r="I78" i="7" s="1"/>
  <c r="Y70" i="7"/>
  <c r="Y78" i="7" s="1"/>
  <c r="AA70" i="7"/>
  <c r="AA78" i="7" s="1"/>
  <c r="O70" i="7"/>
  <c r="O78" i="7" s="1"/>
  <c r="AP755" i="16"/>
  <c r="AP763" i="16" s="1"/>
  <c r="AK755" i="16"/>
  <c r="AK763" i="16" s="1"/>
  <c r="AI755" i="16"/>
  <c r="AI763" i="16" s="1"/>
  <c r="AN755" i="16"/>
  <c r="AN763" i="16" s="1"/>
  <c r="AJ755" i="16"/>
  <c r="AJ763" i="16" s="1"/>
  <c r="AM755" i="16"/>
  <c r="AM763" i="16" s="1"/>
  <c r="AH755" i="16"/>
  <c r="AH763" i="16" s="1"/>
  <c r="AO755" i="16"/>
  <c r="AO763" i="16" s="1"/>
  <c r="AL755" i="16"/>
  <c r="AL763" i="16" s="1"/>
  <c r="Z755" i="16"/>
  <c r="Z763" i="16" s="1"/>
  <c r="V755" i="16"/>
  <c r="V763" i="16" s="1"/>
  <c r="O755" i="16"/>
  <c r="O763" i="16" s="1"/>
  <c r="S755" i="16"/>
  <c r="S763" i="16" s="1"/>
  <c r="N755" i="16"/>
  <c r="N763" i="16" s="1"/>
  <c r="J755" i="16"/>
  <c r="J763" i="16" s="1"/>
  <c r="P755" i="16"/>
  <c r="P763" i="16" s="1"/>
  <c r="T755" i="16"/>
  <c r="T763" i="16" s="1"/>
  <c r="R755" i="16"/>
  <c r="R763" i="16" s="1"/>
  <c r="AB755" i="16"/>
  <c r="AB763" i="16" s="1"/>
  <c r="AD755" i="16"/>
  <c r="AD763" i="16" s="1"/>
  <c r="AG755" i="16"/>
  <c r="AG763" i="16" s="1"/>
  <c r="Q755" i="16"/>
  <c r="Q763" i="16" s="1"/>
  <c r="AC755" i="16"/>
  <c r="AC763" i="16" s="1"/>
  <c r="AE755" i="16"/>
  <c r="AE763" i="16" s="1"/>
  <c r="U755" i="16"/>
  <c r="U763" i="16" s="1"/>
  <c r="AQ755" i="16"/>
  <c r="L755" i="16"/>
  <c r="L763" i="16" s="1"/>
  <c r="M755" i="16"/>
  <c r="M763" i="16" s="1"/>
  <c r="AA755" i="16"/>
  <c r="AA763" i="16" s="1"/>
  <c r="K755" i="16"/>
  <c r="K763" i="16" s="1"/>
  <c r="I755" i="16"/>
  <c r="I763" i="16" s="1"/>
  <c r="X755" i="16"/>
  <c r="X763" i="16" s="1"/>
  <c r="Y755" i="16"/>
  <c r="Y763" i="16" s="1"/>
  <c r="W755" i="16"/>
  <c r="W763" i="16" s="1"/>
  <c r="AF755" i="16"/>
  <c r="AF763" i="16" s="1"/>
  <c r="I473" i="15"/>
  <c r="I481" i="15" s="1"/>
  <c r="AO473" i="15"/>
  <c r="AO481" i="15" s="1"/>
  <c r="J473" i="15"/>
  <c r="J481" i="15" s="1"/>
  <c r="R473" i="15"/>
  <c r="R481" i="15" s="1"/>
  <c r="AJ473" i="15"/>
  <c r="AJ481" i="15" s="1"/>
  <c r="Q473" i="15"/>
  <c r="Q481" i="15" s="1"/>
  <c r="AB473" i="15"/>
  <c r="AB481" i="15" s="1"/>
  <c r="P473" i="15"/>
  <c r="P481" i="15" s="1"/>
  <c r="N473" i="15"/>
  <c r="N481" i="15" s="1"/>
  <c r="AD473" i="15"/>
  <c r="AD481" i="15" s="1"/>
  <c r="AC473" i="15"/>
  <c r="AC481" i="15" s="1"/>
  <c r="AI473" i="15"/>
  <c r="AI481" i="15" s="1"/>
  <c r="Z473" i="15"/>
  <c r="Z481" i="15" s="1"/>
  <c r="K473" i="15"/>
  <c r="K481" i="15" s="1"/>
  <c r="S473" i="15"/>
  <c r="S481" i="15" s="1"/>
  <c r="O473" i="15"/>
  <c r="O481" i="15" s="1"/>
  <c r="AL473" i="15"/>
  <c r="AL481" i="15" s="1"/>
  <c r="AK473" i="15"/>
  <c r="AK481" i="15" s="1"/>
  <c r="AN473" i="15"/>
  <c r="AN481" i="15" s="1"/>
  <c r="Y473" i="15"/>
  <c r="Y481" i="15" s="1"/>
  <c r="AG473" i="15"/>
  <c r="AG481" i="15" s="1"/>
  <c r="U473" i="15"/>
  <c r="U481" i="15" s="1"/>
  <c r="T473" i="15"/>
  <c r="T481" i="15" s="1"/>
  <c r="V473" i="15"/>
  <c r="V481" i="15" s="1"/>
  <c r="AH473" i="15"/>
  <c r="AH481" i="15" s="1"/>
  <c r="AF473" i="15"/>
  <c r="AF481" i="15" s="1"/>
  <c r="X473" i="15"/>
  <c r="X481" i="15" s="1"/>
  <c r="AE473" i="15"/>
  <c r="AE481" i="15" s="1"/>
  <c r="AA473" i="15"/>
  <c r="AA481" i="15" s="1"/>
  <c r="L473" i="15"/>
  <c r="L481" i="15" s="1"/>
  <c r="M473" i="15"/>
  <c r="M481" i="15" s="1"/>
  <c r="W473" i="15"/>
  <c r="W481" i="15" s="1"/>
  <c r="AM473" i="15"/>
  <c r="AM481" i="15" s="1"/>
  <c r="L69" i="8"/>
  <c r="L77" i="8" s="1"/>
  <c r="AM69" i="8"/>
  <c r="AM77" i="8" s="1"/>
  <c r="AN69" i="8"/>
  <c r="AN77" i="8" s="1"/>
  <c r="AL69" i="8"/>
  <c r="AL77" i="8" s="1"/>
  <c r="AC69" i="8"/>
  <c r="AC77" i="8" s="1"/>
  <c r="AG69" i="8"/>
  <c r="AG77" i="8" s="1"/>
  <c r="AD69" i="8"/>
  <c r="AD77" i="8" s="1"/>
  <c r="AE69" i="8"/>
  <c r="AE77" i="8" s="1"/>
  <c r="AH69" i="8"/>
  <c r="AH77" i="8" s="1"/>
  <c r="AK69" i="8"/>
  <c r="AK77" i="8" s="1"/>
  <c r="AF69" i="8"/>
  <c r="AF77" i="8" s="1"/>
  <c r="AO69" i="8"/>
  <c r="AO77" i="8" s="1"/>
  <c r="AI69" i="8"/>
  <c r="AI77" i="8" s="1"/>
  <c r="AJ69" i="8"/>
  <c r="AJ77" i="8" s="1"/>
  <c r="T69" i="8"/>
  <c r="T77" i="8" s="1"/>
  <c r="J69" i="8"/>
  <c r="J77" i="8" s="1"/>
  <c r="P69" i="8"/>
  <c r="P77" i="8" s="1"/>
  <c r="Z69" i="8"/>
  <c r="Z77" i="8" s="1"/>
  <c r="Q69" i="8"/>
  <c r="Q77" i="8" s="1"/>
  <c r="O69" i="8"/>
  <c r="O77" i="8" s="1"/>
  <c r="Y69" i="8"/>
  <c r="Y77" i="8" s="1"/>
  <c r="AB69" i="8"/>
  <c r="AB77" i="8" s="1"/>
  <c r="S69" i="8"/>
  <c r="S77" i="8" s="1"/>
  <c r="M69" i="8"/>
  <c r="M77" i="8" s="1"/>
  <c r="N69" i="8"/>
  <c r="N77" i="8" s="1"/>
  <c r="W69" i="8"/>
  <c r="W77" i="8" s="1"/>
  <c r="U69" i="8"/>
  <c r="U77" i="8" s="1"/>
  <c r="V69" i="8"/>
  <c r="V77" i="8" s="1"/>
  <c r="AA69" i="8"/>
  <c r="AA77" i="8" s="1"/>
  <c r="R69" i="8"/>
  <c r="R77" i="8" s="1"/>
  <c r="X69" i="8"/>
  <c r="X77" i="8" s="1"/>
  <c r="K69" i="8"/>
  <c r="K77" i="8" s="1"/>
  <c r="I69" i="8"/>
  <c r="P883" i="15"/>
  <c r="P891" i="15" s="1"/>
  <c r="W883" i="15"/>
  <c r="W891" i="15" s="1"/>
  <c r="Z883" i="15"/>
  <c r="Z891" i="15" s="1"/>
  <c r="X883" i="15"/>
  <c r="X891" i="15" s="1"/>
  <c r="AO883" i="15"/>
  <c r="AO891" i="15" s="1"/>
  <c r="S883" i="15"/>
  <c r="S891" i="15" s="1"/>
  <c r="T883" i="15"/>
  <c r="T891" i="15" s="1"/>
  <c r="AA883" i="15"/>
  <c r="AA891" i="15" s="1"/>
  <c r="AG883" i="15"/>
  <c r="AG891" i="15" s="1"/>
  <c r="AE883" i="15"/>
  <c r="AE891" i="15" s="1"/>
  <c r="K883" i="15"/>
  <c r="K891" i="15" s="1"/>
  <c r="AL883" i="15"/>
  <c r="AL891" i="15" s="1"/>
  <c r="AN883" i="15"/>
  <c r="AN891" i="15" s="1"/>
  <c r="AJ883" i="15"/>
  <c r="AJ891" i="15" s="1"/>
  <c r="AH883" i="15"/>
  <c r="AH891" i="15" s="1"/>
  <c r="AI883" i="15"/>
  <c r="AI891" i="15" s="1"/>
  <c r="N883" i="15"/>
  <c r="N891" i="15" s="1"/>
  <c r="U883" i="15"/>
  <c r="U891" i="15" s="1"/>
  <c r="L883" i="15"/>
  <c r="L891" i="15" s="1"/>
  <c r="Q883" i="15"/>
  <c r="Q891" i="15" s="1"/>
  <c r="R883" i="15"/>
  <c r="R891" i="15" s="1"/>
  <c r="M883" i="15"/>
  <c r="M891" i="15" s="1"/>
  <c r="AB883" i="15"/>
  <c r="AB891" i="15" s="1"/>
  <c r="AC883" i="15"/>
  <c r="AC891" i="15" s="1"/>
  <c r="AF883" i="15"/>
  <c r="AF891" i="15" s="1"/>
  <c r="AM883" i="15"/>
  <c r="AM891" i="15" s="1"/>
  <c r="Y883" i="15"/>
  <c r="Y891" i="15" s="1"/>
  <c r="AK883" i="15"/>
  <c r="AK891" i="15" s="1"/>
  <c r="J883" i="15"/>
  <c r="J891" i="15" s="1"/>
  <c r="O883" i="15"/>
  <c r="O891" i="15" s="1"/>
  <c r="V883" i="15"/>
  <c r="V891" i="15" s="1"/>
  <c r="I883" i="15"/>
  <c r="AD883" i="15"/>
  <c r="AD891" i="15" s="1"/>
  <c r="S662" i="16"/>
  <c r="S670" i="16" s="1"/>
  <c r="X662" i="16"/>
  <c r="X670" i="16" s="1"/>
  <c r="AD662" i="16"/>
  <c r="AD670" i="16" s="1"/>
  <c r="W662" i="16"/>
  <c r="W670" i="16" s="1"/>
  <c r="I662" i="16"/>
  <c r="I670" i="16" s="1"/>
  <c r="Y662" i="16"/>
  <c r="Y670" i="16" s="1"/>
  <c r="L662" i="16"/>
  <c r="L670" i="16" s="1"/>
  <c r="AI662" i="16"/>
  <c r="AI670" i="16" s="1"/>
  <c r="AJ662" i="16"/>
  <c r="AJ670" i="16" s="1"/>
  <c r="AM662" i="16"/>
  <c r="AM670" i="16" s="1"/>
  <c r="P662" i="16"/>
  <c r="P670" i="16" s="1"/>
  <c r="V662" i="16"/>
  <c r="V670" i="16" s="1"/>
  <c r="T662" i="16"/>
  <c r="T670" i="16" s="1"/>
  <c r="AE662" i="16"/>
  <c r="AE670" i="16" s="1"/>
  <c r="AC662" i="16"/>
  <c r="AC670" i="16" s="1"/>
  <c r="AK662" i="16"/>
  <c r="AK670" i="16" s="1"/>
  <c r="AH662" i="16"/>
  <c r="AH670" i="16" s="1"/>
  <c r="J662" i="16"/>
  <c r="J670" i="16" s="1"/>
  <c r="Z662" i="16"/>
  <c r="Z670" i="16" s="1"/>
  <c r="K662" i="16"/>
  <c r="K670" i="16" s="1"/>
  <c r="AF662" i="16"/>
  <c r="AF670" i="16" s="1"/>
  <c r="O662" i="16"/>
  <c r="O670" i="16" s="1"/>
  <c r="AG662" i="16"/>
  <c r="AG670" i="16" s="1"/>
  <c r="R662" i="16"/>
  <c r="R670" i="16" s="1"/>
  <c r="AL662" i="16"/>
  <c r="AL670" i="16" s="1"/>
  <c r="Q662" i="16"/>
  <c r="Q670" i="16" s="1"/>
  <c r="AB662" i="16"/>
  <c r="AB670" i="16" s="1"/>
  <c r="AO662" i="16"/>
  <c r="AO670" i="16" s="1"/>
  <c r="AN662" i="16"/>
  <c r="AN670" i="16" s="1"/>
  <c r="N662" i="16"/>
  <c r="N670" i="16" s="1"/>
  <c r="AA662" i="16"/>
  <c r="AA670" i="16" s="1"/>
  <c r="M662" i="16"/>
  <c r="M670" i="16" s="1"/>
  <c r="U662" i="16"/>
  <c r="U670" i="16" s="1"/>
  <c r="AM158" i="8"/>
  <c r="AM166" i="8" s="1"/>
  <c r="AL158" i="8"/>
  <c r="AL166" i="8" s="1"/>
  <c r="AN158" i="8"/>
  <c r="AN166" i="8" s="1"/>
  <c r="AI158" i="8"/>
  <c r="AI166" i="8" s="1"/>
  <c r="AK158" i="8"/>
  <c r="AK166" i="8" s="1"/>
  <c r="AJ158" i="8"/>
  <c r="AJ166" i="8" s="1"/>
  <c r="AO158" i="8"/>
  <c r="AO166" i="8" s="1"/>
  <c r="AH158" i="8"/>
  <c r="AH166" i="8" s="1"/>
  <c r="AA158" i="8"/>
  <c r="AA166" i="8" s="1"/>
  <c r="V158" i="8"/>
  <c r="V166" i="8" s="1"/>
  <c r="Z158" i="8"/>
  <c r="Z166" i="8" s="1"/>
  <c r="I158" i="8"/>
  <c r="P158" i="8"/>
  <c r="P166" i="8" s="1"/>
  <c r="L158" i="8"/>
  <c r="L166" i="8" s="1"/>
  <c r="N158" i="8"/>
  <c r="N166" i="8" s="1"/>
  <c r="Y158" i="8"/>
  <c r="Y166" i="8" s="1"/>
  <c r="Q158" i="8"/>
  <c r="Q166" i="8" s="1"/>
  <c r="AE158" i="8"/>
  <c r="AE166" i="8" s="1"/>
  <c r="U158" i="8"/>
  <c r="U166" i="8" s="1"/>
  <c r="W158" i="8"/>
  <c r="W166" i="8" s="1"/>
  <c r="AB158" i="8"/>
  <c r="AB166" i="8" s="1"/>
  <c r="AD158" i="8"/>
  <c r="AD166" i="8" s="1"/>
  <c r="J158" i="8"/>
  <c r="J166" i="8" s="1"/>
  <c r="AG158" i="8"/>
  <c r="AG166" i="8" s="1"/>
  <c r="T158" i="8"/>
  <c r="T166" i="8" s="1"/>
  <c r="AF158" i="8"/>
  <c r="AF166" i="8" s="1"/>
  <c r="AC158" i="8"/>
  <c r="AC166" i="8" s="1"/>
  <c r="S158" i="8"/>
  <c r="S166" i="8" s="1"/>
  <c r="M158" i="8"/>
  <c r="M166" i="8" s="1"/>
  <c r="R158" i="8"/>
  <c r="R166" i="8" s="1"/>
  <c r="X158" i="8"/>
  <c r="X166" i="8" s="1"/>
  <c r="K158" i="8"/>
  <c r="K166" i="8" s="1"/>
  <c r="O158" i="8"/>
  <c r="O166" i="8" s="1"/>
  <c r="Z248" i="15"/>
  <c r="Z256" i="15" s="1"/>
  <c r="S248" i="15"/>
  <c r="S256" i="15" s="1"/>
  <c r="AA248" i="15"/>
  <c r="AA256" i="15" s="1"/>
  <c r="O248" i="15"/>
  <c r="O256" i="15" s="1"/>
  <c r="I248" i="15"/>
  <c r="I256" i="15" s="1"/>
  <c r="Q248" i="15"/>
  <c r="Q256" i="15" s="1"/>
  <c r="J248" i="15"/>
  <c r="J256" i="15" s="1"/>
  <c r="AB248" i="15"/>
  <c r="AB256" i="15" s="1"/>
  <c r="K248" i="15"/>
  <c r="K256" i="15" s="1"/>
  <c r="Y248" i="15"/>
  <c r="Y256" i="15" s="1"/>
  <c r="R248" i="15"/>
  <c r="R256" i="15" s="1"/>
  <c r="L248" i="15"/>
  <c r="L256" i="15" s="1"/>
  <c r="AC248" i="15"/>
  <c r="AC256" i="15" s="1"/>
  <c r="X248" i="15"/>
  <c r="X256" i="15" s="1"/>
  <c r="P248" i="15"/>
  <c r="P256" i="15" s="1"/>
  <c r="W248" i="15"/>
  <c r="W256" i="15" s="1"/>
  <c r="N248" i="15"/>
  <c r="N256" i="15" s="1"/>
  <c r="M248" i="15"/>
  <c r="M256" i="15" s="1"/>
  <c r="U248" i="15"/>
  <c r="U256" i="15" s="1"/>
  <c r="T248" i="15"/>
  <c r="T256" i="15" s="1"/>
  <c r="V248" i="15"/>
  <c r="V256" i="15" s="1"/>
  <c r="AH65" i="9"/>
  <c r="AH73" i="9" s="1"/>
  <c r="AN65" i="9"/>
  <c r="AN73" i="9" s="1"/>
  <c r="AI65" i="9"/>
  <c r="AI73" i="9" s="1"/>
  <c r="AD65" i="9"/>
  <c r="AD73" i="9" s="1"/>
  <c r="AM65" i="9"/>
  <c r="AM73" i="9" s="1"/>
  <c r="AE65" i="9"/>
  <c r="AE73" i="9" s="1"/>
  <c r="AJ65" i="9"/>
  <c r="AJ73" i="9" s="1"/>
  <c r="AK65" i="9"/>
  <c r="AK73" i="9" s="1"/>
  <c r="I65" i="9"/>
  <c r="I73" i="9" s="1"/>
  <c r="AL65" i="9"/>
  <c r="AL73" i="9" s="1"/>
  <c r="AC65" i="9"/>
  <c r="AC73" i="9" s="1"/>
  <c r="AF65" i="9"/>
  <c r="AF73" i="9" s="1"/>
  <c r="AG65" i="9"/>
  <c r="AG73" i="9" s="1"/>
  <c r="AB65" i="9"/>
  <c r="AB73" i="9" s="1"/>
  <c r="P65" i="9"/>
  <c r="P73" i="9" s="1"/>
  <c r="V65" i="9"/>
  <c r="V73" i="9" s="1"/>
  <c r="M65" i="9"/>
  <c r="M73" i="9" s="1"/>
  <c r="L65" i="9"/>
  <c r="L73" i="9" s="1"/>
  <c r="Z65" i="9"/>
  <c r="Z73" i="9" s="1"/>
  <c r="Q65" i="9"/>
  <c r="Q73" i="9" s="1"/>
  <c r="O65" i="9"/>
  <c r="O73" i="9" s="1"/>
  <c r="K65" i="9"/>
  <c r="K73" i="9" s="1"/>
  <c r="J65" i="9"/>
  <c r="J73" i="9" s="1"/>
  <c r="N65" i="9"/>
  <c r="N73" i="9" s="1"/>
  <c r="T65" i="9"/>
  <c r="T73" i="9" s="1"/>
  <c r="R65" i="9"/>
  <c r="R73" i="9" s="1"/>
  <c r="AA65" i="9"/>
  <c r="AA73" i="9" s="1"/>
  <c r="X65" i="9"/>
  <c r="X73" i="9" s="1"/>
  <c r="W65" i="9"/>
  <c r="W73" i="9" s="1"/>
  <c r="U65" i="9"/>
  <c r="U73" i="9" s="1"/>
  <c r="S65" i="9"/>
  <c r="S73" i="9" s="1"/>
  <c r="Y65" i="9"/>
  <c r="Y73" i="9" s="1"/>
  <c r="AC402" i="14"/>
  <c r="AC410" i="14" s="1"/>
  <c r="S402" i="14"/>
  <c r="S410" i="14" s="1"/>
  <c r="O402" i="14"/>
  <c r="O410" i="14" s="1"/>
  <c r="Q402" i="14"/>
  <c r="Q410" i="14" s="1"/>
  <c r="AF402" i="14"/>
  <c r="AF410" i="14" s="1"/>
  <c r="V402" i="14"/>
  <c r="V410" i="14" s="1"/>
  <c r="W402" i="14"/>
  <c r="W410" i="14" s="1"/>
  <c r="M402" i="14"/>
  <c r="M410" i="14" s="1"/>
  <c r="AB402" i="14"/>
  <c r="AB410" i="14" s="1"/>
  <c r="L402" i="14"/>
  <c r="L410" i="14" s="1"/>
  <c r="K402" i="14"/>
  <c r="K410" i="14" s="1"/>
  <c r="AH402" i="14"/>
  <c r="AH410" i="14" s="1"/>
  <c r="AD402" i="14"/>
  <c r="AD410" i="14" s="1"/>
  <c r="U402" i="14"/>
  <c r="U410" i="14" s="1"/>
  <c r="N402" i="14"/>
  <c r="N410" i="14" s="1"/>
  <c r="I402" i="14"/>
  <c r="I410" i="14" s="1"/>
  <c r="T402" i="14"/>
  <c r="T410" i="14" s="1"/>
  <c r="X402" i="14"/>
  <c r="X410" i="14" s="1"/>
  <c r="AM402" i="14"/>
  <c r="AM410" i="14" s="1"/>
  <c r="AL402" i="14"/>
  <c r="AL410" i="14" s="1"/>
  <c r="J402" i="14"/>
  <c r="J410" i="14" s="1"/>
  <c r="AJ402" i="14"/>
  <c r="AJ410" i="14" s="1"/>
  <c r="P402" i="14"/>
  <c r="P410" i="14" s="1"/>
  <c r="R402" i="14"/>
  <c r="R410" i="14" s="1"/>
  <c r="AA402" i="14"/>
  <c r="AA410" i="14" s="1"/>
  <c r="AI402" i="14"/>
  <c r="AI410" i="14" s="1"/>
  <c r="AN402" i="14"/>
  <c r="AN410" i="14" s="1"/>
  <c r="Z402" i="14"/>
  <c r="Z410" i="14" s="1"/>
  <c r="Y402" i="14"/>
  <c r="Y410" i="14" s="1"/>
  <c r="AK402" i="14"/>
  <c r="AK410" i="14" s="1"/>
  <c r="AG402" i="14"/>
  <c r="AG410" i="14" s="1"/>
  <c r="AO402" i="14"/>
  <c r="AO410" i="14" s="1"/>
  <c r="AE402" i="14"/>
  <c r="AE410" i="14" s="1"/>
  <c r="AP402" i="14"/>
  <c r="AP410" i="14" s="1"/>
  <c r="I236" i="14"/>
  <c r="G282" i="14"/>
  <c r="W252" i="15"/>
  <c r="W260" i="15" s="1"/>
  <c r="R252" i="15"/>
  <c r="R260" i="15" s="1"/>
  <c r="T252" i="15"/>
  <c r="T260" i="15" s="1"/>
  <c r="V252" i="15"/>
  <c r="V260" i="15" s="1"/>
  <c r="M252" i="15"/>
  <c r="M260" i="15" s="1"/>
  <c r="AB252" i="15"/>
  <c r="AB260" i="15" s="1"/>
  <c r="N252" i="15"/>
  <c r="N260" i="15" s="1"/>
  <c r="AC252" i="15"/>
  <c r="AC260" i="15" s="1"/>
  <c r="Q252" i="15"/>
  <c r="Q260" i="15" s="1"/>
  <c r="O252" i="15"/>
  <c r="O260" i="15" s="1"/>
  <c r="L252" i="15"/>
  <c r="L260" i="15" s="1"/>
  <c r="S252" i="15"/>
  <c r="S260" i="15" s="1"/>
  <c r="Y252" i="15"/>
  <c r="Y260" i="15" s="1"/>
  <c r="J252" i="15"/>
  <c r="J260" i="15" s="1"/>
  <c r="P252" i="15"/>
  <c r="P260" i="15" s="1"/>
  <c r="X252" i="15"/>
  <c r="X260" i="15" s="1"/>
  <c r="AA252" i="15"/>
  <c r="AA260" i="15" s="1"/>
  <c r="K252" i="15"/>
  <c r="K260" i="15" s="1"/>
  <c r="Z252" i="15"/>
  <c r="Z260" i="15" s="1"/>
  <c r="I252" i="15"/>
  <c r="I260" i="15" s="1"/>
  <c r="U252" i="15"/>
  <c r="U260" i="15" s="1"/>
  <c r="S593" i="15"/>
  <c r="S601" i="15" s="1"/>
  <c r="AI593" i="15"/>
  <c r="AI601" i="15" s="1"/>
  <c r="I593" i="15"/>
  <c r="I601" i="15" s="1"/>
  <c r="AF593" i="15"/>
  <c r="AF601" i="15" s="1"/>
  <c r="V593" i="15"/>
  <c r="V601" i="15" s="1"/>
  <c r="P593" i="15"/>
  <c r="P601" i="15" s="1"/>
  <c r="AG593" i="15"/>
  <c r="AG601" i="15" s="1"/>
  <c r="L593" i="15"/>
  <c r="L601" i="15" s="1"/>
  <c r="AE593" i="15"/>
  <c r="AE601" i="15" s="1"/>
  <c r="AP593" i="15"/>
  <c r="AP601" i="15" s="1"/>
  <c r="AD593" i="15"/>
  <c r="AD601" i="15" s="1"/>
  <c r="AM593" i="15"/>
  <c r="AM601" i="15" s="1"/>
  <c r="N593" i="15"/>
  <c r="N601" i="15" s="1"/>
  <c r="U593" i="15"/>
  <c r="U601" i="15" s="1"/>
  <c r="AL593" i="15"/>
  <c r="AL601" i="15" s="1"/>
  <c r="T593" i="15"/>
  <c r="T601" i="15" s="1"/>
  <c r="AB593" i="15"/>
  <c r="AB601" i="15" s="1"/>
  <c r="W593" i="15"/>
  <c r="W601" i="15" s="1"/>
  <c r="O593" i="15"/>
  <c r="O601" i="15" s="1"/>
  <c r="AH593" i="15"/>
  <c r="AH601" i="15" s="1"/>
  <c r="AO593" i="15"/>
  <c r="AO601" i="15" s="1"/>
  <c r="AK593" i="15"/>
  <c r="AK601" i="15" s="1"/>
  <c r="J593" i="15"/>
  <c r="J601" i="15" s="1"/>
  <c r="AJ593" i="15"/>
  <c r="AJ601" i="15" s="1"/>
  <c r="R593" i="15"/>
  <c r="R601" i="15" s="1"/>
  <c r="AC593" i="15"/>
  <c r="AC601" i="15" s="1"/>
  <c r="Y593" i="15"/>
  <c r="Y601" i="15" s="1"/>
  <c r="Z593" i="15"/>
  <c r="Z601" i="15" s="1"/>
  <c r="Q593" i="15"/>
  <c r="Q601" i="15" s="1"/>
  <c r="AN593" i="15"/>
  <c r="AN601" i="15" s="1"/>
  <c r="K593" i="15"/>
  <c r="K601" i="15" s="1"/>
  <c r="X593" i="15"/>
  <c r="X601" i="15" s="1"/>
  <c r="M593" i="15"/>
  <c r="M601" i="15" s="1"/>
  <c r="AA593" i="15"/>
  <c r="AA601" i="15" s="1"/>
  <c r="AN70" i="8"/>
  <c r="AN78" i="8" s="1"/>
  <c r="AO70" i="8"/>
  <c r="AO78" i="8" s="1"/>
  <c r="AK70" i="8"/>
  <c r="AK78" i="8" s="1"/>
  <c r="AL70" i="8"/>
  <c r="AL78" i="8" s="1"/>
  <c r="AD70" i="8"/>
  <c r="AD78" i="8" s="1"/>
  <c r="AE70" i="8"/>
  <c r="AE78" i="8" s="1"/>
  <c r="AC70" i="8"/>
  <c r="AC78" i="8" s="1"/>
  <c r="AM70" i="8"/>
  <c r="AM78" i="8" s="1"/>
  <c r="AH70" i="8"/>
  <c r="AH78" i="8" s="1"/>
  <c r="AJ70" i="8"/>
  <c r="AJ78" i="8" s="1"/>
  <c r="AF70" i="8"/>
  <c r="AF78" i="8" s="1"/>
  <c r="AG70" i="8"/>
  <c r="AG78" i="8" s="1"/>
  <c r="AI70" i="8"/>
  <c r="AI78" i="8" s="1"/>
  <c r="T70" i="8"/>
  <c r="T78" i="8" s="1"/>
  <c r="P70" i="8"/>
  <c r="P78" i="8" s="1"/>
  <c r="U70" i="8"/>
  <c r="U78" i="8" s="1"/>
  <c r="Z70" i="8"/>
  <c r="Z78" i="8" s="1"/>
  <c r="S70" i="8"/>
  <c r="S78" i="8" s="1"/>
  <c r="J70" i="8"/>
  <c r="J78" i="8" s="1"/>
  <c r="X70" i="8"/>
  <c r="X78" i="8" s="1"/>
  <c r="V70" i="8"/>
  <c r="V78" i="8" s="1"/>
  <c r="N70" i="8"/>
  <c r="N78" i="8" s="1"/>
  <c r="O70" i="8"/>
  <c r="O78" i="8" s="1"/>
  <c r="K70" i="8"/>
  <c r="K78" i="8" s="1"/>
  <c r="Y70" i="8"/>
  <c r="Y78" i="8" s="1"/>
  <c r="Q70" i="8"/>
  <c r="Q78" i="8" s="1"/>
  <c r="W70" i="8"/>
  <c r="W78" i="8" s="1"/>
  <c r="R70" i="8"/>
  <c r="R78" i="8" s="1"/>
  <c r="AB70" i="8"/>
  <c r="AB78" i="8" s="1"/>
  <c r="AA70" i="8"/>
  <c r="AA78" i="8" s="1"/>
  <c r="L70" i="8"/>
  <c r="L78" i="8" s="1"/>
  <c r="M70" i="8"/>
  <c r="M78" i="8" s="1"/>
  <c r="I70" i="8"/>
  <c r="K886" i="15"/>
  <c r="K894" i="15" s="1"/>
  <c r="I886" i="15"/>
  <c r="I894" i="15" s="1"/>
  <c r="S886" i="15"/>
  <c r="S894" i="15" s="1"/>
  <c r="AN886" i="15"/>
  <c r="AN894" i="15" s="1"/>
  <c r="U886" i="15"/>
  <c r="U894" i="15" s="1"/>
  <c r="AC886" i="15"/>
  <c r="AC894" i="15" s="1"/>
  <c r="AD886" i="15"/>
  <c r="AD894" i="15" s="1"/>
  <c r="X886" i="15"/>
  <c r="X894" i="15" s="1"/>
  <c r="O886" i="15"/>
  <c r="O894" i="15" s="1"/>
  <c r="AM886" i="15"/>
  <c r="AM894" i="15" s="1"/>
  <c r="AE886" i="15"/>
  <c r="AE894" i="15" s="1"/>
  <c r="AH886" i="15"/>
  <c r="AH894" i="15" s="1"/>
  <c r="V886" i="15"/>
  <c r="V894" i="15" s="1"/>
  <c r="AO886" i="15"/>
  <c r="AO894" i="15" s="1"/>
  <c r="Y886" i="15"/>
  <c r="Y894" i="15" s="1"/>
  <c r="W886" i="15"/>
  <c r="W894" i="15" s="1"/>
  <c r="N886" i="15"/>
  <c r="N894" i="15" s="1"/>
  <c r="Z886" i="15"/>
  <c r="Z894" i="15" s="1"/>
  <c r="AG886" i="15"/>
  <c r="AG894" i="15" s="1"/>
  <c r="AK886" i="15"/>
  <c r="AK894" i="15" s="1"/>
  <c r="J886" i="15"/>
  <c r="J894" i="15" s="1"/>
  <c r="L886" i="15"/>
  <c r="L894" i="15" s="1"/>
  <c r="AF886" i="15"/>
  <c r="AF894" i="15" s="1"/>
  <c r="P886" i="15"/>
  <c r="P894" i="15" s="1"/>
  <c r="AJ886" i="15"/>
  <c r="AJ894" i="15" s="1"/>
  <c r="Q886" i="15"/>
  <c r="Q894" i="15" s="1"/>
  <c r="AB886" i="15"/>
  <c r="AB894" i="15" s="1"/>
  <c r="AI886" i="15"/>
  <c r="AI894" i="15" s="1"/>
  <c r="AA886" i="15"/>
  <c r="AA894" i="15" s="1"/>
  <c r="AL886" i="15"/>
  <c r="AL894" i="15" s="1"/>
  <c r="T886" i="15"/>
  <c r="T894" i="15" s="1"/>
  <c r="R886" i="15"/>
  <c r="R894" i="15" s="1"/>
  <c r="M886" i="15"/>
  <c r="M894" i="15" s="1"/>
  <c r="S667" i="16"/>
  <c r="S675" i="16" s="1"/>
  <c r="U667" i="16"/>
  <c r="U675" i="16" s="1"/>
  <c r="AK667" i="16"/>
  <c r="AK675" i="16" s="1"/>
  <c r="O667" i="16"/>
  <c r="O675" i="16" s="1"/>
  <c r="AE667" i="16"/>
  <c r="AE675" i="16" s="1"/>
  <c r="R667" i="16"/>
  <c r="R675" i="16" s="1"/>
  <c r="W667" i="16"/>
  <c r="W675" i="16" s="1"/>
  <c r="AN667" i="16"/>
  <c r="AN675" i="16" s="1"/>
  <c r="AL667" i="16"/>
  <c r="AL675" i="16" s="1"/>
  <c r="K667" i="16"/>
  <c r="K675" i="16" s="1"/>
  <c r="AB667" i="16"/>
  <c r="AB675" i="16" s="1"/>
  <c r="N667" i="16"/>
  <c r="N675" i="16" s="1"/>
  <c r="AC667" i="16"/>
  <c r="AC675" i="16" s="1"/>
  <c r="M667" i="16"/>
  <c r="M675" i="16" s="1"/>
  <c r="X667" i="16"/>
  <c r="X675" i="16" s="1"/>
  <c r="AO667" i="16"/>
  <c r="AO675" i="16" s="1"/>
  <c r="T667" i="16"/>
  <c r="T675" i="16" s="1"/>
  <c r="V667" i="16"/>
  <c r="V675" i="16" s="1"/>
  <c r="Z667" i="16"/>
  <c r="Z675" i="16" s="1"/>
  <c r="AJ667" i="16"/>
  <c r="AJ675" i="16" s="1"/>
  <c r="AM667" i="16"/>
  <c r="AM675" i="16" s="1"/>
  <c r="Q667" i="16"/>
  <c r="Q675" i="16" s="1"/>
  <c r="AA667" i="16"/>
  <c r="AA675" i="16" s="1"/>
  <c r="AH667" i="16"/>
  <c r="AH675" i="16" s="1"/>
  <c r="L667" i="16"/>
  <c r="L675" i="16" s="1"/>
  <c r="AD667" i="16"/>
  <c r="AD675" i="16" s="1"/>
  <c r="I667" i="16"/>
  <c r="I675" i="16" s="1"/>
  <c r="Y667" i="16"/>
  <c r="Y675" i="16" s="1"/>
  <c r="J667" i="16"/>
  <c r="J675" i="16" s="1"/>
  <c r="AI667" i="16"/>
  <c r="AI675" i="16" s="1"/>
  <c r="P667" i="16"/>
  <c r="P675" i="16" s="1"/>
  <c r="AG667" i="16"/>
  <c r="AG675" i="16" s="1"/>
  <c r="AF667" i="16"/>
  <c r="AF675" i="16" s="1"/>
  <c r="R250" i="15"/>
  <c r="R258" i="15" s="1"/>
  <c r="AA250" i="15"/>
  <c r="AA258" i="15" s="1"/>
  <c r="J250" i="15"/>
  <c r="J258" i="15" s="1"/>
  <c r="W250" i="15"/>
  <c r="W258" i="15" s="1"/>
  <c r="P250" i="15"/>
  <c r="P258" i="15" s="1"/>
  <c r="X250" i="15"/>
  <c r="X258" i="15" s="1"/>
  <c r="M250" i="15"/>
  <c r="M258" i="15" s="1"/>
  <c r="AC250" i="15"/>
  <c r="AC258" i="15" s="1"/>
  <c r="N250" i="15"/>
  <c r="N258" i="15" s="1"/>
  <c r="Y250" i="15"/>
  <c r="Y258" i="15" s="1"/>
  <c r="O250" i="15"/>
  <c r="O258" i="15" s="1"/>
  <c r="Z250" i="15"/>
  <c r="Z258" i="15" s="1"/>
  <c r="V250" i="15"/>
  <c r="V258" i="15" s="1"/>
  <c r="T250" i="15"/>
  <c r="T258" i="15" s="1"/>
  <c r="I250" i="15"/>
  <c r="I258" i="15" s="1"/>
  <c r="U250" i="15"/>
  <c r="U258" i="15" s="1"/>
  <c r="L250" i="15"/>
  <c r="L258" i="15" s="1"/>
  <c r="Q250" i="15"/>
  <c r="Q258" i="15" s="1"/>
  <c r="K250" i="15"/>
  <c r="K258" i="15" s="1"/>
  <c r="S250" i="15"/>
  <c r="S258" i="15" s="1"/>
  <c r="AB250" i="15"/>
  <c r="AB258" i="15" s="1"/>
  <c r="AN225" i="16"/>
  <c r="AN233" i="16" s="1"/>
  <c r="V225" i="16"/>
  <c r="V233" i="16" s="1"/>
  <c r="AP225" i="16"/>
  <c r="AP233" i="16" s="1"/>
  <c r="N225" i="16"/>
  <c r="N233" i="16" s="1"/>
  <c r="AF225" i="16"/>
  <c r="AF233" i="16" s="1"/>
  <c r="AA225" i="16"/>
  <c r="AA233" i="16" s="1"/>
  <c r="AD225" i="16"/>
  <c r="AD233" i="16" s="1"/>
  <c r="X225" i="16"/>
  <c r="X233" i="16" s="1"/>
  <c r="P225" i="16"/>
  <c r="P233" i="16" s="1"/>
  <c r="Z225" i="16"/>
  <c r="Z233" i="16" s="1"/>
  <c r="AP490" i="16"/>
  <c r="AP498" i="16" s="1"/>
  <c r="Q225" i="16"/>
  <c r="Q233" i="16" s="1"/>
  <c r="AO225" i="16"/>
  <c r="AO233" i="16" s="1"/>
  <c r="J225" i="16"/>
  <c r="J233" i="16" s="1"/>
  <c r="T225" i="16"/>
  <c r="T233" i="16" s="1"/>
  <c r="AG225" i="16"/>
  <c r="AG233" i="16" s="1"/>
  <c r="AB225" i="16"/>
  <c r="AB233" i="16" s="1"/>
  <c r="AE225" i="16"/>
  <c r="AE233" i="16" s="1"/>
  <c r="K225" i="16"/>
  <c r="K233" i="16" s="1"/>
  <c r="R225" i="16"/>
  <c r="R233" i="16" s="1"/>
  <c r="AC225" i="16"/>
  <c r="AC233" i="16" s="1"/>
  <c r="U225" i="16"/>
  <c r="U233" i="16" s="1"/>
  <c r="AL225" i="16"/>
  <c r="AL233" i="16" s="1"/>
  <c r="O225" i="16"/>
  <c r="O233" i="16" s="1"/>
  <c r="W225" i="16"/>
  <c r="W233" i="16" s="1"/>
  <c r="M225" i="16"/>
  <c r="M233" i="16" s="1"/>
  <c r="AI225" i="16"/>
  <c r="AI233" i="16" s="1"/>
  <c r="S225" i="16"/>
  <c r="S233" i="16" s="1"/>
  <c r="AH225" i="16"/>
  <c r="AH233" i="16" s="1"/>
  <c r="Y225" i="16"/>
  <c r="Y233" i="16" s="1"/>
  <c r="AJ225" i="16"/>
  <c r="AJ233" i="16" s="1"/>
  <c r="AK225" i="16"/>
  <c r="AK233" i="16" s="1"/>
  <c r="AM225" i="16"/>
  <c r="AM233" i="16" s="1"/>
  <c r="L225" i="16"/>
  <c r="L233" i="16" s="1"/>
  <c r="I225" i="16"/>
  <c r="M568" i="15"/>
  <c r="M576" i="15" s="1"/>
  <c r="N568" i="15"/>
  <c r="N576" i="15" s="1"/>
  <c r="R568" i="15"/>
  <c r="R576" i="15" s="1"/>
  <c r="AC568" i="15"/>
  <c r="AC576" i="15" s="1"/>
  <c r="U568" i="15"/>
  <c r="U576" i="15" s="1"/>
  <c r="AK568" i="15"/>
  <c r="AK576" i="15" s="1"/>
  <c r="O568" i="15"/>
  <c r="O576" i="15" s="1"/>
  <c r="AG568" i="15"/>
  <c r="AG576" i="15" s="1"/>
  <c r="J568" i="15"/>
  <c r="J576" i="15" s="1"/>
  <c r="AJ568" i="15"/>
  <c r="AJ576" i="15" s="1"/>
  <c r="AE568" i="15"/>
  <c r="AE576" i="15" s="1"/>
  <c r="K568" i="15"/>
  <c r="K576" i="15" s="1"/>
  <c r="AF568" i="15"/>
  <c r="AF576" i="15" s="1"/>
  <c r="AL568" i="15"/>
  <c r="AL576" i="15" s="1"/>
  <c r="T568" i="15"/>
  <c r="T576" i="15" s="1"/>
  <c r="AI568" i="15"/>
  <c r="AI576" i="15" s="1"/>
  <c r="Q568" i="15"/>
  <c r="Q576" i="15" s="1"/>
  <c r="AH568" i="15"/>
  <c r="AH576" i="15" s="1"/>
  <c r="I568" i="15"/>
  <c r="I576" i="15" s="1"/>
  <c r="Z568" i="15"/>
  <c r="Z576" i="15" s="1"/>
  <c r="L568" i="15"/>
  <c r="L576" i="15" s="1"/>
  <c r="AA568" i="15"/>
  <c r="AA576" i="15" s="1"/>
  <c r="AM568" i="15"/>
  <c r="AM576" i="15" s="1"/>
  <c r="X568" i="15"/>
  <c r="X576" i="15" s="1"/>
  <c r="AN568" i="15"/>
  <c r="AN576" i="15" s="1"/>
  <c r="Y568" i="15"/>
  <c r="Y576" i="15" s="1"/>
  <c r="AO568" i="15"/>
  <c r="AO576" i="15" s="1"/>
  <c r="V568" i="15"/>
  <c r="V576" i="15" s="1"/>
  <c r="W568" i="15"/>
  <c r="W576" i="15" s="1"/>
  <c r="AB568" i="15"/>
  <c r="AB576" i="15" s="1"/>
  <c r="AD568" i="15"/>
  <c r="AD576" i="15" s="1"/>
  <c r="S568" i="15"/>
  <c r="S576" i="15" s="1"/>
  <c r="P568" i="15"/>
  <c r="P576" i="15" s="1"/>
  <c r="Q400" i="16"/>
  <c r="Q408" i="16" s="1"/>
  <c r="AB400" i="16"/>
  <c r="AB408" i="16" s="1"/>
  <c r="V400" i="16"/>
  <c r="V408" i="16" s="1"/>
  <c r="Z400" i="16"/>
  <c r="Z408" i="16" s="1"/>
  <c r="K400" i="16"/>
  <c r="K408" i="16" s="1"/>
  <c r="AC400" i="16"/>
  <c r="AC408" i="16" s="1"/>
  <c r="L400" i="16"/>
  <c r="L408" i="16" s="1"/>
  <c r="U400" i="16"/>
  <c r="U408" i="16" s="1"/>
  <c r="J400" i="16"/>
  <c r="J408" i="16" s="1"/>
  <c r="AJ400" i="16"/>
  <c r="AJ408" i="16" s="1"/>
  <c r="I400" i="16"/>
  <c r="I408" i="16" s="1"/>
  <c r="AO400" i="16"/>
  <c r="AO408" i="16" s="1"/>
  <c r="AM400" i="16"/>
  <c r="AM408" i="16" s="1"/>
  <c r="AL400" i="16"/>
  <c r="AL408" i="16" s="1"/>
  <c r="P400" i="16"/>
  <c r="P408" i="16" s="1"/>
  <c r="AN400" i="16"/>
  <c r="AN408" i="16" s="1"/>
  <c r="AG400" i="16"/>
  <c r="AG408" i="16" s="1"/>
  <c r="AE400" i="16"/>
  <c r="AE408" i="16" s="1"/>
  <c r="AF400" i="16"/>
  <c r="AF408" i="16" s="1"/>
  <c r="AK400" i="16"/>
  <c r="AK408" i="16" s="1"/>
  <c r="O400" i="16"/>
  <c r="O408" i="16" s="1"/>
  <c r="Y400" i="16"/>
  <c r="Y408" i="16" s="1"/>
  <c r="AH400" i="16"/>
  <c r="AH408" i="16" s="1"/>
  <c r="S400" i="16"/>
  <c r="S408" i="16" s="1"/>
  <c r="W400" i="16"/>
  <c r="W408" i="16" s="1"/>
  <c r="M400" i="16"/>
  <c r="M408" i="16" s="1"/>
  <c r="AD400" i="16"/>
  <c r="AD408" i="16" s="1"/>
  <c r="N400" i="16"/>
  <c r="N408" i="16" s="1"/>
  <c r="X400" i="16"/>
  <c r="X408" i="16" s="1"/>
  <c r="T400" i="16"/>
  <c r="T408" i="16" s="1"/>
  <c r="AA400" i="16"/>
  <c r="AA408" i="16" s="1"/>
  <c r="R400" i="16"/>
  <c r="R408" i="16" s="1"/>
  <c r="AI400" i="16"/>
  <c r="AI408" i="16" s="1"/>
  <c r="AJ224" i="16"/>
  <c r="AJ232" i="16" s="1"/>
  <c r="AK224" i="16"/>
  <c r="AK232" i="16" s="1"/>
  <c r="AL224" i="16"/>
  <c r="AL232" i="16" s="1"/>
  <c r="AM224" i="16"/>
  <c r="AM232" i="16" s="1"/>
  <c r="AO224" i="16"/>
  <c r="AO232" i="16" s="1"/>
  <c r="AP224" i="16"/>
  <c r="AP232" i="16" s="1"/>
  <c r="AN224" i="16"/>
  <c r="AN232" i="16" s="1"/>
  <c r="AI224" i="16"/>
  <c r="AI232" i="16" s="1"/>
  <c r="AP489" i="16"/>
  <c r="AP497" i="16" s="1"/>
  <c r="AH224" i="16"/>
  <c r="AH232" i="16" s="1"/>
  <c r="AB224" i="16"/>
  <c r="AB232" i="16" s="1"/>
  <c r="I224" i="16"/>
  <c r="I232" i="16" s="1"/>
  <c r="AC224" i="16"/>
  <c r="AC232" i="16" s="1"/>
  <c r="X224" i="16"/>
  <c r="X232" i="16" s="1"/>
  <c r="N224" i="16"/>
  <c r="N232" i="16" s="1"/>
  <c r="W224" i="16"/>
  <c r="W232" i="16" s="1"/>
  <c r="T224" i="16"/>
  <c r="T232" i="16" s="1"/>
  <c r="Q224" i="16"/>
  <c r="Q232" i="16" s="1"/>
  <c r="Y224" i="16"/>
  <c r="Y232" i="16" s="1"/>
  <c r="R224" i="16"/>
  <c r="R232" i="16" s="1"/>
  <c r="AF224" i="16"/>
  <c r="AF232" i="16" s="1"/>
  <c r="L224" i="16"/>
  <c r="L232" i="16" s="1"/>
  <c r="V224" i="16"/>
  <c r="V232" i="16" s="1"/>
  <c r="AD224" i="16"/>
  <c r="AD232" i="16" s="1"/>
  <c r="P224" i="16"/>
  <c r="P232" i="16" s="1"/>
  <c r="M224" i="16"/>
  <c r="M232" i="16" s="1"/>
  <c r="AA224" i="16"/>
  <c r="AA232" i="16" s="1"/>
  <c r="O224" i="16"/>
  <c r="O232" i="16" s="1"/>
  <c r="K224" i="16"/>
  <c r="K232" i="16" s="1"/>
  <c r="U224" i="16"/>
  <c r="U232" i="16" s="1"/>
  <c r="AE224" i="16"/>
  <c r="AE232" i="16" s="1"/>
  <c r="Z224" i="16"/>
  <c r="Z232" i="16" s="1"/>
  <c r="AG224" i="16"/>
  <c r="AG232" i="16" s="1"/>
  <c r="S224" i="16"/>
  <c r="S232" i="16" s="1"/>
  <c r="J224" i="16"/>
  <c r="J232" i="16" s="1"/>
  <c r="AN100" i="14" l="1"/>
  <c r="AN102" i="14" s="1"/>
  <c r="L100" i="14"/>
  <c r="L102" i="14" s="1"/>
  <c r="J100" i="14"/>
  <c r="J102" i="14" s="1"/>
  <c r="AM100" i="14"/>
  <c r="AM102" i="14" s="1"/>
  <c r="G85" i="17"/>
  <c r="G86" i="17" s="1"/>
  <c r="G95" i="8"/>
  <c r="G96" i="8" s="1"/>
  <c r="G140" i="14"/>
  <c r="G283" i="14"/>
  <c r="G427" i="14"/>
  <c r="AC173" i="8"/>
  <c r="AC175" i="8" s="1"/>
  <c r="G428" i="14"/>
  <c r="G284" i="14"/>
  <c r="G141" i="14"/>
  <c r="V160" i="15"/>
  <c r="AB160" i="15"/>
  <c r="AO160" i="15"/>
  <c r="AG160" i="15"/>
  <c r="X160" i="15"/>
  <c r="AK160" i="15"/>
  <c r="AM160" i="15"/>
  <c r="AL160" i="15"/>
  <c r="AI160" i="15"/>
  <c r="AN160" i="15"/>
  <c r="W160" i="15"/>
  <c r="Z160" i="15"/>
  <c r="AE160" i="15"/>
  <c r="AD160" i="15"/>
  <c r="AH160" i="15"/>
  <c r="U160" i="15"/>
  <c r="AC160" i="15"/>
  <c r="AJ160" i="15"/>
  <c r="AA160" i="15"/>
  <c r="Y160" i="15"/>
  <c r="T160" i="15"/>
  <c r="AF160" i="15"/>
  <c r="G175" i="9"/>
  <c r="AE100" i="14"/>
  <c r="AE102" i="14" s="1"/>
  <c r="G87" i="9"/>
  <c r="AD173" i="8"/>
  <c r="AD175" i="8" s="1"/>
  <c r="M100" i="14"/>
  <c r="M102" i="14" s="1"/>
  <c r="N100" i="14"/>
  <c r="N102" i="14" s="1"/>
  <c r="T100" i="14"/>
  <c r="T102" i="14" s="1"/>
  <c r="X100" i="14"/>
  <c r="X102" i="14" s="1"/>
  <c r="AH100" i="14"/>
  <c r="AH102" i="14" s="1"/>
  <c r="AA100" i="14"/>
  <c r="AA102" i="14" s="1"/>
  <c r="Q100" i="14"/>
  <c r="Q102" i="14" s="1"/>
  <c r="W100" i="14"/>
  <c r="W102" i="14" s="1"/>
  <c r="U173" i="8"/>
  <c r="U175" i="8" s="1"/>
  <c r="Q770" i="16"/>
  <c r="Q772" i="16" s="1"/>
  <c r="AG100" i="14"/>
  <c r="AG102" i="14" s="1"/>
  <c r="Z100" i="14"/>
  <c r="Z102" i="14" s="1"/>
  <c r="AJ100" i="14"/>
  <c r="AJ102" i="14" s="1"/>
  <c r="Y770" i="16"/>
  <c r="Y772" i="16" s="1"/>
  <c r="O100" i="14"/>
  <c r="O102" i="14" s="1"/>
  <c r="AK770" i="16"/>
  <c r="AK772" i="16" s="1"/>
  <c r="AL239" i="16"/>
  <c r="AL241" i="16" s="1"/>
  <c r="N173" i="8"/>
  <c r="N175" i="8" s="1"/>
  <c r="AG239" i="16"/>
  <c r="AG241" i="16" s="1"/>
  <c r="AJ239" i="16"/>
  <c r="AJ241" i="16" s="1"/>
  <c r="AN239" i="16"/>
  <c r="AN241" i="16" s="1"/>
  <c r="W173" i="8"/>
  <c r="W175" i="8" s="1"/>
  <c r="AI173" i="8"/>
  <c r="AI175" i="8" s="1"/>
  <c r="AF770" i="16"/>
  <c r="AF772" i="16" s="1"/>
  <c r="N239" i="16"/>
  <c r="N241" i="16" s="1"/>
  <c r="Z173" i="8"/>
  <c r="Z175" i="8" s="1"/>
  <c r="AN173" i="8"/>
  <c r="AN175" i="8" s="1"/>
  <c r="Z770" i="16"/>
  <c r="Z772" i="16" s="1"/>
  <c r="N605" i="15"/>
  <c r="Q605" i="15" s="1"/>
  <c r="T605" i="15" s="1"/>
  <c r="AL173" i="8"/>
  <c r="AL175" i="8" s="1"/>
  <c r="S100" i="14"/>
  <c r="S102" i="14" s="1"/>
  <c r="M173" i="8"/>
  <c r="M175" i="8" s="1"/>
  <c r="AB173" i="8"/>
  <c r="AB175" i="8" s="1"/>
  <c r="P173" i="8"/>
  <c r="P175" i="8" s="1"/>
  <c r="AK173" i="8"/>
  <c r="AK175" i="8" s="1"/>
  <c r="AK263" i="8"/>
  <c r="AK265" i="8" s="1"/>
  <c r="AP239" i="16"/>
  <c r="AP241" i="16" s="1"/>
  <c r="S173" i="8"/>
  <c r="S175" i="8" s="1"/>
  <c r="L770" i="16"/>
  <c r="L772" i="16" s="1"/>
  <c r="AB770" i="16"/>
  <c r="AB772" i="16" s="1"/>
  <c r="L605" i="15"/>
  <c r="L606" i="15" s="1"/>
  <c r="L608" i="15" s="1"/>
  <c r="Y100" i="14"/>
  <c r="Y102" i="14" s="1"/>
  <c r="Z162" i="9"/>
  <c r="Z164" i="9" s="1"/>
  <c r="O242" i="14"/>
  <c r="O244" i="14" s="1"/>
  <c r="Y242" i="14"/>
  <c r="Y244" i="14" s="1"/>
  <c r="K242" i="14"/>
  <c r="K244" i="14" s="1"/>
  <c r="W242" i="14"/>
  <c r="W244" i="14" s="1"/>
  <c r="AC413" i="14"/>
  <c r="AC415" i="14" s="1"/>
  <c r="M413" i="14"/>
  <c r="M415" i="14" s="1"/>
  <c r="AP413" i="14"/>
  <c r="AP415" i="14" s="1"/>
  <c r="W487" i="15"/>
  <c r="W488" i="15" s="1"/>
  <c r="AF487" i="15"/>
  <c r="AF488" i="15" s="1"/>
  <c r="I487" i="15"/>
  <c r="I488" i="15" s="1"/>
  <c r="I676" i="16"/>
  <c r="I677" i="16" s="1"/>
  <c r="AF676" i="16"/>
  <c r="AF677" i="16" s="1"/>
  <c r="N74" i="9"/>
  <c r="N76" i="9" s="1"/>
  <c r="AD74" i="9"/>
  <c r="AD76" i="9" s="1"/>
  <c r="V250" i="9"/>
  <c r="V252" i="9" s="1"/>
  <c r="W250" i="9"/>
  <c r="W252" i="9" s="1"/>
  <c r="AM250" i="9"/>
  <c r="AM252" i="9" s="1"/>
  <c r="K239" i="16"/>
  <c r="K241" i="16" s="1"/>
  <c r="W770" i="16"/>
  <c r="W772" i="16" s="1"/>
  <c r="R770" i="16"/>
  <c r="R772" i="16" s="1"/>
  <c r="S80" i="7"/>
  <c r="S82" i="7" s="1"/>
  <c r="AB80" i="7"/>
  <c r="AB82" i="7" s="1"/>
  <c r="L170" i="7"/>
  <c r="L172" i="7" s="1"/>
  <c r="AG170" i="7"/>
  <c r="AG172" i="7" s="1"/>
  <c r="AK170" i="7"/>
  <c r="AK172" i="7" s="1"/>
  <c r="W263" i="8"/>
  <c r="W265" i="8" s="1"/>
  <c r="AO263" i="8"/>
  <c r="AO265" i="8" s="1"/>
  <c r="U82" i="8"/>
  <c r="U84" i="8" s="1"/>
  <c r="O82" i="8"/>
  <c r="O84" i="8" s="1"/>
  <c r="AJ924" i="15"/>
  <c r="AJ926" i="15" s="1"/>
  <c r="P924" i="15"/>
  <c r="P926" i="15" s="1"/>
  <c r="U924" i="15"/>
  <c r="U926" i="15" s="1"/>
  <c r="AK924" i="15"/>
  <c r="AK926" i="15" s="1"/>
  <c r="J410" i="16"/>
  <c r="J411" i="16" s="1"/>
  <c r="M410" i="16"/>
  <c r="M411" i="16" s="1"/>
  <c r="AG410" i="16"/>
  <c r="AG411" i="16" s="1"/>
  <c r="K288" i="15"/>
  <c r="K290" i="15" s="1"/>
  <c r="Z288" i="15"/>
  <c r="Z290" i="15" s="1"/>
  <c r="AH288" i="15"/>
  <c r="AH290" i="15" s="1"/>
  <c r="L504" i="16"/>
  <c r="L506" i="16" s="1"/>
  <c r="AB504" i="16"/>
  <c r="AB506" i="16" s="1"/>
  <c r="AM504" i="16"/>
  <c r="AM506" i="16" s="1"/>
  <c r="AF126" i="14"/>
  <c r="AF128" i="14" s="1"/>
  <c r="AJ126" i="14"/>
  <c r="AJ128" i="14" s="1"/>
  <c r="AE268" i="14"/>
  <c r="AE270" i="14" s="1"/>
  <c r="AB268" i="14"/>
  <c r="AB270" i="14" s="1"/>
  <c r="AP268" i="14"/>
  <c r="AP270" i="14" s="1"/>
  <c r="AO268" i="14"/>
  <c r="AO270" i="14" s="1"/>
  <c r="AF257" i="7"/>
  <c r="AF259" i="7" s="1"/>
  <c r="X257" i="7"/>
  <c r="X259" i="7" s="1"/>
  <c r="AO239" i="16"/>
  <c r="AO241" i="16" s="1"/>
  <c r="O239" i="16"/>
  <c r="O241" i="16" s="1"/>
  <c r="T770" i="16"/>
  <c r="T772" i="16" s="1"/>
  <c r="P100" i="14"/>
  <c r="P102" i="14" s="1"/>
  <c r="AC100" i="14"/>
  <c r="AC102" i="14" s="1"/>
  <c r="X239" i="16"/>
  <c r="X241" i="16" s="1"/>
  <c r="AF239" i="16"/>
  <c r="AF241" i="16" s="1"/>
  <c r="AM173" i="8"/>
  <c r="AM175" i="8" s="1"/>
  <c r="P770" i="16"/>
  <c r="P772" i="16" s="1"/>
  <c r="AC239" i="16"/>
  <c r="AC241" i="16" s="1"/>
  <c r="AH239" i="16"/>
  <c r="AH241" i="16" s="1"/>
  <c r="K173" i="8"/>
  <c r="K175" i="8" s="1"/>
  <c r="AG173" i="8"/>
  <c r="AG175" i="8" s="1"/>
  <c r="AH770" i="16"/>
  <c r="AH772" i="16" s="1"/>
  <c r="X173" i="8"/>
  <c r="X175" i="8" s="1"/>
  <c r="AE170" i="7"/>
  <c r="AE172" i="7" s="1"/>
  <c r="AK100" i="14"/>
  <c r="AK102" i="14" s="1"/>
  <c r="AG263" i="8"/>
  <c r="AG265" i="8" s="1"/>
  <c r="Z82" i="8"/>
  <c r="Z84" i="8" s="1"/>
  <c r="AM163" i="15"/>
  <c r="AM159" i="15"/>
  <c r="G163" i="8"/>
  <c r="I171" i="8"/>
  <c r="G171" i="8" s="1"/>
  <c r="R239" i="16"/>
  <c r="R241" i="16" s="1"/>
  <c r="AM239" i="16"/>
  <c r="AM241" i="16" s="1"/>
  <c r="I78" i="8"/>
  <c r="AF173" i="8"/>
  <c r="AF175" i="8" s="1"/>
  <c r="AE173" i="8"/>
  <c r="AE175" i="8" s="1"/>
  <c r="V173" i="8"/>
  <c r="V175" i="8" s="1"/>
  <c r="U770" i="16"/>
  <c r="U772" i="16" s="1"/>
  <c r="AL770" i="16"/>
  <c r="AL772" i="16" s="1"/>
  <c r="AP770" i="16"/>
  <c r="AP772" i="16" s="1"/>
  <c r="U80" i="7"/>
  <c r="U82" i="7" s="1"/>
  <c r="M80" i="7"/>
  <c r="M82" i="7" s="1"/>
  <c r="G303" i="15"/>
  <c r="I282" i="15"/>
  <c r="I288" i="15" s="1"/>
  <c r="I290" i="15" s="1"/>
  <c r="O170" i="7"/>
  <c r="O172" i="7" s="1"/>
  <c r="W170" i="7"/>
  <c r="W172" i="7" s="1"/>
  <c r="R170" i="7"/>
  <c r="R172" i="7" s="1"/>
  <c r="AM170" i="7"/>
  <c r="AM172" i="7" s="1"/>
  <c r="I257" i="8"/>
  <c r="I263" i="8" s="1"/>
  <c r="I265" i="8" s="1"/>
  <c r="G276" i="8"/>
  <c r="P263" i="8"/>
  <c r="P265" i="8" s="1"/>
  <c r="AB263" i="8"/>
  <c r="AB265" i="8" s="1"/>
  <c r="M263" i="8"/>
  <c r="M265" i="8" s="1"/>
  <c r="AJ263" i="8"/>
  <c r="AJ265" i="8" s="1"/>
  <c r="M729" i="16"/>
  <c r="M737" i="16" s="1"/>
  <c r="V729" i="16"/>
  <c r="V737" i="16" s="1"/>
  <c r="T729" i="16"/>
  <c r="T737" i="16" s="1"/>
  <c r="Z729" i="16"/>
  <c r="Z737" i="16" s="1"/>
  <c r="L729" i="16"/>
  <c r="L737" i="16" s="1"/>
  <c r="K729" i="16"/>
  <c r="K737" i="16" s="1"/>
  <c r="J729" i="16"/>
  <c r="J737" i="16" s="1"/>
  <c r="Y729" i="16"/>
  <c r="Y737" i="16" s="1"/>
  <c r="AC729" i="16"/>
  <c r="AC737" i="16" s="1"/>
  <c r="R729" i="16"/>
  <c r="R737" i="16" s="1"/>
  <c r="P729" i="16"/>
  <c r="P737" i="16" s="1"/>
  <c r="N729" i="16"/>
  <c r="N737" i="16" s="1"/>
  <c r="O729" i="16"/>
  <c r="O737" i="16" s="1"/>
  <c r="AA729" i="16"/>
  <c r="AA737" i="16" s="1"/>
  <c r="AB729" i="16"/>
  <c r="AB737" i="16" s="1"/>
  <c r="W729" i="16"/>
  <c r="W737" i="16" s="1"/>
  <c r="U729" i="16"/>
  <c r="U737" i="16" s="1"/>
  <c r="Q729" i="16"/>
  <c r="Q737" i="16" s="1"/>
  <c r="S729" i="16"/>
  <c r="S737" i="16" s="1"/>
  <c r="X729" i="16"/>
  <c r="X737" i="16" s="1"/>
  <c r="I729" i="16"/>
  <c r="J82" i="8"/>
  <c r="J84" i="8" s="1"/>
  <c r="K82" i="8"/>
  <c r="K84" i="8" s="1"/>
  <c r="AE82" i="8"/>
  <c r="AE84" i="8" s="1"/>
  <c r="AK82" i="8"/>
  <c r="AK84" i="8" s="1"/>
  <c r="J606" i="15"/>
  <c r="J608" i="15" s="1"/>
  <c r="AN924" i="15"/>
  <c r="AN926" i="15" s="1"/>
  <c r="AI924" i="15"/>
  <c r="AI926" i="15" s="1"/>
  <c r="L924" i="15"/>
  <c r="L926" i="15" s="1"/>
  <c r="AH924" i="15"/>
  <c r="AH926" i="15" s="1"/>
  <c r="AM924" i="15"/>
  <c r="AM926" i="15" s="1"/>
  <c r="I120" i="14"/>
  <c r="I126" i="14" s="1"/>
  <c r="I128" i="14" s="1"/>
  <c r="U410" i="16"/>
  <c r="U411" i="16" s="1"/>
  <c r="O410" i="16"/>
  <c r="O411" i="16" s="1"/>
  <c r="P410" i="16"/>
  <c r="P411" i="16" s="1"/>
  <c r="AM410" i="16"/>
  <c r="AM411" i="16" s="1"/>
  <c r="W288" i="15"/>
  <c r="W290" i="15" s="1"/>
  <c r="AD288" i="15"/>
  <c r="AD290" i="15" s="1"/>
  <c r="R288" i="15"/>
  <c r="R290" i="15" s="1"/>
  <c r="AL288" i="15"/>
  <c r="AL290" i="15" s="1"/>
  <c r="Q504" i="16"/>
  <c r="Q506" i="16" s="1"/>
  <c r="P504" i="16"/>
  <c r="P506" i="16" s="1"/>
  <c r="J504" i="16"/>
  <c r="J506" i="16" s="1"/>
  <c r="AO504" i="16"/>
  <c r="AO506" i="16" s="1"/>
  <c r="G263" i="9"/>
  <c r="I244" i="9"/>
  <c r="I250" i="9" s="1"/>
  <c r="I252" i="9" s="1"/>
  <c r="U100" i="14"/>
  <c r="U102" i="14" s="1"/>
  <c r="Z126" i="14"/>
  <c r="Z128" i="14" s="1"/>
  <c r="AA126" i="14"/>
  <c r="AA128" i="14" s="1"/>
  <c r="AN126" i="14"/>
  <c r="AN128" i="14" s="1"/>
  <c r="AG268" i="14"/>
  <c r="AG270" i="14" s="1"/>
  <c r="J268" i="14"/>
  <c r="J270" i="14" s="1"/>
  <c r="AM268" i="14"/>
  <c r="AM270" i="14" s="1"/>
  <c r="AO449" i="15"/>
  <c r="AO457" i="15" s="1"/>
  <c r="AO464" i="15" s="1"/>
  <c r="AO465" i="15" s="1"/>
  <c r="U449" i="15"/>
  <c r="U457" i="15" s="1"/>
  <c r="U464" i="15" s="1"/>
  <c r="U465" i="15" s="1"/>
  <c r="J449" i="15"/>
  <c r="J457" i="15" s="1"/>
  <c r="J464" i="15" s="1"/>
  <c r="J465" i="15" s="1"/>
  <c r="AJ449" i="15"/>
  <c r="AJ457" i="15" s="1"/>
  <c r="AJ464" i="15" s="1"/>
  <c r="AJ465" i="15" s="1"/>
  <c r="S449" i="15"/>
  <c r="S457" i="15" s="1"/>
  <c r="S464" i="15" s="1"/>
  <c r="S465" i="15" s="1"/>
  <c r="Q449" i="15"/>
  <c r="Q457" i="15" s="1"/>
  <c r="Q464" i="15" s="1"/>
  <c r="Q465" i="15" s="1"/>
  <c r="W449" i="15"/>
  <c r="W457" i="15" s="1"/>
  <c r="W464" i="15" s="1"/>
  <c r="W465" i="15" s="1"/>
  <c r="AI449" i="15"/>
  <c r="AI457" i="15" s="1"/>
  <c r="AI464" i="15" s="1"/>
  <c r="AI465" i="15" s="1"/>
  <c r="AL449" i="15"/>
  <c r="AL457" i="15" s="1"/>
  <c r="AL464" i="15" s="1"/>
  <c r="AL465" i="15" s="1"/>
  <c r="AM449" i="15"/>
  <c r="AM457" i="15" s="1"/>
  <c r="AM464" i="15" s="1"/>
  <c r="AM465" i="15" s="1"/>
  <c r="M449" i="15"/>
  <c r="M457" i="15" s="1"/>
  <c r="M464" i="15" s="1"/>
  <c r="M465" i="15" s="1"/>
  <c r="V449" i="15"/>
  <c r="V457" i="15" s="1"/>
  <c r="V464" i="15" s="1"/>
  <c r="V465" i="15" s="1"/>
  <c r="L449" i="15"/>
  <c r="L457" i="15" s="1"/>
  <c r="L464" i="15" s="1"/>
  <c r="L465" i="15" s="1"/>
  <c r="AB449" i="15"/>
  <c r="AB457" i="15" s="1"/>
  <c r="AB464" i="15" s="1"/>
  <c r="AB465" i="15" s="1"/>
  <c r="I449" i="15"/>
  <c r="I457" i="15" s="1"/>
  <c r="I464" i="15" s="1"/>
  <c r="I465" i="15" s="1"/>
  <c r="N449" i="15"/>
  <c r="N457" i="15" s="1"/>
  <c r="N464" i="15" s="1"/>
  <c r="N465" i="15" s="1"/>
  <c r="T449" i="15"/>
  <c r="T457" i="15" s="1"/>
  <c r="T464" i="15" s="1"/>
  <c r="T465" i="15" s="1"/>
  <c r="K449" i="15"/>
  <c r="K457" i="15" s="1"/>
  <c r="K464" i="15" s="1"/>
  <c r="K465" i="15" s="1"/>
  <c r="O449" i="15"/>
  <c r="O457" i="15" s="1"/>
  <c r="O464" i="15" s="1"/>
  <c r="O465" i="15" s="1"/>
  <c r="AA449" i="15"/>
  <c r="AA457" i="15" s="1"/>
  <c r="AA464" i="15" s="1"/>
  <c r="AA465" i="15" s="1"/>
  <c r="AC449" i="15"/>
  <c r="AC457" i="15" s="1"/>
  <c r="AC464" i="15" s="1"/>
  <c r="AC465" i="15" s="1"/>
  <c r="AH449" i="15"/>
  <c r="AH457" i="15" s="1"/>
  <c r="AH464" i="15" s="1"/>
  <c r="AH465" i="15" s="1"/>
  <c r="AN449" i="15"/>
  <c r="AN457" i="15" s="1"/>
  <c r="AN464" i="15" s="1"/>
  <c r="AN465" i="15" s="1"/>
  <c r="AG449" i="15"/>
  <c r="AG457" i="15" s="1"/>
  <c r="AG464" i="15" s="1"/>
  <c r="AG465" i="15" s="1"/>
  <c r="R449" i="15"/>
  <c r="R457" i="15" s="1"/>
  <c r="R464" i="15" s="1"/>
  <c r="R465" i="15" s="1"/>
  <c r="AK449" i="15"/>
  <c r="AK457" i="15" s="1"/>
  <c r="AK464" i="15" s="1"/>
  <c r="AK465" i="15" s="1"/>
  <c r="Z449" i="15"/>
  <c r="Z457" i="15" s="1"/>
  <c r="Z464" i="15" s="1"/>
  <c r="Z465" i="15" s="1"/>
  <c r="AE449" i="15"/>
  <c r="AE457" i="15" s="1"/>
  <c r="AE464" i="15" s="1"/>
  <c r="AE465" i="15" s="1"/>
  <c r="X449" i="15"/>
  <c r="X457" i="15" s="1"/>
  <c r="X464" i="15" s="1"/>
  <c r="X465" i="15" s="1"/>
  <c r="P449" i="15"/>
  <c r="P457" i="15" s="1"/>
  <c r="P464" i="15" s="1"/>
  <c r="P465" i="15" s="1"/>
  <c r="AF449" i="15"/>
  <c r="AF457" i="15" s="1"/>
  <c r="AF464" i="15" s="1"/>
  <c r="AF465" i="15" s="1"/>
  <c r="AD449" i="15"/>
  <c r="AD457" i="15" s="1"/>
  <c r="AD464" i="15" s="1"/>
  <c r="AD465" i="15" s="1"/>
  <c r="Y449" i="15"/>
  <c r="Y457" i="15" s="1"/>
  <c r="Y464" i="15" s="1"/>
  <c r="Y465" i="15" s="1"/>
  <c r="AB257" i="7"/>
  <c r="AB259" i="7" s="1"/>
  <c r="Y257" i="7"/>
  <c r="Y259" i="7" s="1"/>
  <c r="P257" i="7"/>
  <c r="P259" i="7" s="1"/>
  <c r="AI257" i="7"/>
  <c r="AI259" i="7" s="1"/>
  <c r="I80" i="8"/>
  <c r="I167" i="7"/>
  <c r="G167" i="7" s="1"/>
  <c r="G159" i="7"/>
  <c r="AB159" i="15"/>
  <c r="AB163" i="15"/>
  <c r="I163" i="15"/>
  <c r="I159" i="15"/>
  <c r="Z159" i="15"/>
  <c r="Z163" i="15"/>
  <c r="AH163" i="15"/>
  <c r="AH159" i="15"/>
  <c r="O162" i="9"/>
  <c r="O164" i="9" s="1"/>
  <c r="U162" i="9"/>
  <c r="U164" i="9" s="1"/>
  <c r="Q162" i="9"/>
  <c r="Q164" i="9" s="1"/>
  <c r="AI162" i="9"/>
  <c r="AI164" i="9" s="1"/>
  <c r="I242" i="14"/>
  <c r="I244" i="14" s="1"/>
  <c r="AD242" i="14"/>
  <c r="AD244" i="14" s="1"/>
  <c r="AC242" i="14"/>
  <c r="AC244" i="14" s="1"/>
  <c r="AJ242" i="14"/>
  <c r="AJ244" i="14" s="1"/>
  <c r="I918" i="15"/>
  <c r="I924" i="15" s="1"/>
  <c r="I926" i="15" s="1"/>
  <c r="G939" i="15"/>
  <c r="G186" i="8"/>
  <c r="G159" i="8"/>
  <c r="I167" i="8"/>
  <c r="G167" i="8" s="1"/>
  <c r="X413" i="14"/>
  <c r="X415" i="14" s="1"/>
  <c r="AG413" i="14"/>
  <c r="AG415" i="14" s="1"/>
  <c r="Y413" i="14"/>
  <c r="Y415" i="14" s="1"/>
  <c r="AM413" i="14"/>
  <c r="AM415" i="14" s="1"/>
  <c r="AI413" i="14"/>
  <c r="AI415" i="14" s="1"/>
  <c r="K135" i="16"/>
  <c r="K131" i="16"/>
  <c r="S135" i="16"/>
  <c r="S131" i="16"/>
  <c r="M135" i="16"/>
  <c r="M131" i="16"/>
  <c r="AN135" i="16"/>
  <c r="AN131" i="16"/>
  <c r="I68" i="9"/>
  <c r="I74" i="9" s="1"/>
  <c r="I76" i="9" s="1"/>
  <c r="G248" i="7"/>
  <c r="I256" i="7"/>
  <c r="G256" i="7" s="1"/>
  <c r="AJ487" i="15"/>
  <c r="AJ488" i="15" s="1"/>
  <c r="Q487" i="15"/>
  <c r="Q488" i="15" s="1"/>
  <c r="O487" i="15"/>
  <c r="O488" i="15" s="1"/>
  <c r="V487" i="15"/>
  <c r="V488" i="15" s="1"/>
  <c r="G243" i="7"/>
  <c r="I251" i="7"/>
  <c r="G251" i="7" s="1"/>
  <c r="G269" i="7"/>
  <c r="Z676" i="16"/>
  <c r="Z677" i="16" s="1"/>
  <c r="T676" i="16"/>
  <c r="T677" i="16" s="1"/>
  <c r="X676" i="16"/>
  <c r="X677" i="16" s="1"/>
  <c r="AJ676" i="16"/>
  <c r="AJ677" i="16" s="1"/>
  <c r="S74" i="9"/>
  <c r="S76" i="9" s="1"/>
  <c r="Y74" i="9"/>
  <c r="Y76" i="9" s="1"/>
  <c r="K74" i="9"/>
  <c r="K76" i="9" s="1"/>
  <c r="AI74" i="9"/>
  <c r="AI76" i="9" s="1"/>
  <c r="AC250" i="9"/>
  <c r="AC252" i="9" s="1"/>
  <c r="R250" i="9"/>
  <c r="R252" i="9" s="1"/>
  <c r="AO250" i="9"/>
  <c r="AO252" i="9" s="1"/>
  <c r="G155" i="7"/>
  <c r="I163" i="7"/>
  <c r="AJ82" i="8"/>
  <c r="AJ84" i="8" s="1"/>
  <c r="G246" i="7"/>
  <c r="I254" i="7"/>
  <c r="G254" i="7" s="1"/>
  <c r="AO410" i="16"/>
  <c r="AO411" i="16" s="1"/>
  <c r="Q268" i="14"/>
  <c r="Q270" i="14" s="1"/>
  <c r="AG159" i="15"/>
  <c r="AG163" i="15"/>
  <c r="J131" i="16"/>
  <c r="J135" i="16"/>
  <c r="AO676" i="16"/>
  <c r="AO677" i="16" s="1"/>
  <c r="AA239" i="16"/>
  <c r="AA241" i="16" s="1"/>
  <c r="Y239" i="16"/>
  <c r="Y241" i="16" s="1"/>
  <c r="AB239" i="16"/>
  <c r="AB241" i="16" s="1"/>
  <c r="O173" i="8"/>
  <c r="O175" i="8" s="1"/>
  <c r="T173" i="8"/>
  <c r="T175" i="8" s="1"/>
  <c r="Q173" i="8"/>
  <c r="Q175" i="8" s="1"/>
  <c r="AA173" i="8"/>
  <c r="AA175" i="8" s="1"/>
  <c r="X770" i="16"/>
  <c r="X772" i="16" s="1"/>
  <c r="AE770" i="16"/>
  <c r="AE772" i="16" s="1"/>
  <c r="AO770" i="16"/>
  <c r="AO772" i="16" s="1"/>
  <c r="P80" i="7"/>
  <c r="P82" i="7" s="1"/>
  <c r="R80" i="7"/>
  <c r="R82" i="7" s="1"/>
  <c r="Z170" i="7"/>
  <c r="Z172" i="7" s="1"/>
  <c r="X170" i="7"/>
  <c r="X172" i="7" s="1"/>
  <c r="AD170" i="7"/>
  <c r="AD172" i="7" s="1"/>
  <c r="AH170" i="7"/>
  <c r="AH172" i="7" s="1"/>
  <c r="U263" i="8"/>
  <c r="U265" i="8" s="1"/>
  <c r="AD263" i="8"/>
  <c r="AD265" i="8" s="1"/>
  <c r="AE263" i="8"/>
  <c r="AE265" i="8" s="1"/>
  <c r="AL263" i="8"/>
  <c r="AL265" i="8" s="1"/>
  <c r="O639" i="16"/>
  <c r="AA639" i="16"/>
  <c r="Z639" i="16"/>
  <c r="P639" i="16"/>
  <c r="AO639" i="16"/>
  <c r="AB639" i="16"/>
  <c r="J639" i="16"/>
  <c r="T639" i="16"/>
  <c r="W639" i="16"/>
  <c r="AM639" i="16"/>
  <c r="AK639" i="16"/>
  <c r="V639" i="16"/>
  <c r="N639" i="16"/>
  <c r="AE639" i="16"/>
  <c r="X639" i="16"/>
  <c r="AC639" i="16"/>
  <c r="AI639" i="16"/>
  <c r="K639" i="16"/>
  <c r="AD639" i="16"/>
  <c r="M639" i="16"/>
  <c r="Y639" i="16"/>
  <c r="AH639" i="16"/>
  <c r="AG639" i="16"/>
  <c r="L639" i="16"/>
  <c r="AN639" i="16"/>
  <c r="AJ639" i="16"/>
  <c r="AL639" i="16"/>
  <c r="U639" i="16"/>
  <c r="AF639" i="16"/>
  <c r="Q639" i="16"/>
  <c r="S639" i="16"/>
  <c r="R639" i="16"/>
  <c r="I639" i="16"/>
  <c r="AA82" i="8"/>
  <c r="AA84" i="8" s="1"/>
  <c r="M82" i="8"/>
  <c r="M84" i="8" s="1"/>
  <c r="S82" i="8"/>
  <c r="S84" i="8" s="1"/>
  <c r="AI82" i="8"/>
  <c r="AI84" i="8" s="1"/>
  <c r="K606" i="15"/>
  <c r="K608" i="15" s="1"/>
  <c r="G519" i="16"/>
  <c r="I498" i="16"/>
  <c r="I504" i="16" s="1"/>
  <c r="I506" i="16" s="1"/>
  <c r="AA924" i="15"/>
  <c r="AA926" i="15" s="1"/>
  <c r="AB924" i="15"/>
  <c r="AB926" i="15" s="1"/>
  <c r="AP924" i="15"/>
  <c r="AP926" i="15" s="1"/>
  <c r="S924" i="15"/>
  <c r="S926" i="15" s="1"/>
  <c r="O924" i="15"/>
  <c r="O926" i="15" s="1"/>
  <c r="W410" i="16"/>
  <c r="W411" i="16" s="1"/>
  <c r="Z410" i="16"/>
  <c r="Z411" i="16" s="1"/>
  <c r="AC410" i="16"/>
  <c r="AC411" i="16" s="1"/>
  <c r="AI410" i="16"/>
  <c r="AI411" i="16" s="1"/>
  <c r="V288" i="15"/>
  <c r="V290" i="15" s="1"/>
  <c r="AA288" i="15"/>
  <c r="AA290" i="15" s="1"/>
  <c r="AB288" i="15"/>
  <c r="AB290" i="15" s="1"/>
  <c r="AN288" i="15"/>
  <c r="AN290" i="15" s="1"/>
  <c r="Y504" i="16"/>
  <c r="Y506" i="16" s="1"/>
  <c r="K504" i="16"/>
  <c r="K506" i="16" s="1"/>
  <c r="N504" i="16"/>
  <c r="N506" i="16" s="1"/>
  <c r="AD504" i="16"/>
  <c r="AD506" i="16" s="1"/>
  <c r="AI504" i="16"/>
  <c r="AI506" i="16" s="1"/>
  <c r="AF100" i="14"/>
  <c r="AF102" i="14" s="1"/>
  <c r="W126" i="14"/>
  <c r="W128" i="14" s="1"/>
  <c r="P126" i="14"/>
  <c r="P128" i="14" s="1"/>
  <c r="N126" i="14"/>
  <c r="N128" i="14" s="1"/>
  <c r="AK126" i="14"/>
  <c r="AK128" i="14" s="1"/>
  <c r="AF268" i="14"/>
  <c r="AF270" i="14" s="1"/>
  <c r="O268" i="14"/>
  <c r="O270" i="14" s="1"/>
  <c r="U268" i="14"/>
  <c r="U270" i="14" s="1"/>
  <c r="AL268" i="14"/>
  <c r="AL270" i="14" s="1"/>
  <c r="AK564" i="15"/>
  <c r="AN564" i="15"/>
  <c r="AJ564" i="15"/>
  <c r="AH564" i="15"/>
  <c r="AM564" i="15"/>
  <c r="AI564" i="15"/>
  <c r="AO564" i="15"/>
  <c r="AC564" i="15"/>
  <c r="L564" i="15"/>
  <c r="P564" i="15"/>
  <c r="S564" i="15"/>
  <c r="AL564" i="15"/>
  <c r="N564" i="15"/>
  <c r="W564" i="15"/>
  <c r="M564" i="15"/>
  <c r="AD564" i="15"/>
  <c r="AG564" i="15"/>
  <c r="V564" i="15"/>
  <c r="AA564" i="15"/>
  <c r="Y564" i="15"/>
  <c r="AE564" i="15"/>
  <c r="K564" i="15"/>
  <c r="K572" i="15" s="1"/>
  <c r="K579" i="15" s="1"/>
  <c r="K581" i="15" s="1"/>
  <c r="AB564" i="15"/>
  <c r="Q564" i="15"/>
  <c r="R564" i="15"/>
  <c r="I564" i="15"/>
  <c r="I572" i="15" s="1"/>
  <c r="X564" i="15"/>
  <c r="AF564" i="15"/>
  <c r="U564" i="15"/>
  <c r="Z564" i="15"/>
  <c r="J564" i="15"/>
  <c r="J572" i="15" s="1"/>
  <c r="J579" i="15" s="1"/>
  <c r="J581" i="15" s="1"/>
  <c r="T564" i="15"/>
  <c r="O564" i="15"/>
  <c r="R257" i="7"/>
  <c r="R259" i="7" s="1"/>
  <c r="M257" i="7"/>
  <c r="M259" i="7" s="1"/>
  <c r="T257" i="7"/>
  <c r="T259" i="7" s="1"/>
  <c r="AM257" i="7"/>
  <c r="AM259" i="7" s="1"/>
  <c r="S163" i="15"/>
  <c r="S159" i="15"/>
  <c r="AA163" i="15"/>
  <c r="AA159" i="15"/>
  <c r="U159" i="15"/>
  <c r="U163" i="15"/>
  <c r="AJ159" i="15"/>
  <c r="AJ163" i="15"/>
  <c r="T162" i="9"/>
  <c r="T164" i="9" s="1"/>
  <c r="L162" i="9"/>
  <c r="L164" i="9" s="1"/>
  <c r="S162" i="9"/>
  <c r="S164" i="9" s="1"/>
  <c r="AH162" i="9"/>
  <c r="AH164" i="9" s="1"/>
  <c r="AF242" i="14"/>
  <c r="AF244" i="14" s="1"/>
  <c r="AG242" i="14"/>
  <c r="AG244" i="14" s="1"/>
  <c r="AE242" i="14"/>
  <c r="AE244" i="14" s="1"/>
  <c r="AL242" i="14"/>
  <c r="AL244" i="14" s="1"/>
  <c r="R413" i="14"/>
  <c r="R415" i="14" s="1"/>
  <c r="AE413" i="14"/>
  <c r="AE415" i="14" s="1"/>
  <c r="W413" i="14"/>
  <c r="W415" i="14" s="1"/>
  <c r="AH413" i="14"/>
  <c r="AH415" i="14" s="1"/>
  <c r="AB131" i="16"/>
  <c r="AB135" i="16"/>
  <c r="L135" i="16"/>
  <c r="L131" i="16"/>
  <c r="AG135" i="16"/>
  <c r="AG131" i="16"/>
  <c r="P135" i="16"/>
  <c r="P131" i="16"/>
  <c r="G157" i="7"/>
  <c r="I165" i="7"/>
  <c r="G165" i="7" s="1"/>
  <c r="X487" i="15"/>
  <c r="X488" i="15" s="1"/>
  <c r="M487" i="15"/>
  <c r="M488" i="15" s="1"/>
  <c r="L487" i="15"/>
  <c r="L488" i="15" s="1"/>
  <c r="Y487" i="15"/>
  <c r="Y488" i="15" s="1"/>
  <c r="W676" i="16"/>
  <c r="W677" i="16" s="1"/>
  <c r="L676" i="16"/>
  <c r="L677" i="16" s="1"/>
  <c r="S676" i="16"/>
  <c r="S677" i="16" s="1"/>
  <c r="AK676" i="16"/>
  <c r="AK677" i="16" s="1"/>
  <c r="P74" i="9"/>
  <c r="P76" i="9" s="1"/>
  <c r="Z74" i="9"/>
  <c r="Z76" i="9" s="1"/>
  <c r="M74" i="9"/>
  <c r="M76" i="9" s="1"/>
  <c r="AH74" i="9"/>
  <c r="AH76" i="9" s="1"/>
  <c r="L804" i="15"/>
  <c r="O804" i="15" s="1"/>
  <c r="R804" i="15" s="1"/>
  <c r="M250" i="9"/>
  <c r="M252" i="9" s="1"/>
  <c r="AE250" i="9"/>
  <c r="AE252" i="9" s="1"/>
  <c r="AD250" i="9"/>
  <c r="AD252" i="9" s="1"/>
  <c r="AH250" i="9"/>
  <c r="AH252" i="9" s="1"/>
  <c r="I253" i="7"/>
  <c r="G253" i="7" s="1"/>
  <c r="G245" i="7"/>
  <c r="O163" i="15"/>
  <c r="O159" i="15"/>
  <c r="AN162" i="9"/>
  <c r="AN164" i="9" s="1"/>
  <c r="U131" i="16"/>
  <c r="U135" i="16"/>
  <c r="I172" i="8"/>
  <c r="G172" i="8" s="1"/>
  <c r="G164" i="8"/>
  <c r="AM74" i="9"/>
  <c r="AM76" i="9" s="1"/>
  <c r="J239" i="16"/>
  <c r="J241" i="16" s="1"/>
  <c r="S239" i="16"/>
  <c r="S241" i="16" s="1"/>
  <c r="M239" i="16"/>
  <c r="M241" i="16" s="1"/>
  <c r="Q239" i="16"/>
  <c r="Q241" i="16" s="1"/>
  <c r="AK239" i="16"/>
  <c r="AK241" i="16" s="1"/>
  <c r="Y173" i="8"/>
  <c r="Y175" i="8" s="1"/>
  <c r="AH173" i="8"/>
  <c r="AH175" i="8" s="1"/>
  <c r="AC770" i="16"/>
  <c r="AC772" i="16" s="1"/>
  <c r="J770" i="16"/>
  <c r="J772" i="16" s="1"/>
  <c r="G244" i="7"/>
  <c r="I252" i="7"/>
  <c r="G252" i="7" s="1"/>
  <c r="O80" i="7"/>
  <c r="O82" i="7" s="1"/>
  <c r="L80" i="7"/>
  <c r="L82" i="7" s="1"/>
  <c r="M170" i="7"/>
  <c r="M172" i="7" s="1"/>
  <c r="Q170" i="7"/>
  <c r="Q172" i="7" s="1"/>
  <c r="AA170" i="7"/>
  <c r="AA172" i="7" s="1"/>
  <c r="AN170" i="7"/>
  <c r="AN172" i="7" s="1"/>
  <c r="I600" i="15"/>
  <c r="I606" i="15" s="1"/>
  <c r="I608" i="15" s="1"/>
  <c r="G621" i="15"/>
  <c r="AA263" i="8"/>
  <c r="AA265" i="8" s="1"/>
  <c r="R263" i="8"/>
  <c r="R265" i="8" s="1"/>
  <c r="AC263" i="8"/>
  <c r="AC265" i="8" s="1"/>
  <c r="AM263" i="8"/>
  <c r="AM265" i="8" s="1"/>
  <c r="I75" i="8"/>
  <c r="L82" i="8"/>
  <c r="L84" i="8" s="1"/>
  <c r="T82" i="8"/>
  <c r="T84" i="8" s="1"/>
  <c r="AM82" i="8"/>
  <c r="AM84" i="8" s="1"/>
  <c r="G390" i="14"/>
  <c r="G391" i="14" s="1"/>
  <c r="Q924" i="15"/>
  <c r="Q926" i="15" s="1"/>
  <c r="Y924" i="15"/>
  <c r="Y926" i="15" s="1"/>
  <c r="AF924" i="15"/>
  <c r="AF926" i="15" s="1"/>
  <c r="T924" i="15"/>
  <c r="T926" i="15" s="1"/>
  <c r="I169" i="8"/>
  <c r="G169" i="8" s="1"/>
  <c r="G161" i="8"/>
  <c r="S410" i="16"/>
  <c r="S411" i="16" s="1"/>
  <c r="R410" i="16"/>
  <c r="R411" i="16" s="1"/>
  <c r="I410" i="16"/>
  <c r="I411" i="16" s="1"/>
  <c r="Y410" i="16"/>
  <c r="Y411" i="16" s="1"/>
  <c r="AN410" i="16"/>
  <c r="AN411" i="16" s="1"/>
  <c r="AE288" i="15"/>
  <c r="AE290" i="15" s="1"/>
  <c r="Y288" i="15"/>
  <c r="Y290" i="15" s="1"/>
  <c r="N288" i="15"/>
  <c r="N290" i="15" s="1"/>
  <c r="AO288" i="15"/>
  <c r="AO290" i="15" s="1"/>
  <c r="I767" i="15"/>
  <c r="I775" i="15" s="1"/>
  <c r="I782" i="15" s="1"/>
  <c r="I783" i="15" s="1"/>
  <c r="AM767" i="15"/>
  <c r="AM775" i="15" s="1"/>
  <c r="AM782" i="15" s="1"/>
  <c r="AM783" i="15" s="1"/>
  <c r="M767" i="15"/>
  <c r="M775" i="15" s="1"/>
  <c r="M782" i="15" s="1"/>
  <c r="M783" i="15" s="1"/>
  <c r="Q767" i="15"/>
  <c r="Q775" i="15" s="1"/>
  <c r="Q782" i="15" s="1"/>
  <c r="Q783" i="15" s="1"/>
  <c r="P767" i="15"/>
  <c r="P775" i="15" s="1"/>
  <c r="P782" i="15" s="1"/>
  <c r="P783" i="15" s="1"/>
  <c r="U767" i="15"/>
  <c r="U775" i="15" s="1"/>
  <c r="U782" i="15" s="1"/>
  <c r="U783" i="15" s="1"/>
  <c r="K767" i="15"/>
  <c r="K775" i="15" s="1"/>
  <c r="K782" i="15" s="1"/>
  <c r="K783" i="15" s="1"/>
  <c r="AH767" i="15"/>
  <c r="AH775" i="15" s="1"/>
  <c r="AH782" i="15" s="1"/>
  <c r="AH783" i="15" s="1"/>
  <c r="J767" i="15"/>
  <c r="J775" i="15" s="1"/>
  <c r="J782" i="15" s="1"/>
  <c r="J783" i="15" s="1"/>
  <c r="N767" i="15"/>
  <c r="N775" i="15" s="1"/>
  <c r="N782" i="15" s="1"/>
  <c r="N783" i="15" s="1"/>
  <c r="AB767" i="15"/>
  <c r="AB775" i="15" s="1"/>
  <c r="AB782" i="15" s="1"/>
  <c r="AB783" i="15" s="1"/>
  <c r="AK767" i="15"/>
  <c r="AK775" i="15" s="1"/>
  <c r="AK782" i="15" s="1"/>
  <c r="AK783" i="15" s="1"/>
  <c r="AD767" i="15"/>
  <c r="AD775" i="15" s="1"/>
  <c r="AD782" i="15" s="1"/>
  <c r="AD783" i="15" s="1"/>
  <c r="AA767" i="15"/>
  <c r="AA775" i="15" s="1"/>
  <c r="AA782" i="15" s="1"/>
  <c r="AA783" i="15" s="1"/>
  <c r="Z767" i="15"/>
  <c r="Z775" i="15" s="1"/>
  <c r="Z782" i="15" s="1"/>
  <c r="Z783" i="15" s="1"/>
  <c r="AN767" i="15"/>
  <c r="AN775" i="15" s="1"/>
  <c r="AN782" i="15" s="1"/>
  <c r="AN783" i="15" s="1"/>
  <c r="AI767" i="15"/>
  <c r="AI775" i="15" s="1"/>
  <c r="AI782" i="15" s="1"/>
  <c r="AI783" i="15" s="1"/>
  <c r="R767" i="15"/>
  <c r="R775" i="15" s="1"/>
  <c r="R782" i="15" s="1"/>
  <c r="R783" i="15" s="1"/>
  <c r="AC767" i="15"/>
  <c r="AC775" i="15" s="1"/>
  <c r="AC782" i="15" s="1"/>
  <c r="AC783" i="15" s="1"/>
  <c r="X767" i="15"/>
  <c r="X775" i="15" s="1"/>
  <c r="X782" i="15" s="1"/>
  <c r="X783" i="15" s="1"/>
  <c r="T767" i="15"/>
  <c r="T775" i="15" s="1"/>
  <c r="T782" i="15" s="1"/>
  <c r="T783" i="15" s="1"/>
  <c r="V767" i="15"/>
  <c r="V775" i="15" s="1"/>
  <c r="V782" i="15" s="1"/>
  <c r="V783" i="15" s="1"/>
  <c r="S767" i="15"/>
  <c r="S775" i="15" s="1"/>
  <c r="S782" i="15" s="1"/>
  <c r="S783" i="15" s="1"/>
  <c r="AJ767" i="15"/>
  <c r="AJ775" i="15" s="1"/>
  <c r="AJ782" i="15" s="1"/>
  <c r="AJ783" i="15" s="1"/>
  <c r="L767" i="15"/>
  <c r="L775" i="15" s="1"/>
  <c r="L782" i="15" s="1"/>
  <c r="L783" i="15" s="1"/>
  <c r="Y767" i="15"/>
  <c r="Y775" i="15" s="1"/>
  <c r="Y782" i="15" s="1"/>
  <c r="Y783" i="15" s="1"/>
  <c r="AL767" i="15"/>
  <c r="AL775" i="15" s="1"/>
  <c r="AL782" i="15" s="1"/>
  <c r="AL783" i="15" s="1"/>
  <c r="AO767" i="15"/>
  <c r="AO775" i="15" s="1"/>
  <c r="AO782" i="15" s="1"/>
  <c r="AO783" i="15" s="1"/>
  <c r="AG767" i="15"/>
  <c r="AG775" i="15" s="1"/>
  <c r="AG782" i="15" s="1"/>
  <c r="AG783" i="15" s="1"/>
  <c r="AF767" i="15"/>
  <c r="AF775" i="15" s="1"/>
  <c r="AF782" i="15" s="1"/>
  <c r="AF783" i="15" s="1"/>
  <c r="O767" i="15"/>
  <c r="O775" i="15" s="1"/>
  <c r="O782" i="15" s="1"/>
  <c r="O783" i="15" s="1"/>
  <c r="AE767" i="15"/>
  <c r="AE775" i="15" s="1"/>
  <c r="AE782" i="15" s="1"/>
  <c r="AE783" i="15" s="1"/>
  <c r="W767" i="15"/>
  <c r="W775" i="15" s="1"/>
  <c r="W782" i="15" s="1"/>
  <c r="W783" i="15" s="1"/>
  <c r="AC504" i="16"/>
  <c r="AC506" i="16" s="1"/>
  <c r="U504" i="16"/>
  <c r="U506" i="16" s="1"/>
  <c r="S504" i="16"/>
  <c r="S506" i="16" s="1"/>
  <c r="AN504" i="16"/>
  <c r="AN506" i="16" s="1"/>
  <c r="J805" i="15"/>
  <c r="J806" i="15" s="1"/>
  <c r="I100" i="14"/>
  <c r="I102" i="14" s="1"/>
  <c r="R100" i="14"/>
  <c r="R102" i="14" s="1"/>
  <c r="AI100" i="14"/>
  <c r="AI102" i="14" s="1"/>
  <c r="AG126" i="14"/>
  <c r="AG128" i="14" s="1"/>
  <c r="M126" i="14"/>
  <c r="M128" i="14" s="1"/>
  <c r="T126" i="14"/>
  <c r="T128" i="14" s="1"/>
  <c r="AO126" i="14"/>
  <c r="AO128" i="14" s="1"/>
  <c r="I76" i="8"/>
  <c r="X268" i="14"/>
  <c r="X270" i="14" s="1"/>
  <c r="P268" i="14"/>
  <c r="P270" i="14" s="1"/>
  <c r="S268" i="14"/>
  <c r="S270" i="14" s="1"/>
  <c r="AH268" i="14"/>
  <c r="AH270" i="14" s="1"/>
  <c r="I407" i="14"/>
  <c r="I413" i="14" s="1"/>
  <c r="I415" i="14" s="1"/>
  <c r="I262" i="14"/>
  <c r="I268" i="14" s="1"/>
  <c r="I270" i="14" s="1"/>
  <c r="W257" i="7"/>
  <c r="W259" i="7" s="1"/>
  <c r="Z257" i="7"/>
  <c r="Z259" i="7" s="1"/>
  <c r="U257" i="7"/>
  <c r="U259" i="7" s="1"/>
  <c r="AG257" i="7"/>
  <c r="AG259" i="7" s="1"/>
  <c r="AH257" i="7"/>
  <c r="AH259" i="7" s="1"/>
  <c r="I166" i="7"/>
  <c r="G166" i="7" s="1"/>
  <c r="G158" i="7"/>
  <c r="I255" i="7"/>
  <c r="G247" i="7"/>
  <c r="AD163" i="15"/>
  <c r="AD159" i="15"/>
  <c r="Y163" i="15"/>
  <c r="Y159" i="15"/>
  <c r="AC159" i="15"/>
  <c r="AC163" i="15"/>
  <c r="AO159" i="15"/>
  <c r="AO163" i="15"/>
  <c r="I168" i="8"/>
  <c r="G168" i="8" s="1"/>
  <c r="G160" i="8"/>
  <c r="Y162" i="9"/>
  <c r="Y164" i="9" s="1"/>
  <c r="AB162" i="9"/>
  <c r="AB164" i="9" s="1"/>
  <c r="AJ162" i="9"/>
  <c r="AJ164" i="9" s="1"/>
  <c r="X242" i="14"/>
  <c r="X244" i="14" s="1"/>
  <c r="L242" i="14"/>
  <c r="L244" i="14" s="1"/>
  <c r="R242" i="14"/>
  <c r="R244" i="14" s="1"/>
  <c r="AM242" i="14"/>
  <c r="AM244" i="14" s="1"/>
  <c r="S413" i="14"/>
  <c r="S415" i="14" s="1"/>
  <c r="AA413" i="14"/>
  <c r="AA415" i="14" s="1"/>
  <c r="K413" i="14"/>
  <c r="K415" i="14" s="1"/>
  <c r="AJ413" i="14"/>
  <c r="AJ415" i="14" s="1"/>
  <c r="AD131" i="16"/>
  <c r="AD135" i="16"/>
  <c r="O135" i="16"/>
  <c r="O131" i="16"/>
  <c r="AA131" i="16"/>
  <c r="AA135" i="16"/>
  <c r="AL131" i="16"/>
  <c r="AL135" i="16"/>
  <c r="I573" i="15"/>
  <c r="G619" i="15"/>
  <c r="AL487" i="15"/>
  <c r="AL488" i="15" s="1"/>
  <c r="S487" i="15"/>
  <c r="S488" i="15" s="1"/>
  <c r="AD487" i="15"/>
  <c r="AD488" i="15" s="1"/>
  <c r="AN487" i="15"/>
  <c r="AN488" i="15" s="1"/>
  <c r="AE676" i="16"/>
  <c r="AE677" i="16" s="1"/>
  <c r="O676" i="16"/>
  <c r="O677" i="16" s="1"/>
  <c r="R676" i="16"/>
  <c r="R677" i="16" s="1"/>
  <c r="AI676" i="16"/>
  <c r="AI677" i="16" s="1"/>
  <c r="AC74" i="9"/>
  <c r="AC76" i="9" s="1"/>
  <c r="AE74" i="9"/>
  <c r="AE76" i="9" s="1"/>
  <c r="V74" i="9"/>
  <c r="V76" i="9" s="1"/>
  <c r="AJ74" i="9"/>
  <c r="AJ76" i="9" s="1"/>
  <c r="Y250" i="9"/>
  <c r="Y252" i="9" s="1"/>
  <c r="O250" i="9"/>
  <c r="O252" i="9" s="1"/>
  <c r="J250" i="9"/>
  <c r="J252" i="9" s="1"/>
  <c r="AL250" i="9"/>
  <c r="AL252" i="9" s="1"/>
  <c r="AA504" i="16"/>
  <c r="AA506" i="16" s="1"/>
  <c r="K676" i="16"/>
  <c r="K677" i="16" s="1"/>
  <c r="P239" i="16"/>
  <c r="P241" i="16" s="1"/>
  <c r="AP504" i="16"/>
  <c r="AP506" i="16" s="1"/>
  <c r="AM770" i="16"/>
  <c r="AM772" i="16" s="1"/>
  <c r="Z80" i="7"/>
  <c r="Z82" i="7" s="1"/>
  <c r="J80" i="7"/>
  <c r="J82" i="7" s="1"/>
  <c r="W80" i="7"/>
  <c r="W82" i="7" s="1"/>
  <c r="Y170" i="7"/>
  <c r="Y172" i="7" s="1"/>
  <c r="T170" i="7"/>
  <c r="T172" i="7" s="1"/>
  <c r="AJ170" i="7"/>
  <c r="AJ172" i="7" s="1"/>
  <c r="J263" i="8"/>
  <c r="J265" i="8" s="1"/>
  <c r="O263" i="8"/>
  <c r="O265" i="8" s="1"/>
  <c r="K263" i="8"/>
  <c r="K265" i="8" s="1"/>
  <c r="Z263" i="8"/>
  <c r="Z265" i="8" s="1"/>
  <c r="AH263" i="8"/>
  <c r="AH265" i="8" s="1"/>
  <c r="W82" i="8"/>
  <c r="W84" i="8" s="1"/>
  <c r="R82" i="8"/>
  <c r="R84" i="8" s="1"/>
  <c r="V82" i="8"/>
  <c r="V84" i="8" s="1"/>
  <c r="AH82" i="8"/>
  <c r="AH84" i="8" s="1"/>
  <c r="I764" i="16"/>
  <c r="I770" i="16" s="1"/>
  <c r="I772" i="16" s="1"/>
  <c r="G785" i="16"/>
  <c r="AG924" i="15"/>
  <c r="AG926" i="15" s="1"/>
  <c r="Z924" i="15"/>
  <c r="Z926" i="15" s="1"/>
  <c r="AO924" i="15"/>
  <c r="AO926" i="15" s="1"/>
  <c r="AC924" i="15"/>
  <c r="AC926" i="15" s="1"/>
  <c r="AF410" i="16"/>
  <c r="AF411" i="16" s="1"/>
  <c r="V410" i="16"/>
  <c r="V411" i="16" s="1"/>
  <c r="AA410" i="16"/>
  <c r="AA411" i="16" s="1"/>
  <c r="AL410" i="16"/>
  <c r="AL411" i="16" s="1"/>
  <c r="AG288" i="15"/>
  <c r="AG290" i="15" s="1"/>
  <c r="AC288" i="15"/>
  <c r="AC290" i="15" s="1"/>
  <c r="J288" i="15"/>
  <c r="J290" i="15" s="1"/>
  <c r="M288" i="15"/>
  <c r="M290" i="15" s="1"/>
  <c r="AI288" i="15"/>
  <c r="AI290" i="15" s="1"/>
  <c r="AM882" i="15"/>
  <c r="AN882" i="15"/>
  <c r="AI882" i="15"/>
  <c r="AK882" i="15"/>
  <c r="AL882" i="15"/>
  <c r="AO882" i="15"/>
  <c r="AJ882" i="15"/>
  <c r="AH882" i="15"/>
  <c r="AF882" i="15"/>
  <c r="L882" i="15"/>
  <c r="O882" i="15"/>
  <c r="M882" i="15"/>
  <c r="Y882" i="15"/>
  <c r="AB882" i="15"/>
  <c r="U882" i="15"/>
  <c r="AC882" i="15"/>
  <c r="X882" i="15"/>
  <c r="AA882" i="15"/>
  <c r="Q882" i="15"/>
  <c r="S882" i="15"/>
  <c r="R882" i="15"/>
  <c r="Z882" i="15"/>
  <c r="W882" i="15"/>
  <c r="J882" i="15"/>
  <c r="J890" i="15" s="1"/>
  <c r="J897" i="15" s="1"/>
  <c r="J899" i="15" s="1"/>
  <c r="N882" i="15"/>
  <c r="P882" i="15"/>
  <c r="K882" i="15"/>
  <c r="K890" i="15" s="1"/>
  <c r="K897" i="15" s="1"/>
  <c r="K899" i="15" s="1"/>
  <c r="AE882" i="15"/>
  <c r="T882" i="15"/>
  <c r="V882" i="15"/>
  <c r="AD882" i="15"/>
  <c r="I882" i="15"/>
  <c r="I890" i="15" s="1"/>
  <c r="AG882" i="15"/>
  <c r="AF504" i="16"/>
  <c r="AF506" i="16" s="1"/>
  <c r="AG504" i="16"/>
  <c r="AG506" i="16" s="1"/>
  <c r="W504" i="16"/>
  <c r="W506" i="16" s="1"/>
  <c r="AK504" i="16"/>
  <c r="AK506" i="16" s="1"/>
  <c r="K805" i="15"/>
  <c r="K806" i="15" s="1"/>
  <c r="AC126" i="14"/>
  <c r="AC128" i="14" s="1"/>
  <c r="Q126" i="14"/>
  <c r="Q128" i="14" s="1"/>
  <c r="K126" i="14"/>
  <c r="K128" i="14" s="1"/>
  <c r="AM126" i="14"/>
  <c r="AM128" i="14" s="1"/>
  <c r="V268" i="14"/>
  <c r="V270" i="14" s="1"/>
  <c r="M268" i="14"/>
  <c r="M270" i="14" s="1"/>
  <c r="L268" i="14"/>
  <c r="L270" i="14" s="1"/>
  <c r="AJ268" i="14"/>
  <c r="AJ270" i="14" s="1"/>
  <c r="K257" i="7"/>
  <c r="K259" i="7" s="1"/>
  <c r="AD257" i="7"/>
  <c r="AD259" i="7" s="1"/>
  <c r="O257" i="7"/>
  <c r="O259" i="7" s="1"/>
  <c r="AO257" i="7"/>
  <c r="AO259" i="7" s="1"/>
  <c r="Q159" i="15"/>
  <c r="Q163" i="15"/>
  <c r="W163" i="15"/>
  <c r="W159" i="15"/>
  <c r="J163" i="15"/>
  <c r="J159" i="15"/>
  <c r="AL163" i="15"/>
  <c r="AL159" i="15"/>
  <c r="X162" i="9"/>
  <c r="X164" i="9" s="1"/>
  <c r="P162" i="9"/>
  <c r="P164" i="9" s="1"/>
  <c r="W162" i="9"/>
  <c r="W164" i="9" s="1"/>
  <c r="AK162" i="9"/>
  <c r="AK164" i="9" s="1"/>
  <c r="T242" i="14"/>
  <c r="T244" i="14" s="1"/>
  <c r="AA242" i="14"/>
  <c r="AA244" i="14" s="1"/>
  <c r="Z242" i="14"/>
  <c r="Z244" i="14" s="1"/>
  <c r="AI242" i="14"/>
  <c r="AI244" i="14" s="1"/>
  <c r="P413" i="14"/>
  <c r="P415" i="14" s="1"/>
  <c r="J413" i="14"/>
  <c r="J415" i="14" s="1"/>
  <c r="Q413" i="14"/>
  <c r="Q415" i="14" s="1"/>
  <c r="AN413" i="14"/>
  <c r="AN415" i="14" s="1"/>
  <c r="I131" i="16"/>
  <c r="I135" i="16"/>
  <c r="X131" i="16"/>
  <c r="X135" i="16"/>
  <c r="AF135" i="16"/>
  <c r="AF131" i="16"/>
  <c r="AH135" i="16"/>
  <c r="AH131" i="16"/>
  <c r="AH487" i="15"/>
  <c r="AH488" i="15" s="1"/>
  <c r="AM487" i="15"/>
  <c r="AM488" i="15" s="1"/>
  <c r="R487" i="15"/>
  <c r="R488" i="15" s="1"/>
  <c r="AC487" i="15"/>
  <c r="AC488" i="15" s="1"/>
  <c r="AG676" i="16"/>
  <c r="AG677" i="16" s="1"/>
  <c r="AB676" i="16"/>
  <c r="AB677" i="16" s="1"/>
  <c r="Y676" i="16"/>
  <c r="Y677" i="16" s="1"/>
  <c r="AN676" i="16"/>
  <c r="AN677" i="16" s="1"/>
  <c r="I170" i="8"/>
  <c r="G170" i="8" s="1"/>
  <c r="G162" i="8"/>
  <c r="X74" i="9"/>
  <c r="X76" i="9" s="1"/>
  <c r="L74" i="9"/>
  <c r="L76" i="9" s="1"/>
  <c r="W74" i="9"/>
  <c r="W76" i="9" s="1"/>
  <c r="AG74" i="9"/>
  <c r="AG76" i="9" s="1"/>
  <c r="P250" i="9"/>
  <c r="P252" i="9" s="1"/>
  <c r="Z250" i="9"/>
  <c r="Z252" i="9" s="1"/>
  <c r="N250" i="9"/>
  <c r="N252" i="9" s="1"/>
  <c r="AK250" i="9"/>
  <c r="AK252" i="9" s="1"/>
  <c r="Y263" i="8"/>
  <c r="Y265" i="8" s="1"/>
  <c r="T288" i="15"/>
  <c r="T290" i="15" s="1"/>
  <c r="I805" i="15"/>
  <c r="I806" i="15" s="1"/>
  <c r="L126" i="14"/>
  <c r="L128" i="14" s="1"/>
  <c r="AJ257" i="7"/>
  <c r="AJ259" i="7" s="1"/>
  <c r="AA162" i="9"/>
  <c r="AA164" i="9" s="1"/>
  <c r="Z135" i="16"/>
  <c r="Z131" i="16"/>
  <c r="AA487" i="15"/>
  <c r="AA488" i="15" s="1"/>
  <c r="T239" i="16"/>
  <c r="T241" i="16" s="1"/>
  <c r="J173" i="8"/>
  <c r="J175" i="8" s="1"/>
  <c r="AO173" i="8"/>
  <c r="AO175" i="8" s="1"/>
  <c r="K770" i="16"/>
  <c r="K772" i="16" s="1"/>
  <c r="N770" i="16"/>
  <c r="N772" i="16" s="1"/>
  <c r="Z239" i="16"/>
  <c r="Z241" i="16" s="1"/>
  <c r="AD239" i="16"/>
  <c r="AD241" i="16" s="1"/>
  <c r="W239" i="16"/>
  <c r="W241" i="16" s="1"/>
  <c r="AI239" i="16"/>
  <c r="AI241" i="16" s="1"/>
  <c r="R173" i="8"/>
  <c r="R175" i="8" s="1"/>
  <c r="L173" i="8"/>
  <c r="L175" i="8" s="1"/>
  <c r="AJ173" i="8"/>
  <c r="AJ175" i="8" s="1"/>
  <c r="I891" i="15"/>
  <c r="G937" i="15"/>
  <c r="I77" i="8"/>
  <c r="AA770" i="16"/>
  <c r="AA772" i="16" s="1"/>
  <c r="AG770" i="16"/>
  <c r="AG772" i="16" s="1"/>
  <c r="S770" i="16"/>
  <c r="S772" i="16" s="1"/>
  <c r="AJ770" i="16"/>
  <c r="AJ772" i="16" s="1"/>
  <c r="M605" i="15"/>
  <c r="P605" i="15" s="1"/>
  <c r="I79" i="8"/>
  <c r="N80" i="7"/>
  <c r="N82" i="7" s="1"/>
  <c r="T80" i="7"/>
  <c r="T82" i="7" s="1"/>
  <c r="X80" i="7"/>
  <c r="X82" i="7" s="1"/>
  <c r="S170" i="7"/>
  <c r="S172" i="7" s="1"/>
  <c r="V170" i="7"/>
  <c r="V172" i="7" s="1"/>
  <c r="N170" i="7"/>
  <c r="N172" i="7" s="1"/>
  <c r="AL170" i="7"/>
  <c r="AL172" i="7" s="1"/>
  <c r="X263" i="8"/>
  <c r="X265" i="8" s="1"/>
  <c r="T263" i="8"/>
  <c r="T265" i="8" s="1"/>
  <c r="L263" i="8"/>
  <c r="L265" i="8" s="1"/>
  <c r="AN263" i="8"/>
  <c r="AN265" i="8" s="1"/>
  <c r="AC82" i="8"/>
  <c r="AC84" i="8" s="1"/>
  <c r="Q82" i="8"/>
  <c r="Q84" i="8" s="1"/>
  <c r="AF82" i="8"/>
  <c r="AF84" i="8" s="1"/>
  <c r="AD82" i="8"/>
  <c r="AD84" i="8" s="1"/>
  <c r="AO82" i="8"/>
  <c r="AO84" i="8" s="1"/>
  <c r="R924" i="15"/>
  <c r="R926" i="15" s="1"/>
  <c r="J924" i="15"/>
  <c r="J926" i="15" s="1"/>
  <c r="AE924" i="15"/>
  <c r="AE926" i="15" s="1"/>
  <c r="AL924" i="15"/>
  <c r="AL926" i="15" s="1"/>
  <c r="J246" i="15"/>
  <c r="J254" i="15" s="1"/>
  <c r="J261" i="15" s="1"/>
  <c r="J263" i="15" s="1"/>
  <c r="W246" i="15"/>
  <c r="W254" i="15" s="1"/>
  <c r="W261" i="15" s="1"/>
  <c r="W263" i="15" s="1"/>
  <c r="U246" i="15"/>
  <c r="U254" i="15" s="1"/>
  <c r="U261" i="15" s="1"/>
  <c r="U263" i="15" s="1"/>
  <c r="R246" i="15"/>
  <c r="R254" i="15" s="1"/>
  <c r="R261" i="15" s="1"/>
  <c r="R263" i="15" s="1"/>
  <c r="X246" i="15"/>
  <c r="X254" i="15" s="1"/>
  <c r="X261" i="15" s="1"/>
  <c r="X263" i="15" s="1"/>
  <c r="AB246" i="15"/>
  <c r="AB254" i="15" s="1"/>
  <c r="AB261" i="15" s="1"/>
  <c r="AB263" i="15" s="1"/>
  <c r="P246" i="15"/>
  <c r="P254" i="15" s="1"/>
  <c r="P261" i="15" s="1"/>
  <c r="P263" i="15" s="1"/>
  <c r="Y246" i="15"/>
  <c r="Y254" i="15" s="1"/>
  <c r="Y261" i="15" s="1"/>
  <c r="Y263" i="15" s="1"/>
  <c r="M246" i="15"/>
  <c r="M254" i="15" s="1"/>
  <c r="M261" i="15" s="1"/>
  <c r="M263" i="15" s="1"/>
  <c r="T246" i="15"/>
  <c r="T254" i="15" s="1"/>
  <c r="T261" i="15" s="1"/>
  <c r="T263" i="15" s="1"/>
  <c r="V246" i="15"/>
  <c r="V254" i="15" s="1"/>
  <c r="V261" i="15" s="1"/>
  <c r="V263" i="15" s="1"/>
  <c r="Q246" i="15"/>
  <c r="Q254" i="15" s="1"/>
  <c r="Q261" i="15" s="1"/>
  <c r="Q263" i="15" s="1"/>
  <c r="AA246" i="15"/>
  <c r="AA254" i="15" s="1"/>
  <c r="AA261" i="15" s="1"/>
  <c r="AA263" i="15" s="1"/>
  <c r="K246" i="15"/>
  <c r="K254" i="15" s="1"/>
  <c r="K261" i="15" s="1"/>
  <c r="K263" i="15" s="1"/>
  <c r="S246" i="15"/>
  <c r="S254" i="15" s="1"/>
  <c r="S261" i="15" s="1"/>
  <c r="S263" i="15" s="1"/>
  <c r="L246" i="15"/>
  <c r="L254" i="15" s="1"/>
  <c r="L261" i="15" s="1"/>
  <c r="L263" i="15" s="1"/>
  <c r="I246" i="15"/>
  <c r="I254" i="15" s="1"/>
  <c r="O246" i="15"/>
  <c r="O254" i="15" s="1"/>
  <c r="O261" i="15" s="1"/>
  <c r="O263" i="15" s="1"/>
  <c r="N246" i="15"/>
  <c r="N254" i="15" s="1"/>
  <c r="N261" i="15" s="1"/>
  <c r="N263" i="15" s="1"/>
  <c r="AC246" i="15"/>
  <c r="AC254" i="15" s="1"/>
  <c r="AC261" i="15" s="1"/>
  <c r="AC263" i="15" s="1"/>
  <c r="Z246" i="15"/>
  <c r="Z254" i="15" s="1"/>
  <c r="Z261" i="15" s="1"/>
  <c r="Z263" i="15" s="1"/>
  <c r="L410" i="16"/>
  <c r="L411" i="16" s="1"/>
  <c r="Q410" i="16"/>
  <c r="Q411" i="16" s="1"/>
  <c r="AD410" i="16"/>
  <c r="AD411" i="16" s="1"/>
  <c r="AH410" i="16"/>
  <c r="AH411" i="16" s="1"/>
  <c r="Q288" i="15"/>
  <c r="Q290" i="15" s="1"/>
  <c r="AF288" i="15"/>
  <c r="AF290" i="15" s="1"/>
  <c r="AM288" i="15"/>
  <c r="AM290" i="15" s="1"/>
  <c r="AP288" i="15"/>
  <c r="AP290" i="15" s="1"/>
  <c r="O504" i="16"/>
  <c r="O506" i="16" s="1"/>
  <c r="X504" i="16"/>
  <c r="X506" i="16" s="1"/>
  <c r="Z504" i="16"/>
  <c r="Z506" i="16" s="1"/>
  <c r="AH504" i="16"/>
  <c r="AH506" i="16" s="1"/>
  <c r="V100" i="14"/>
  <c r="V102" i="14" s="1"/>
  <c r="AD100" i="14"/>
  <c r="AD102" i="14" s="1"/>
  <c r="AL100" i="14"/>
  <c r="AL102" i="14" s="1"/>
  <c r="J126" i="14"/>
  <c r="J128" i="14" s="1"/>
  <c r="AE126" i="14"/>
  <c r="AE128" i="14" s="1"/>
  <c r="AD126" i="14"/>
  <c r="AD128" i="14" s="1"/>
  <c r="AP126" i="14"/>
  <c r="AP128" i="14" s="1"/>
  <c r="AA268" i="14"/>
  <c r="AA270" i="14" s="1"/>
  <c r="AD268" i="14"/>
  <c r="AD270" i="14" s="1"/>
  <c r="AC268" i="14"/>
  <c r="AC270" i="14" s="1"/>
  <c r="AK268" i="14"/>
  <c r="AK270" i="14" s="1"/>
  <c r="AA257" i="7"/>
  <c r="AA259" i="7" s="1"/>
  <c r="G242" i="7"/>
  <c r="I250" i="7"/>
  <c r="S257" i="7"/>
  <c r="S259" i="7" s="1"/>
  <c r="AK257" i="7"/>
  <c r="AK259" i="7" s="1"/>
  <c r="M163" i="15"/>
  <c r="M159" i="15"/>
  <c r="P163" i="15"/>
  <c r="P159" i="15"/>
  <c r="X159" i="15"/>
  <c r="X163" i="15"/>
  <c r="AN163" i="15"/>
  <c r="AN159" i="15"/>
  <c r="J162" i="9"/>
  <c r="J164" i="9" s="1"/>
  <c r="R162" i="9"/>
  <c r="R164" i="9" s="1"/>
  <c r="AC162" i="9"/>
  <c r="AC164" i="9" s="1"/>
  <c r="AL162" i="9"/>
  <c r="AL164" i="9" s="1"/>
  <c r="M242" i="14"/>
  <c r="M244" i="14" s="1"/>
  <c r="Q242" i="14"/>
  <c r="Q244" i="14" s="1"/>
  <c r="AK242" i="14"/>
  <c r="AK244" i="14" s="1"/>
  <c r="N413" i="14"/>
  <c r="N415" i="14" s="1"/>
  <c r="O413" i="14"/>
  <c r="O415" i="14" s="1"/>
  <c r="V413" i="14"/>
  <c r="V415" i="14" s="1"/>
  <c r="AL413" i="14"/>
  <c r="AL415" i="14" s="1"/>
  <c r="G161" i="7"/>
  <c r="I169" i="7"/>
  <c r="G169" i="7" s="1"/>
  <c r="Q135" i="16"/>
  <c r="Q131" i="16"/>
  <c r="T131" i="16"/>
  <c r="T135" i="16"/>
  <c r="AE135" i="16"/>
  <c r="AE131" i="16"/>
  <c r="AJ135" i="16"/>
  <c r="AJ131" i="16"/>
  <c r="AG487" i="15"/>
  <c r="AG488" i="15" s="1"/>
  <c r="AK487" i="15"/>
  <c r="AK488" i="15" s="1"/>
  <c r="U487" i="15"/>
  <c r="U488" i="15" s="1"/>
  <c r="P487" i="15"/>
  <c r="P488" i="15" s="1"/>
  <c r="AD676" i="16"/>
  <c r="AD677" i="16" s="1"/>
  <c r="M676" i="16"/>
  <c r="M677" i="16" s="1"/>
  <c r="AA676" i="16"/>
  <c r="AA677" i="16" s="1"/>
  <c r="AL676" i="16"/>
  <c r="AL677" i="16" s="1"/>
  <c r="AA74" i="9"/>
  <c r="AA76" i="9" s="1"/>
  <c r="R74" i="9"/>
  <c r="R76" i="9" s="1"/>
  <c r="J74" i="9"/>
  <c r="J76" i="9" s="1"/>
  <c r="AL74" i="9"/>
  <c r="AL76" i="9" s="1"/>
  <c r="AF250" i="9"/>
  <c r="AF252" i="9" s="1"/>
  <c r="AA250" i="9"/>
  <c r="AA252" i="9" s="1"/>
  <c r="AB250" i="9"/>
  <c r="AB252" i="9" s="1"/>
  <c r="AI250" i="9"/>
  <c r="AI252" i="9" s="1"/>
  <c r="U126" i="14"/>
  <c r="U128" i="14" s="1"/>
  <c r="AE257" i="7"/>
  <c r="AE259" i="7" s="1"/>
  <c r="AF159" i="15"/>
  <c r="AF163" i="15"/>
  <c r="AK131" i="16"/>
  <c r="AK135" i="16"/>
  <c r="AE239" i="16"/>
  <c r="AE241" i="16" s="1"/>
  <c r="V239" i="16"/>
  <c r="V241" i="16" s="1"/>
  <c r="M770" i="16"/>
  <c r="M772" i="16" s="1"/>
  <c r="AD770" i="16"/>
  <c r="AD772" i="16" s="1"/>
  <c r="O770" i="16"/>
  <c r="O772" i="16" s="1"/>
  <c r="AN770" i="16"/>
  <c r="AN772" i="16" s="1"/>
  <c r="J463" i="16"/>
  <c r="J471" i="16" s="1"/>
  <c r="J477" i="16" s="1"/>
  <c r="J479" i="16" s="1"/>
  <c r="S463" i="16"/>
  <c r="S471" i="16" s="1"/>
  <c r="S477" i="16" s="1"/>
  <c r="S479" i="16" s="1"/>
  <c r="U463" i="16"/>
  <c r="U471" i="16" s="1"/>
  <c r="U477" i="16" s="1"/>
  <c r="U479" i="16" s="1"/>
  <c r="AC463" i="16"/>
  <c r="AC471" i="16" s="1"/>
  <c r="AC477" i="16" s="1"/>
  <c r="AC479" i="16" s="1"/>
  <c r="Z463" i="16"/>
  <c r="Z471" i="16" s="1"/>
  <c r="Z477" i="16" s="1"/>
  <c r="Z479" i="16" s="1"/>
  <c r="W463" i="16"/>
  <c r="W471" i="16" s="1"/>
  <c r="W477" i="16" s="1"/>
  <c r="W479" i="16" s="1"/>
  <c r="I463" i="16"/>
  <c r="M463" i="16"/>
  <c r="M471" i="16" s="1"/>
  <c r="M477" i="16" s="1"/>
  <c r="M479" i="16" s="1"/>
  <c r="AA463" i="16"/>
  <c r="AA471" i="16" s="1"/>
  <c r="AA477" i="16" s="1"/>
  <c r="AA479" i="16" s="1"/>
  <c r="AB463" i="16"/>
  <c r="AB471" i="16" s="1"/>
  <c r="AB477" i="16" s="1"/>
  <c r="AB479" i="16" s="1"/>
  <c r="T463" i="16"/>
  <c r="T471" i="16" s="1"/>
  <c r="T477" i="16" s="1"/>
  <c r="T479" i="16" s="1"/>
  <c r="O463" i="16"/>
  <c r="O471" i="16" s="1"/>
  <c r="O477" i="16" s="1"/>
  <c r="O479" i="16" s="1"/>
  <c r="Q463" i="16"/>
  <c r="Q471" i="16" s="1"/>
  <c r="Q477" i="16" s="1"/>
  <c r="Q479" i="16" s="1"/>
  <c r="X463" i="16"/>
  <c r="X471" i="16" s="1"/>
  <c r="X477" i="16" s="1"/>
  <c r="X479" i="16" s="1"/>
  <c r="L463" i="16"/>
  <c r="L471" i="16" s="1"/>
  <c r="L477" i="16" s="1"/>
  <c r="L479" i="16" s="1"/>
  <c r="R463" i="16"/>
  <c r="R471" i="16" s="1"/>
  <c r="R477" i="16" s="1"/>
  <c r="R479" i="16" s="1"/>
  <c r="Y463" i="16"/>
  <c r="Y471" i="16" s="1"/>
  <c r="Y477" i="16" s="1"/>
  <c r="Y479" i="16" s="1"/>
  <c r="V463" i="16"/>
  <c r="V471" i="16" s="1"/>
  <c r="V477" i="16" s="1"/>
  <c r="V479" i="16" s="1"/>
  <c r="K463" i="16"/>
  <c r="K471" i="16" s="1"/>
  <c r="K477" i="16" s="1"/>
  <c r="K479" i="16" s="1"/>
  <c r="P463" i="16"/>
  <c r="P471" i="16" s="1"/>
  <c r="P477" i="16" s="1"/>
  <c r="P479" i="16" s="1"/>
  <c r="N463" i="16"/>
  <c r="N471" i="16" s="1"/>
  <c r="N477" i="16" s="1"/>
  <c r="N479" i="16" s="1"/>
  <c r="Q80" i="7"/>
  <c r="Q82" i="7" s="1"/>
  <c r="Y80" i="7"/>
  <c r="Y82" i="7" s="1"/>
  <c r="V80" i="7"/>
  <c r="V82" i="7" s="1"/>
  <c r="AF170" i="7"/>
  <c r="AF172" i="7" s="1"/>
  <c r="AB170" i="7"/>
  <c r="AB172" i="7" s="1"/>
  <c r="J170" i="7"/>
  <c r="J172" i="7" s="1"/>
  <c r="K170" i="7"/>
  <c r="K172" i="7" s="1"/>
  <c r="AI170" i="7"/>
  <c r="AI172" i="7" s="1"/>
  <c r="V263" i="8"/>
  <c r="V265" i="8" s="1"/>
  <c r="N263" i="8"/>
  <c r="N265" i="8" s="1"/>
  <c r="N82" i="8"/>
  <c r="N84" i="8" s="1"/>
  <c r="Y82" i="8"/>
  <c r="Y84" i="8" s="1"/>
  <c r="AB82" i="8"/>
  <c r="AB84" i="8" s="1"/>
  <c r="AN82" i="8"/>
  <c r="AN84" i="8" s="1"/>
  <c r="I74" i="7"/>
  <c r="I80" i="7" s="1"/>
  <c r="I82" i="7" s="1"/>
  <c r="G92" i="7"/>
  <c r="K924" i="15"/>
  <c r="K926" i="15" s="1"/>
  <c r="X924" i="15"/>
  <c r="X926" i="15" s="1"/>
  <c r="V924" i="15"/>
  <c r="V926" i="15" s="1"/>
  <c r="AO128" i="15"/>
  <c r="AO136" i="15" s="1"/>
  <c r="AO143" i="15" s="1"/>
  <c r="AO144" i="15" s="1"/>
  <c r="AN128" i="15"/>
  <c r="AN136" i="15" s="1"/>
  <c r="AN143" i="15" s="1"/>
  <c r="AN144" i="15" s="1"/>
  <c r="AL128" i="15"/>
  <c r="AL136" i="15" s="1"/>
  <c r="AL143" i="15" s="1"/>
  <c r="AL144" i="15" s="1"/>
  <c r="AJ128" i="15"/>
  <c r="AJ136" i="15" s="1"/>
  <c r="AJ143" i="15" s="1"/>
  <c r="AJ144" i="15" s="1"/>
  <c r="Q128" i="15"/>
  <c r="Q136" i="15" s="1"/>
  <c r="Q143" i="15" s="1"/>
  <c r="Q144" i="15" s="1"/>
  <c r="AM128" i="15"/>
  <c r="AM136" i="15" s="1"/>
  <c r="AM143" i="15" s="1"/>
  <c r="AM144" i="15" s="1"/>
  <c r="AF128" i="15"/>
  <c r="AF136" i="15" s="1"/>
  <c r="AF143" i="15" s="1"/>
  <c r="AF144" i="15" s="1"/>
  <c r="AH128" i="15"/>
  <c r="AH136" i="15" s="1"/>
  <c r="AH143" i="15" s="1"/>
  <c r="AH144" i="15" s="1"/>
  <c r="W128" i="15"/>
  <c r="W136" i="15" s="1"/>
  <c r="W143" i="15" s="1"/>
  <c r="W144" i="15" s="1"/>
  <c r="AC128" i="15"/>
  <c r="AC136" i="15" s="1"/>
  <c r="AC143" i="15" s="1"/>
  <c r="AC144" i="15" s="1"/>
  <c r="O128" i="15"/>
  <c r="O136" i="15" s="1"/>
  <c r="O143" i="15" s="1"/>
  <c r="O144" i="15" s="1"/>
  <c r="K128" i="15"/>
  <c r="K136" i="15" s="1"/>
  <c r="K143" i="15" s="1"/>
  <c r="K144" i="15" s="1"/>
  <c r="T128" i="15"/>
  <c r="T136" i="15" s="1"/>
  <c r="T143" i="15" s="1"/>
  <c r="T144" i="15" s="1"/>
  <c r="J128" i="15"/>
  <c r="J136" i="15" s="1"/>
  <c r="J143" i="15" s="1"/>
  <c r="J144" i="15" s="1"/>
  <c r="Z128" i="15"/>
  <c r="Z136" i="15" s="1"/>
  <c r="Z143" i="15" s="1"/>
  <c r="Z144" i="15" s="1"/>
  <c r="U128" i="15"/>
  <c r="U136" i="15" s="1"/>
  <c r="U143" i="15" s="1"/>
  <c r="U144" i="15" s="1"/>
  <c r="S128" i="15"/>
  <c r="S136" i="15" s="1"/>
  <c r="S143" i="15" s="1"/>
  <c r="S144" i="15" s="1"/>
  <c r="AK128" i="15"/>
  <c r="AK136" i="15" s="1"/>
  <c r="AK143" i="15" s="1"/>
  <c r="AK144" i="15" s="1"/>
  <c r="AD128" i="15"/>
  <c r="AD136" i="15" s="1"/>
  <c r="AD143" i="15" s="1"/>
  <c r="AD144" i="15" s="1"/>
  <c r="AE128" i="15"/>
  <c r="AE136" i="15" s="1"/>
  <c r="AE143" i="15" s="1"/>
  <c r="AE144" i="15" s="1"/>
  <c r="AA128" i="15"/>
  <c r="AA136" i="15" s="1"/>
  <c r="AA143" i="15" s="1"/>
  <c r="AA144" i="15" s="1"/>
  <c r="Y128" i="15"/>
  <c r="Y136" i="15" s="1"/>
  <c r="Y143" i="15" s="1"/>
  <c r="Y144" i="15" s="1"/>
  <c r="L128" i="15"/>
  <c r="L136" i="15" s="1"/>
  <c r="L143" i="15" s="1"/>
  <c r="L144" i="15" s="1"/>
  <c r="AG128" i="15"/>
  <c r="AG136" i="15" s="1"/>
  <c r="AG143" i="15" s="1"/>
  <c r="AG144" i="15" s="1"/>
  <c r="X128" i="15"/>
  <c r="X136" i="15" s="1"/>
  <c r="X143" i="15" s="1"/>
  <c r="X144" i="15" s="1"/>
  <c r="R128" i="15"/>
  <c r="R136" i="15" s="1"/>
  <c r="R143" i="15" s="1"/>
  <c r="R144" i="15" s="1"/>
  <c r="V128" i="15"/>
  <c r="V136" i="15" s="1"/>
  <c r="V143" i="15" s="1"/>
  <c r="V144" i="15" s="1"/>
  <c r="M128" i="15"/>
  <c r="M136" i="15" s="1"/>
  <c r="M143" i="15" s="1"/>
  <c r="M144" i="15" s="1"/>
  <c r="P128" i="15"/>
  <c r="P136" i="15" s="1"/>
  <c r="P143" i="15" s="1"/>
  <c r="P144" i="15" s="1"/>
  <c r="AI128" i="15"/>
  <c r="AI136" i="15" s="1"/>
  <c r="AI143" i="15" s="1"/>
  <c r="AI144" i="15" s="1"/>
  <c r="N128" i="15"/>
  <c r="N136" i="15" s="1"/>
  <c r="N143" i="15" s="1"/>
  <c r="N144" i="15" s="1"/>
  <c r="AB128" i="15"/>
  <c r="AB136" i="15" s="1"/>
  <c r="AB143" i="15" s="1"/>
  <c r="AB144" i="15" s="1"/>
  <c r="I128" i="15"/>
  <c r="G160" i="7"/>
  <c r="I168" i="7"/>
  <c r="G168" i="7" s="1"/>
  <c r="K410" i="16"/>
  <c r="K411" i="16" s="1"/>
  <c r="X410" i="16"/>
  <c r="X411" i="16" s="1"/>
  <c r="T410" i="16"/>
  <c r="T411" i="16" s="1"/>
  <c r="AJ410" i="16"/>
  <c r="AJ411" i="16" s="1"/>
  <c r="O288" i="15"/>
  <c r="O290" i="15" s="1"/>
  <c r="X288" i="15"/>
  <c r="X290" i="15" s="1"/>
  <c r="S288" i="15"/>
  <c r="S290" i="15" s="1"/>
  <c r="AJ288" i="15"/>
  <c r="AJ290" i="15" s="1"/>
  <c r="M504" i="16"/>
  <c r="M506" i="16" s="1"/>
  <c r="V504" i="16"/>
  <c r="V506" i="16" s="1"/>
  <c r="AL504" i="16"/>
  <c r="AL506" i="16" s="1"/>
  <c r="AB100" i="14"/>
  <c r="AB102" i="14" s="1"/>
  <c r="AO100" i="14"/>
  <c r="AO102" i="14" s="1"/>
  <c r="V126" i="14"/>
  <c r="V128" i="14" s="1"/>
  <c r="O126" i="14"/>
  <c r="O128" i="14" s="1"/>
  <c r="Y126" i="14"/>
  <c r="Y128" i="14" s="1"/>
  <c r="AB126" i="14"/>
  <c r="AB128" i="14" s="1"/>
  <c r="AH126" i="14"/>
  <c r="AH128" i="14" s="1"/>
  <c r="I81" i="8"/>
  <c r="Z268" i="14"/>
  <c r="Z270" i="14" s="1"/>
  <c r="R268" i="14"/>
  <c r="R270" i="14" s="1"/>
  <c r="N268" i="14"/>
  <c r="N270" i="14" s="1"/>
  <c r="AN268" i="14"/>
  <c r="AN270" i="14" s="1"/>
  <c r="AC257" i="7"/>
  <c r="AC259" i="7" s="1"/>
  <c r="V257" i="7"/>
  <c r="V259" i="7" s="1"/>
  <c r="Q257" i="7"/>
  <c r="Q259" i="7" s="1"/>
  <c r="AN257" i="7"/>
  <c r="AN259" i="7" s="1"/>
  <c r="AE163" i="15"/>
  <c r="AE159" i="15"/>
  <c r="K163" i="15"/>
  <c r="K159" i="15"/>
  <c r="N163" i="15"/>
  <c r="N159" i="15"/>
  <c r="AK159" i="15"/>
  <c r="AK163" i="15"/>
  <c r="AD162" i="9"/>
  <c r="AD164" i="9" s="1"/>
  <c r="AF162" i="9"/>
  <c r="AF164" i="9" s="1"/>
  <c r="V162" i="9"/>
  <c r="V164" i="9" s="1"/>
  <c r="AM162" i="9"/>
  <c r="AM164" i="9" s="1"/>
  <c r="AB242" i="14"/>
  <c r="AB244" i="14" s="1"/>
  <c r="N242" i="14"/>
  <c r="N244" i="14" s="1"/>
  <c r="S242" i="14"/>
  <c r="S244" i="14" s="1"/>
  <c r="AN242" i="14"/>
  <c r="AN244" i="14" s="1"/>
  <c r="U413" i="14"/>
  <c r="U415" i="14" s="1"/>
  <c r="AD413" i="14"/>
  <c r="AD415" i="14" s="1"/>
  <c r="L413" i="14"/>
  <c r="L415" i="14" s="1"/>
  <c r="AO413" i="14"/>
  <c r="AO415" i="14" s="1"/>
  <c r="V131" i="16"/>
  <c r="V135" i="16"/>
  <c r="Y135" i="16"/>
  <c r="Y131" i="16"/>
  <c r="R135" i="16"/>
  <c r="R131" i="16"/>
  <c r="AI135" i="16"/>
  <c r="AI131" i="16"/>
  <c r="G480" i="15"/>
  <c r="J487" i="15"/>
  <c r="J488" i="15" s="1"/>
  <c r="Z487" i="15"/>
  <c r="Z488" i="15" s="1"/>
  <c r="T487" i="15"/>
  <c r="T488" i="15" s="1"/>
  <c r="AB487" i="15"/>
  <c r="AB488" i="15" s="1"/>
  <c r="P676" i="16"/>
  <c r="P677" i="16" s="1"/>
  <c r="AC676" i="16"/>
  <c r="AC677" i="16" s="1"/>
  <c r="J676" i="16"/>
  <c r="J677" i="16" s="1"/>
  <c r="AH676" i="16"/>
  <c r="AH677" i="16" s="1"/>
  <c r="AB74" i="9"/>
  <c r="AB76" i="9" s="1"/>
  <c r="Q74" i="9"/>
  <c r="Q76" i="9" s="1"/>
  <c r="T74" i="9"/>
  <c r="T76" i="9" s="1"/>
  <c r="AN74" i="9"/>
  <c r="AN76" i="9" s="1"/>
  <c r="N804" i="15"/>
  <c r="Q804" i="15" s="1"/>
  <c r="M804" i="15"/>
  <c r="M805" i="15" s="1"/>
  <c r="M806" i="15" s="1"/>
  <c r="K250" i="9"/>
  <c r="K252" i="9" s="1"/>
  <c r="T250" i="9"/>
  <c r="T252" i="9" s="1"/>
  <c r="Q250" i="9"/>
  <c r="Q252" i="9" s="1"/>
  <c r="S250" i="9"/>
  <c r="S252" i="9" s="1"/>
  <c r="AJ250" i="9"/>
  <c r="AJ252" i="9" s="1"/>
  <c r="V159" i="15"/>
  <c r="V163" i="15"/>
  <c r="AE162" i="9"/>
  <c r="AE164" i="9" s="1"/>
  <c r="AB413" i="14"/>
  <c r="AB415" i="14" s="1"/>
  <c r="I255" i="15"/>
  <c r="G301" i="15"/>
  <c r="U250" i="9"/>
  <c r="U252" i="9" s="1"/>
  <c r="U239" i="16"/>
  <c r="U241" i="16" s="1"/>
  <c r="L239" i="16"/>
  <c r="L241" i="16" s="1"/>
  <c r="I233" i="16"/>
  <c r="I239" i="16" s="1"/>
  <c r="I241" i="16" s="1"/>
  <c r="G254" i="16"/>
  <c r="G158" i="8"/>
  <c r="I166" i="8"/>
  <c r="V770" i="16"/>
  <c r="V772" i="16" s="1"/>
  <c r="AI770" i="16"/>
  <c r="AI772" i="16" s="1"/>
  <c r="AO373" i="16"/>
  <c r="W373" i="16"/>
  <c r="L373" i="16"/>
  <c r="AK373" i="16"/>
  <c r="X373" i="16"/>
  <c r="K373" i="16"/>
  <c r="J373" i="16"/>
  <c r="O373" i="16"/>
  <c r="AD373" i="16"/>
  <c r="AE373" i="16"/>
  <c r="AC373" i="16"/>
  <c r="I373" i="16"/>
  <c r="AJ373" i="16"/>
  <c r="AA373" i="16"/>
  <c r="P373" i="16"/>
  <c r="AM373" i="16"/>
  <c r="AN373" i="16"/>
  <c r="Z373" i="16"/>
  <c r="S373" i="16"/>
  <c r="AG373" i="16"/>
  <c r="V373" i="16"/>
  <c r="AH373" i="16"/>
  <c r="T373" i="16"/>
  <c r="R373" i="16"/>
  <c r="AL373" i="16"/>
  <c r="N373" i="16"/>
  <c r="Q373" i="16"/>
  <c r="Y373" i="16"/>
  <c r="AB373" i="16"/>
  <c r="U373" i="16"/>
  <c r="AF373" i="16"/>
  <c r="AI373" i="16"/>
  <c r="M373" i="16"/>
  <c r="I164" i="7"/>
  <c r="G164" i="7" s="1"/>
  <c r="G182" i="7"/>
  <c r="G156" i="7"/>
  <c r="AA80" i="7"/>
  <c r="AA82" i="7" s="1"/>
  <c r="K80" i="7"/>
  <c r="K82" i="7" s="1"/>
  <c r="U170" i="7"/>
  <c r="U172" i="7" s="1"/>
  <c r="AC170" i="7"/>
  <c r="AC172" i="7" s="1"/>
  <c r="P170" i="7"/>
  <c r="P172" i="7" s="1"/>
  <c r="AO170" i="7"/>
  <c r="AO172" i="7" s="1"/>
  <c r="Q263" i="8"/>
  <c r="Q265" i="8" s="1"/>
  <c r="AF263" i="8"/>
  <c r="AF265" i="8" s="1"/>
  <c r="S263" i="8"/>
  <c r="S265" i="8" s="1"/>
  <c r="AI263" i="8"/>
  <c r="AI265" i="8" s="1"/>
  <c r="AG82" i="8"/>
  <c r="AG84" i="8" s="1"/>
  <c r="P82" i="8"/>
  <c r="P84" i="8" s="1"/>
  <c r="X82" i="8"/>
  <c r="X84" i="8" s="1"/>
  <c r="AL82" i="8"/>
  <c r="AL84" i="8" s="1"/>
  <c r="M924" i="15"/>
  <c r="M926" i="15" s="1"/>
  <c r="W924" i="15"/>
  <c r="W926" i="15" s="1"/>
  <c r="N924" i="15"/>
  <c r="N926" i="15" s="1"/>
  <c r="AD924" i="15"/>
  <c r="AD926" i="15" s="1"/>
  <c r="AB410" i="16"/>
  <c r="AB411" i="16" s="1"/>
  <c r="N410" i="16"/>
  <c r="N411" i="16" s="1"/>
  <c r="AE410" i="16"/>
  <c r="AE411" i="16" s="1"/>
  <c r="AK410" i="16"/>
  <c r="AK411" i="16" s="1"/>
  <c r="U288" i="15"/>
  <c r="U290" i="15" s="1"/>
  <c r="L288" i="15"/>
  <c r="L290" i="15" s="1"/>
  <c r="P288" i="15"/>
  <c r="P290" i="15" s="1"/>
  <c r="AK288" i="15"/>
  <c r="AK290" i="15" s="1"/>
  <c r="T504" i="16"/>
  <c r="T506" i="16" s="1"/>
  <c r="R504" i="16"/>
  <c r="R506" i="16" s="1"/>
  <c r="AE504" i="16"/>
  <c r="AE506" i="16" s="1"/>
  <c r="AJ504" i="16"/>
  <c r="AJ506" i="16" s="1"/>
  <c r="X126" i="14"/>
  <c r="X128" i="14" s="1"/>
  <c r="R126" i="14"/>
  <c r="R128" i="14" s="1"/>
  <c r="S126" i="14"/>
  <c r="S128" i="14" s="1"/>
  <c r="AL126" i="14"/>
  <c r="AL128" i="14" s="1"/>
  <c r="AI126" i="14"/>
  <c r="AI128" i="14" s="1"/>
  <c r="T268" i="14"/>
  <c r="T270" i="14" s="1"/>
  <c r="K268" i="14"/>
  <c r="K270" i="14" s="1"/>
  <c r="Y268" i="14"/>
  <c r="Y270" i="14" s="1"/>
  <c r="W268" i="14"/>
  <c r="W270" i="14" s="1"/>
  <c r="AI268" i="14"/>
  <c r="AI270" i="14" s="1"/>
  <c r="J257" i="7"/>
  <c r="J259" i="7" s="1"/>
  <c r="L257" i="7"/>
  <c r="L259" i="7" s="1"/>
  <c r="N257" i="7"/>
  <c r="N259" i="7" s="1"/>
  <c r="AL257" i="7"/>
  <c r="AL259" i="7" s="1"/>
  <c r="T159" i="15"/>
  <c r="T163" i="15"/>
  <c r="R159" i="15"/>
  <c r="R163" i="15"/>
  <c r="L163" i="15"/>
  <c r="L159" i="15"/>
  <c r="AI163" i="15"/>
  <c r="AI159" i="15"/>
  <c r="K162" i="9"/>
  <c r="K164" i="9" s="1"/>
  <c r="N162" i="9"/>
  <c r="N164" i="9" s="1"/>
  <c r="M162" i="9"/>
  <c r="M164" i="9" s="1"/>
  <c r="AG162" i="9"/>
  <c r="AG164" i="9" s="1"/>
  <c r="J242" i="14"/>
  <c r="J244" i="14" s="1"/>
  <c r="P242" i="14"/>
  <c r="P244" i="14" s="1"/>
  <c r="U242" i="14"/>
  <c r="U244" i="14" s="1"/>
  <c r="V242" i="14"/>
  <c r="V244" i="14" s="1"/>
  <c r="AH242" i="14"/>
  <c r="AH244" i="14" s="1"/>
  <c r="AF413" i="14"/>
  <c r="AF415" i="14" s="1"/>
  <c r="Z413" i="14"/>
  <c r="Z415" i="14" s="1"/>
  <c r="T413" i="14"/>
  <c r="T415" i="14" s="1"/>
  <c r="AK413" i="14"/>
  <c r="AK415" i="14" s="1"/>
  <c r="AC131" i="16"/>
  <c r="AC135" i="16"/>
  <c r="W131" i="16"/>
  <c r="W135" i="16"/>
  <c r="N135" i="16"/>
  <c r="N131" i="16"/>
  <c r="AM135" i="16"/>
  <c r="AM131" i="16"/>
  <c r="AE487" i="15"/>
  <c r="AE488" i="15" s="1"/>
  <c r="K487" i="15"/>
  <c r="K488" i="15" s="1"/>
  <c r="N487" i="15"/>
  <c r="N488" i="15" s="1"/>
  <c r="AI487" i="15"/>
  <c r="AI488" i="15" s="1"/>
  <c r="AO487" i="15"/>
  <c r="AO488" i="15" s="1"/>
  <c r="I156" i="9"/>
  <c r="I162" i="9" s="1"/>
  <c r="I164" i="9" s="1"/>
  <c r="V676" i="16"/>
  <c r="V677" i="16" s="1"/>
  <c r="U676" i="16"/>
  <c r="U677" i="16" s="1"/>
  <c r="Q676" i="16"/>
  <c r="Q677" i="16" s="1"/>
  <c r="N676" i="16"/>
  <c r="N677" i="16" s="1"/>
  <c r="AM676" i="16"/>
  <c r="AM677" i="16" s="1"/>
  <c r="U74" i="9"/>
  <c r="U76" i="9" s="1"/>
  <c r="AF74" i="9"/>
  <c r="AF76" i="9" s="1"/>
  <c r="O74" i="9"/>
  <c r="O76" i="9" s="1"/>
  <c r="AK74" i="9"/>
  <c r="AK76" i="9" s="1"/>
  <c r="L250" i="9"/>
  <c r="L252" i="9" s="1"/>
  <c r="X250" i="9"/>
  <c r="X252" i="9" s="1"/>
  <c r="AG250" i="9"/>
  <c r="AG252" i="9" s="1"/>
  <c r="AN250" i="9"/>
  <c r="AN252" i="9" s="1"/>
  <c r="G773" i="16" l="1"/>
  <c r="G774" i="16" s="1"/>
  <c r="G776" i="16" s="1"/>
  <c r="G56" i="11" s="1"/>
  <c r="H56" i="11" s="1"/>
  <c r="G119" i="17"/>
  <c r="G323" i="15" s="1"/>
  <c r="G129" i="14"/>
  <c r="G130" i="14" s="1"/>
  <c r="G242" i="16"/>
  <c r="G176" i="9"/>
  <c r="G270" i="7"/>
  <c r="G187" i="8"/>
  <c r="G938" i="15"/>
  <c r="G620" i="15"/>
  <c r="G264" i="9"/>
  <c r="G183" i="7"/>
  <c r="G277" i="8"/>
  <c r="G88" i="9"/>
  <c r="G93" i="7"/>
  <c r="G258" i="16" s="1"/>
  <c r="G302" i="15"/>
  <c r="G122" i="17"/>
  <c r="N606" i="15"/>
  <c r="N608" i="15" s="1"/>
  <c r="R138" i="16"/>
  <c r="R139" i="16" s="1"/>
  <c r="AJ166" i="15"/>
  <c r="AJ167" i="15" s="1"/>
  <c r="AE166" i="15"/>
  <c r="AE167" i="15" s="1"/>
  <c r="O605" i="15"/>
  <c r="R605" i="15" s="1"/>
  <c r="R606" i="15" s="1"/>
  <c r="R608" i="15" s="1"/>
  <c r="L805" i="15"/>
  <c r="L806" i="15" s="1"/>
  <c r="AA166" i="15"/>
  <c r="AA167" i="15" s="1"/>
  <c r="S138" i="16"/>
  <c r="S139" i="16" s="1"/>
  <c r="Y166" i="15"/>
  <c r="Y167" i="15" s="1"/>
  <c r="I138" i="16"/>
  <c r="I139" i="16" s="1"/>
  <c r="Y138" i="16"/>
  <c r="Y139" i="16" s="1"/>
  <c r="P166" i="15"/>
  <c r="P167" i="15" s="1"/>
  <c r="AF138" i="16"/>
  <c r="AF139" i="16" s="1"/>
  <c r="P804" i="15"/>
  <c r="S804" i="15" s="1"/>
  <c r="V804" i="15" s="1"/>
  <c r="M606" i="15"/>
  <c r="M608" i="15" s="1"/>
  <c r="AL166" i="15"/>
  <c r="AL167" i="15" s="1"/>
  <c r="T138" i="16"/>
  <c r="T139" i="16" s="1"/>
  <c r="AN166" i="15"/>
  <c r="AN167" i="15" s="1"/>
  <c r="W166" i="15"/>
  <c r="W167" i="15" s="1"/>
  <c r="AJ138" i="16"/>
  <c r="AJ139" i="16" s="1"/>
  <c r="X166" i="15"/>
  <c r="X167" i="15" s="1"/>
  <c r="AN138" i="16"/>
  <c r="AN139" i="16" s="1"/>
  <c r="AM138" i="16"/>
  <c r="AM139" i="16" s="1"/>
  <c r="G489" i="15"/>
  <c r="G490" i="15" s="1"/>
  <c r="N166" i="15"/>
  <c r="N167" i="15" s="1"/>
  <c r="AK138" i="16"/>
  <c r="AK139" i="16" s="1"/>
  <c r="AE138" i="16"/>
  <c r="AE139" i="16" s="1"/>
  <c r="AC138" i="16"/>
  <c r="AC139" i="16" s="1"/>
  <c r="G165" i="9"/>
  <c r="G166" i="9" s="1"/>
  <c r="G678" i="16"/>
  <c r="G679" i="16" s="1"/>
  <c r="Q166" i="15"/>
  <c r="Q167" i="15" s="1"/>
  <c r="AB138" i="16"/>
  <c r="AB139" i="16" s="1"/>
  <c r="U166" i="15"/>
  <c r="U167" i="15" s="1"/>
  <c r="O805" i="15"/>
  <c r="O806" i="15" s="1"/>
  <c r="AO166" i="15"/>
  <c r="AO167" i="15" s="1"/>
  <c r="G271" i="14"/>
  <c r="G272" i="14" s="1"/>
  <c r="P138" i="16"/>
  <c r="P139" i="16" s="1"/>
  <c r="Q138" i="16"/>
  <c r="Q139" i="16" s="1"/>
  <c r="X138" i="16"/>
  <c r="X139" i="16" s="1"/>
  <c r="N890" i="15"/>
  <c r="N897" i="15" s="1"/>
  <c r="N899" i="15" s="1"/>
  <c r="Q606" i="15"/>
  <c r="Q608" i="15" s="1"/>
  <c r="AD138" i="16"/>
  <c r="AD139" i="16" s="1"/>
  <c r="O166" i="15"/>
  <c r="O167" i="15" s="1"/>
  <c r="G416" i="14"/>
  <c r="G417" i="14" s="1"/>
  <c r="AI166" i="15"/>
  <c r="AI167" i="15" s="1"/>
  <c r="V166" i="15"/>
  <c r="V167" i="15" s="1"/>
  <c r="Z138" i="16"/>
  <c r="Z139" i="16" s="1"/>
  <c r="J166" i="15"/>
  <c r="J167" i="15" s="1"/>
  <c r="AG138" i="16"/>
  <c r="AG139" i="16" s="1"/>
  <c r="S166" i="15"/>
  <c r="S167" i="15" s="1"/>
  <c r="Q805" i="15"/>
  <c r="Q806" i="15" s="1"/>
  <c r="T804" i="15"/>
  <c r="P606" i="15"/>
  <c r="P608" i="15" s="1"/>
  <c r="S605" i="15"/>
  <c r="T606" i="15"/>
  <c r="T608" i="15" s="1"/>
  <c r="W605" i="15"/>
  <c r="U804" i="15"/>
  <c r="R805" i="15"/>
  <c r="R806" i="15" s="1"/>
  <c r="AA647" i="16"/>
  <c r="AA653" i="16" s="1"/>
  <c r="AA654" i="16" s="1"/>
  <c r="AA381" i="16"/>
  <c r="AA387" i="16" s="1"/>
  <c r="AA388" i="16" s="1"/>
  <c r="L166" i="15"/>
  <c r="L167" i="15" s="1"/>
  <c r="N647" i="16"/>
  <c r="N653" i="16" s="1"/>
  <c r="N654" i="16" s="1"/>
  <c r="N381" i="16"/>
  <c r="N387" i="16" s="1"/>
  <c r="N388" i="16" s="1"/>
  <c r="Z381" i="16"/>
  <c r="Z387" i="16" s="1"/>
  <c r="Z388" i="16" s="1"/>
  <c r="Z647" i="16"/>
  <c r="Z653" i="16" s="1"/>
  <c r="Z654" i="16" s="1"/>
  <c r="AE381" i="16"/>
  <c r="AE387" i="16" s="1"/>
  <c r="AE388" i="16" s="1"/>
  <c r="AE647" i="16"/>
  <c r="AE653" i="16" s="1"/>
  <c r="AE654" i="16" s="1"/>
  <c r="W381" i="16"/>
  <c r="W387" i="16" s="1"/>
  <c r="W388" i="16" s="1"/>
  <c r="W647" i="16"/>
  <c r="W653" i="16" s="1"/>
  <c r="W654" i="16" s="1"/>
  <c r="AI138" i="16"/>
  <c r="AI139" i="16" s="1"/>
  <c r="K166" i="15"/>
  <c r="K167" i="15" s="1"/>
  <c r="G266" i="8"/>
  <c r="G267" i="8" s="1"/>
  <c r="G269" i="8" s="1"/>
  <c r="G49" i="11" s="1"/>
  <c r="H49" i="11" s="1"/>
  <c r="L890" i="15"/>
  <c r="L897" i="15" s="1"/>
  <c r="L899" i="15" s="1"/>
  <c r="N805" i="15"/>
  <c r="N806" i="15" s="1"/>
  <c r="AH381" i="16"/>
  <c r="AH387" i="16" s="1"/>
  <c r="AH388" i="16" s="1"/>
  <c r="AH647" i="16"/>
  <c r="AH653" i="16" s="1"/>
  <c r="AH654" i="16" s="1"/>
  <c r="AD647" i="16"/>
  <c r="AD653" i="16" s="1"/>
  <c r="AD654" i="16" s="1"/>
  <c r="AD381" i="16"/>
  <c r="AD387" i="16" s="1"/>
  <c r="AD388" i="16" s="1"/>
  <c r="I579" i="15"/>
  <c r="I581" i="15" s="1"/>
  <c r="G253" i="9"/>
  <c r="G254" i="9" s="1"/>
  <c r="G256" i="9" s="1"/>
  <c r="G50" i="11" s="1"/>
  <c r="K647" i="16"/>
  <c r="K653" i="16" s="1"/>
  <c r="K654" i="16" s="1"/>
  <c r="K381" i="16"/>
  <c r="K387" i="16" s="1"/>
  <c r="K388" i="16" s="1"/>
  <c r="M647" i="16"/>
  <c r="M653" i="16" s="1"/>
  <c r="M654" i="16" s="1"/>
  <c r="M381" i="16"/>
  <c r="M387" i="16" s="1"/>
  <c r="M388" i="16" s="1"/>
  <c r="AI381" i="16"/>
  <c r="AI387" i="16" s="1"/>
  <c r="AI388" i="16" s="1"/>
  <c r="AI647" i="16"/>
  <c r="AI653" i="16" s="1"/>
  <c r="AI654" i="16" s="1"/>
  <c r="G927" i="15"/>
  <c r="G928" i="15" s="1"/>
  <c r="I897" i="15"/>
  <c r="I899" i="15" s="1"/>
  <c r="G103" i="14"/>
  <c r="L572" i="15"/>
  <c r="L579" i="15" s="1"/>
  <c r="L581" i="15" s="1"/>
  <c r="AB166" i="15"/>
  <c r="AB167" i="15" s="1"/>
  <c r="AL381" i="16"/>
  <c r="AL387" i="16" s="1"/>
  <c r="AL388" i="16" s="1"/>
  <c r="AL647" i="16"/>
  <c r="AL653" i="16" s="1"/>
  <c r="AL654" i="16" s="1"/>
  <c r="AN381" i="16"/>
  <c r="AN387" i="16" s="1"/>
  <c r="AN388" i="16" s="1"/>
  <c r="AN647" i="16"/>
  <c r="AN653" i="16" s="1"/>
  <c r="AN654" i="16" s="1"/>
  <c r="AO647" i="16"/>
  <c r="AO653" i="16" s="1"/>
  <c r="AO654" i="16" s="1"/>
  <c r="AO381" i="16"/>
  <c r="AO387" i="16" s="1"/>
  <c r="AO388" i="16" s="1"/>
  <c r="R647" i="16"/>
  <c r="R653" i="16" s="1"/>
  <c r="R654" i="16" s="1"/>
  <c r="R381" i="16"/>
  <c r="R387" i="16" s="1"/>
  <c r="R388" i="16" s="1"/>
  <c r="AM647" i="16"/>
  <c r="AM653" i="16" s="1"/>
  <c r="AM654" i="16" s="1"/>
  <c r="AM381" i="16"/>
  <c r="AM387" i="16" s="1"/>
  <c r="AM388" i="16" s="1"/>
  <c r="O381" i="16"/>
  <c r="O387" i="16" s="1"/>
  <c r="O388" i="16" s="1"/>
  <c r="O647" i="16"/>
  <c r="O653" i="16" s="1"/>
  <c r="O654" i="16" s="1"/>
  <c r="N138" i="16"/>
  <c r="N139" i="16" s="1"/>
  <c r="R166" i="15"/>
  <c r="R167" i="15" s="1"/>
  <c r="AF647" i="16"/>
  <c r="AF653" i="16" s="1"/>
  <c r="AF654" i="16" s="1"/>
  <c r="AF381" i="16"/>
  <c r="AF387" i="16" s="1"/>
  <c r="AF388" i="16" s="1"/>
  <c r="T381" i="16"/>
  <c r="T387" i="16" s="1"/>
  <c r="T388" i="16" s="1"/>
  <c r="T647" i="16"/>
  <c r="T653" i="16" s="1"/>
  <c r="T654" i="16" s="1"/>
  <c r="P647" i="16"/>
  <c r="P653" i="16" s="1"/>
  <c r="P654" i="16" s="1"/>
  <c r="P381" i="16"/>
  <c r="P387" i="16" s="1"/>
  <c r="P388" i="16" s="1"/>
  <c r="J381" i="16"/>
  <c r="J387" i="16" s="1"/>
  <c r="J388" i="16" s="1"/>
  <c r="J647" i="16"/>
  <c r="J653" i="16" s="1"/>
  <c r="J654" i="16" s="1"/>
  <c r="G507" i="16"/>
  <c r="G508" i="16" s="1"/>
  <c r="G517" i="16"/>
  <c r="I471" i="16"/>
  <c r="I477" i="16" s="1"/>
  <c r="I479" i="16" s="1"/>
  <c r="G480" i="16" s="1"/>
  <c r="G481" i="16" s="1"/>
  <c r="AF166" i="15"/>
  <c r="AF167" i="15" s="1"/>
  <c r="I257" i="7"/>
  <c r="I259" i="7" s="1"/>
  <c r="G260" i="7" s="1"/>
  <c r="G261" i="7" s="1"/>
  <c r="G263" i="7" s="1"/>
  <c r="G48" i="11" s="1"/>
  <c r="AH138" i="16"/>
  <c r="AH139" i="16" s="1"/>
  <c r="AL138" i="16"/>
  <c r="AL139" i="16" s="1"/>
  <c r="AC166" i="15"/>
  <c r="AC167" i="15" s="1"/>
  <c r="G412" i="16"/>
  <c r="G413" i="16" s="1"/>
  <c r="U138" i="16"/>
  <c r="U139" i="16" s="1"/>
  <c r="J138" i="16"/>
  <c r="J139" i="16" s="1"/>
  <c r="M138" i="16"/>
  <c r="M139" i="16" s="1"/>
  <c r="AH166" i="15"/>
  <c r="AH167" i="15" s="1"/>
  <c r="AM166" i="15"/>
  <c r="AM167" i="15" s="1"/>
  <c r="I173" i="8"/>
  <c r="I175" i="8" s="1"/>
  <c r="G176" i="8" s="1"/>
  <c r="G177" i="8" s="1"/>
  <c r="G166" i="8"/>
  <c r="G291" i="15"/>
  <c r="G784" i="15"/>
  <c r="G785" i="15" s="1"/>
  <c r="M572" i="15"/>
  <c r="M579" i="15" s="1"/>
  <c r="M581" i="15" s="1"/>
  <c r="G163" i="7"/>
  <c r="I170" i="7"/>
  <c r="I172" i="7" s="1"/>
  <c r="G173" i="7" s="1"/>
  <c r="G174" i="7" s="1"/>
  <c r="AB381" i="16"/>
  <c r="AB387" i="16" s="1"/>
  <c r="AB388" i="16" s="1"/>
  <c r="AB647" i="16"/>
  <c r="AB653" i="16" s="1"/>
  <c r="AB654" i="16" s="1"/>
  <c r="V647" i="16"/>
  <c r="V653" i="16" s="1"/>
  <c r="V654" i="16" s="1"/>
  <c r="V381" i="16"/>
  <c r="V387" i="16" s="1"/>
  <c r="V388" i="16" s="1"/>
  <c r="AJ381" i="16"/>
  <c r="AJ387" i="16" s="1"/>
  <c r="AJ388" i="16" s="1"/>
  <c r="AJ647" i="16"/>
  <c r="AJ653" i="16" s="1"/>
  <c r="AJ654" i="16" s="1"/>
  <c r="X647" i="16"/>
  <c r="X653" i="16" s="1"/>
  <c r="X654" i="16" s="1"/>
  <c r="X381" i="16"/>
  <c r="X387" i="16" s="1"/>
  <c r="X388" i="16" s="1"/>
  <c r="AK166" i="15"/>
  <c r="AK167" i="15" s="1"/>
  <c r="AA138" i="16"/>
  <c r="AA139" i="16" s="1"/>
  <c r="I82" i="8"/>
  <c r="I84" i="8" s="1"/>
  <c r="G85" i="8" s="1"/>
  <c r="AG166" i="15"/>
  <c r="AG167" i="15" s="1"/>
  <c r="G466" i="15"/>
  <c r="G467" i="15" s="1"/>
  <c r="U647" i="16"/>
  <c r="U653" i="16" s="1"/>
  <c r="U654" i="16" s="1"/>
  <c r="U381" i="16"/>
  <c r="U387" i="16" s="1"/>
  <c r="U388" i="16" s="1"/>
  <c r="W138" i="16"/>
  <c r="W139" i="16" s="1"/>
  <c r="Y647" i="16"/>
  <c r="Y653" i="16" s="1"/>
  <c r="Y654" i="16" s="1"/>
  <c r="Y381" i="16"/>
  <c r="Y387" i="16" s="1"/>
  <c r="Y388" i="16" s="1"/>
  <c r="AG647" i="16"/>
  <c r="AG653" i="16" s="1"/>
  <c r="AG654" i="16" s="1"/>
  <c r="AG381" i="16"/>
  <c r="AG387" i="16" s="1"/>
  <c r="AG388" i="16" s="1"/>
  <c r="AK647" i="16"/>
  <c r="AK653" i="16" s="1"/>
  <c r="AK654" i="16" s="1"/>
  <c r="AK381" i="16"/>
  <c r="AK387" i="16" s="1"/>
  <c r="AK388" i="16" s="1"/>
  <c r="I261" i="15"/>
  <c r="I263" i="15" s="1"/>
  <c r="G264" i="15" s="1"/>
  <c r="M890" i="15"/>
  <c r="M897" i="15" s="1"/>
  <c r="M899" i="15" s="1"/>
  <c r="O138" i="16"/>
  <c r="O139" i="16" s="1"/>
  <c r="AD166" i="15"/>
  <c r="AD167" i="15" s="1"/>
  <c r="L138" i="16"/>
  <c r="L139" i="16" s="1"/>
  <c r="N572" i="15"/>
  <c r="N579" i="15" s="1"/>
  <c r="N581" i="15" s="1"/>
  <c r="G245" i="14"/>
  <c r="G246" i="14" s="1"/>
  <c r="Z166" i="15"/>
  <c r="Z167" i="15" s="1"/>
  <c r="G783" i="16"/>
  <c r="I737" i="16"/>
  <c r="T166" i="15"/>
  <c r="T167" i="15" s="1"/>
  <c r="I381" i="16"/>
  <c r="I387" i="16" s="1"/>
  <c r="I388" i="16" s="1"/>
  <c r="I647" i="16"/>
  <c r="I653" i="16" s="1"/>
  <c r="I654" i="16" s="1"/>
  <c r="Q647" i="16"/>
  <c r="Q653" i="16" s="1"/>
  <c r="Q654" i="16" s="1"/>
  <c r="Q381" i="16"/>
  <c r="Q387" i="16" s="1"/>
  <c r="Q388" i="16" s="1"/>
  <c r="S647" i="16"/>
  <c r="S653" i="16" s="1"/>
  <c r="S654" i="16" s="1"/>
  <c r="S381" i="16"/>
  <c r="S387" i="16" s="1"/>
  <c r="S388" i="16" s="1"/>
  <c r="AC647" i="16"/>
  <c r="AC653" i="16" s="1"/>
  <c r="AC654" i="16" s="1"/>
  <c r="AC381" i="16"/>
  <c r="AC387" i="16" s="1"/>
  <c r="AC388" i="16" s="1"/>
  <c r="L647" i="16"/>
  <c r="L653" i="16" s="1"/>
  <c r="L654" i="16" s="1"/>
  <c r="L381" i="16"/>
  <c r="L387" i="16" s="1"/>
  <c r="L388" i="16" s="1"/>
  <c r="V138" i="16"/>
  <c r="V139" i="16" s="1"/>
  <c r="I136" i="15"/>
  <c r="I143" i="15" s="1"/>
  <c r="I144" i="15" s="1"/>
  <c r="G145" i="15" s="1"/>
  <c r="M166" i="15"/>
  <c r="M167" i="15" s="1"/>
  <c r="G77" i="9"/>
  <c r="K138" i="16"/>
  <c r="K139" i="16" s="1"/>
  <c r="I166" i="15"/>
  <c r="I167" i="15" s="1"/>
  <c r="G274" i="16" l="1"/>
  <c r="G275" i="16" s="1"/>
  <c r="J21" i="22" s="1"/>
  <c r="K21" i="22" s="1"/>
  <c r="G539" i="16"/>
  <c r="G805" i="16"/>
  <c r="G806" i="16" s="1"/>
  <c r="G807" i="16" s="1"/>
  <c r="G810" i="16" s="1"/>
  <c r="G57" i="11" s="1"/>
  <c r="H57" i="11" s="1"/>
  <c r="G641" i="15"/>
  <c r="G959" i="15"/>
  <c r="G275" i="14"/>
  <c r="G32" i="11" s="1"/>
  <c r="G104" i="14"/>
  <c r="G419" i="14"/>
  <c r="G51" i="11" s="1"/>
  <c r="H51" i="11" s="1"/>
  <c r="J14" i="22"/>
  <c r="K14" i="22" s="1"/>
  <c r="J12" i="22"/>
  <c r="J13" i="22"/>
  <c r="K13" i="22" s="1"/>
  <c r="J17" i="22"/>
  <c r="K17" i="22" s="1"/>
  <c r="J20" i="22"/>
  <c r="K20" i="22" s="1"/>
  <c r="J15" i="22"/>
  <c r="G292" i="15"/>
  <c r="G243" i="16"/>
  <c r="G78" i="9"/>
  <c r="G80" i="9" s="1"/>
  <c r="G13" i="11" s="1"/>
  <c r="G322" i="15"/>
  <c r="G324" i="15" s="1"/>
  <c r="G168" i="15"/>
  <c r="G169" i="15" s="1"/>
  <c r="G146" i="15"/>
  <c r="G268" i="9"/>
  <c r="G269" i="9" s="1"/>
  <c r="L49" i="11" s="1"/>
  <c r="H48" i="11"/>
  <c r="H50" i="11"/>
  <c r="G259" i="16"/>
  <c r="L15" i="11" s="1"/>
  <c r="G145" i="14"/>
  <c r="G432" i="14"/>
  <c r="G433" i="14" s="1"/>
  <c r="L50" i="11" s="1"/>
  <c r="G191" i="8"/>
  <c r="G288" i="14"/>
  <c r="G100" i="8"/>
  <c r="G101" i="8" s="1"/>
  <c r="L11" i="11" s="1"/>
  <c r="G180" i="9"/>
  <c r="G281" i="8"/>
  <c r="G282" i="8" s="1"/>
  <c r="L48" i="11" s="1"/>
  <c r="G943" i="15"/>
  <c r="G944" i="15" s="1"/>
  <c r="L51" i="11" s="1"/>
  <c r="G625" i="15"/>
  <c r="G518" i="16"/>
  <c r="G784" i="16"/>
  <c r="G789" i="16" s="1"/>
  <c r="G307" i="15"/>
  <c r="G308" i="15" s="1"/>
  <c r="L14" i="11" s="1"/>
  <c r="G92" i="9"/>
  <c r="G93" i="9" s="1"/>
  <c r="L12" i="11" s="1"/>
  <c r="G84" i="7"/>
  <c r="G86" i="7" s="1"/>
  <c r="G11" i="11" s="1"/>
  <c r="U605" i="15"/>
  <c r="U606" i="15" s="1"/>
  <c r="U608" i="15" s="1"/>
  <c r="O606" i="15"/>
  <c r="O608" i="15" s="1"/>
  <c r="G538" i="16"/>
  <c r="O890" i="15"/>
  <c r="O897" i="15" s="1"/>
  <c r="O899" i="15" s="1"/>
  <c r="Q890" i="15"/>
  <c r="Q897" i="15" s="1"/>
  <c r="Q899" i="15" s="1"/>
  <c r="G265" i="15"/>
  <c r="P805" i="15"/>
  <c r="P806" i="15" s="1"/>
  <c r="S805" i="15"/>
  <c r="S806" i="15" s="1"/>
  <c r="G492" i="15"/>
  <c r="G140" i="16"/>
  <c r="O572" i="15"/>
  <c r="Q572" i="15"/>
  <c r="Q579" i="15" s="1"/>
  <c r="Q581" i="15" s="1"/>
  <c r="G86" i="8"/>
  <c r="G88" i="8" s="1"/>
  <c r="G12" i="11" s="1"/>
  <c r="S606" i="15"/>
  <c r="S608" i="15" s="1"/>
  <c r="V605" i="15"/>
  <c r="G510" i="16"/>
  <c r="G37" i="11" s="1"/>
  <c r="T805" i="15"/>
  <c r="T806" i="15" s="1"/>
  <c r="W804" i="15"/>
  <c r="G389" i="16"/>
  <c r="G390" i="16" s="1"/>
  <c r="G415" i="16" s="1"/>
  <c r="G655" i="16"/>
  <c r="G656" i="16" s="1"/>
  <c r="G681" i="16" s="1"/>
  <c r="G682" i="16" s="1"/>
  <c r="G55" i="11" s="1"/>
  <c r="U805" i="15"/>
  <c r="U806" i="15" s="1"/>
  <c r="X804" i="15"/>
  <c r="P890" i="15"/>
  <c r="W606" i="15"/>
  <c r="W608" i="15" s="1"/>
  <c r="Z605" i="15"/>
  <c r="P572" i="15"/>
  <c r="Y804" i="15"/>
  <c r="V805" i="15"/>
  <c r="V806" i="15" s="1"/>
  <c r="L85" i="22" l="1"/>
  <c r="L80" i="22"/>
  <c r="L81" i="22"/>
  <c r="L84" i="22"/>
  <c r="L79" i="22"/>
  <c r="L87" i="22"/>
  <c r="L82" i="22"/>
  <c r="L86" i="22"/>
  <c r="G276" i="16"/>
  <c r="G279" i="16" s="1"/>
  <c r="G20" i="11" s="1"/>
  <c r="H20" i="11" s="1"/>
  <c r="G540" i="16"/>
  <c r="G541" i="16" s="1"/>
  <c r="G544" i="16" s="1"/>
  <c r="G38" i="11" s="1"/>
  <c r="H38" i="11" s="1"/>
  <c r="G245" i="16"/>
  <c r="G19" i="11" s="1"/>
  <c r="G46" i="22"/>
  <c r="H46" i="22" s="1"/>
  <c r="G47" i="22"/>
  <c r="H47" i="22" s="1"/>
  <c r="J47" i="22" s="1"/>
  <c r="J19" i="22"/>
  <c r="K19" i="22" s="1"/>
  <c r="J16" i="22"/>
  <c r="K16" i="22" s="1"/>
  <c r="J18" i="22"/>
  <c r="K18" i="22" s="1"/>
  <c r="G171" i="15"/>
  <c r="G172" i="15" s="1"/>
  <c r="G15" i="11" s="1"/>
  <c r="G49" i="22" s="1"/>
  <c r="H49" i="22" s="1"/>
  <c r="G141" i="16"/>
  <c r="G143" i="16" s="1"/>
  <c r="G144" i="16" s="1"/>
  <c r="G18" i="11" s="1"/>
  <c r="H18" i="11" s="1"/>
  <c r="G325" i="15"/>
  <c r="G328" i="15" s="1"/>
  <c r="G17" i="11" s="1"/>
  <c r="H17" i="11" s="1"/>
  <c r="G294" i="15"/>
  <c r="G16" i="11" s="1"/>
  <c r="H13" i="11"/>
  <c r="H37" i="11"/>
  <c r="H12" i="11"/>
  <c r="H32" i="11"/>
  <c r="H11" i="11"/>
  <c r="H55" i="11"/>
  <c r="G523" i="16"/>
  <c r="G790" i="16"/>
  <c r="L52" i="11" s="1"/>
  <c r="X605" i="15"/>
  <c r="AA605" i="15" s="1"/>
  <c r="R890" i="15"/>
  <c r="R897" i="15" s="1"/>
  <c r="R899" i="15" s="1"/>
  <c r="T890" i="15"/>
  <c r="W890" i="15" s="1"/>
  <c r="T572" i="15"/>
  <c r="W572" i="15" s="1"/>
  <c r="O579" i="15"/>
  <c r="O581" i="15" s="1"/>
  <c r="R572" i="15"/>
  <c r="X805" i="15"/>
  <c r="X806" i="15" s="1"/>
  <c r="AA804" i="15"/>
  <c r="Y605" i="15"/>
  <c r="V606" i="15"/>
  <c r="V608" i="15" s="1"/>
  <c r="AB804" i="15"/>
  <c r="Y805" i="15"/>
  <c r="Y806" i="15" s="1"/>
  <c r="P897" i="15"/>
  <c r="P899" i="15" s="1"/>
  <c r="S890" i="15"/>
  <c r="P579" i="15"/>
  <c r="P581" i="15" s="1"/>
  <c r="S572" i="15"/>
  <c r="Z606" i="15"/>
  <c r="Z608" i="15" s="1"/>
  <c r="AC605" i="15"/>
  <c r="W805" i="15"/>
  <c r="W806" i="15" s="1"/>
  <c r="Z804" i="15"/>
  <c r="G54" i="22" l="1"/>
  <c r="H54" i="22" s="1"/>
  <c r="J54" i="22" s="1"/>
  <c r="H19" i="11"/>
  <c r="G53" i="22"/>
  <c r="H53" i="22" s="1"/>
  <c r="J53" i="22" s="1"/>
  <c r="G52" i="22"/>
  <c r="H52" i="22" s="1"/>
  <c r="G51" i="22"/>
  <c r="H51" i="22" s="1"/>
  <c r="J51" i="22" s="1"/>
  <c r="G50" i="22"/>
  <c r="H50" i="22" s="1"/>
  <c r="J50" i="22" s="1"/>
  <c r="H16" i="11"/>
  <c r="H15" i="11"/>
  <c r="X606" i="15"/>
  <c r="X608" i="15" s="1"/>
  <c r="T579" i="15"/>
  <c r="T581" i="15" s="1"/>
  <c r="T897" i="15"/>
  <c r="T899" i="15" s="1"/>
  <c r="U890" i="15"/>
  <c r="U897" i="15" s="1"/>
  <c r="U899" i="15" s="1"/>
  <c r="R579" i="15"/>
  <c r="R581" i="15" s="1"/>
  <c r="U572" i="15"/>
  <c r="AA606" i="15"/>
  <c r="AA608" i="15" s="1"/>
  <c r="AD605" i="15"/>
  <c r="Y606" i="15"/>
  <c r="Y608" i="15" s="1"/>
  <c r="AB605" i="15"/>
  <c r="W579" i="15"/>
  <c r="W581" i="15" s="1"/>
  <c r="Z572" i="15"/>
  <c r="AD804" i="15"/>
  <c r="AA805" i="15"/>
  <c r="AA806" i="15" s="1"/>
  <c r="AB805" i="15"/>
  <c r="AB806" i="15" s="1"/>
  <c r="AE804" i="15"/>
  <c r="S897" i="15"/>
  <c r="S899" i="15" s="1"/>
  <c r="V890" i="15"/>
  <c r="W897" i="15"/>
  <c r="W899" i="15" s="1"/>
  <c r="Z890" i="15"/>
  <c r="Z805" i="15"/>
  <c r="Z806" i="15" s="1"/>
  <c r="AC804" i="15"/>
  <c r="S579" i="15"/>
  <c r="S581" i="15" s="1"/>
  <c r="V572" i="15"/>
  <c r="AC606" i="15"/>
  <c r="AC608" i="15" s="1"/>
  <c r="AF605" i="15"/>
  <c r="X890" i="15" l="1"/>
  <c r="X897" i="15" s="1"/>
  <c r="X899" i="15" s="1"/>
  <c r="AD606" i="15"/>
  <c r="AD608" i="15" s="1"/>
  <c r="AG605" i="15"/>
  <c r="U579" i="15"/>
  <c r="U581" i="15" s="1"/>
  <c r="X572" i="15"/>
  <c r="AD805" i="15"/>
  <c r="AD806" i="15" s="1"/>
  <c r="AG804" i="15"/>
  <c r="AF606" i="15"/>
  <c r="AF608" i="15" s="1"/>
  <c r="AI605" i="15"/>
  <c r="V897" i="15"/>
  <c r="V899" i="15" s="1"/>
  <c r="Y890" i="15"/>
  <c r="V579" i="15"/>
  <c r="V581" i="15" s="1"/>
  <c r="Y572" i="15"/>
  <c r="AE805" i="15"/>
  <c r="AE806" i="15" s="1"/>
  <c r="AH804" i="15"/>
  <c r="Z897" i="15"/>
  <c r="Z899" i="15" s="1"/>
  <c r="AC890" i="15"/>
  <c r="Z579" i="15"/>
  <c r="Z581" i="15" s="1"/>
  <c r="AC572" i="15"/>
  <c r="AB606" i="15"/>
  <c r="AB608" i="15" s="1"/>
  <c r="AE605" i="15"/>
  <c r="AF804" i="15"/>
  <c r="AC805" i="15"/>
  <c r="AC806" i="15" s="1"/>
  <c r="AA890" i="15" l="1"/>
  <c r="AD890" i="15" s="1"/>
  <c r="AA572" i="15"/>
  <c r="X579" i="15"/>
  <c r="X581" i="15" s="1"/>
  <c r="AJ605" i="15"/>
  <c r="AG606" i="15"/>
  <c r="AG608" i="15" s="1"/>
  <c r="AI804" i="15"/>
  <c r="AF805" i="15"/>
  <c r="AF806" i="15" s="1"/>
  <c r="AC897" i="15"/>
  <c r="AC899" i="15" s="1"/>
  <c r="AF890" i="15"/>
  <c r="Y897" i="15"/>
  <c r="Y899" i="15" s="1"/>
  <c r="AB890" i="15"/>
  <c r="AI606" i="15"/>
  <c r="AI608" i="15" s="1"/>
  <c r="AL605" i="15"/>
  <c r="AH605" i="15"/>
  <c r="AE606" i="15"/>
  <c r="AE608" i="15" s="1"/>
  <c r="AC579" i="15"/>
  <c r="AC581" i="15" s="1"/>
  <c r="AF572" i="15"/>
  <c r="Y579" i="15"/>
  <c r="Y581" i="15" s="1"/>
  <c r="AB572" i="15"/>
  <c r="AG805" i="15"/>
  <c r="AG806" i="15" s="1"/>
  <c r="AJ804" i="15"/>
  <c r="AH805" i="15"/>
  <c r="AH806" i="15" s="1"/>
  <c r="AK804" i="15"/>
  <c r="AA897" i="15" l="1"/>
  <c r="AA899" i="15" s="1"/>
  <c r="AM605" i="15"/>
  <c r="AJ606" i="15"/>
  <c r="AJ608" i="15" s="1"/>
  <c r="AA579" i="15"/>
  <c r="AA581" i="15" s="1"/>
  <c r="AD572" i="15"/>
  <c r="AD897" i="15"/>
  <c r="AD899" i="15" s="1"/>
  <c r="AG890" i="15"/>
  <c r="AK605" i="15"/>
  <c r="AH606" i="15"/>
  <c r="AH608" i="15" s="1"/>
  <c r="AF897" i="15"/>
  <c r="AF899" i="15" s="1"/>
  <c r="AI890" i="15"/>
  <c r="AM804" i="15"/>
  <c r="AM805" i="15" s="1"/>
  <c r="AM806" i="15" s="1"/>
  <c r="AJ805" i="15"/>
  <c r="AJ806" i="15" s="1"/>
  <c r="AB897" i="15"/>
  <c r="AB899" i="15" s="1"/>
  <c r="AE890" i="15"/>
  <c r="AO605" i="15"/>
  <c r="AO606" i="15" s="1"/>
  <c r="AO608" i="15" s="1"/>
  <c r="AL606" i="15"/>
  <c r="AL608" i="15" s="1"/>
  <c r="AB579" i="15"/>
  <c r="AB581" i="15" s="1"/>
  <c r="AE572" i="15"/>
  <c r="AN804" i="15"/>
  <c r="AN805" i="15" s="1"/>
  <c r="AN806" i="15" s="1"/>
  <c r="AK805" i="15"/>
  <c r="AK806" i="15" s="1"/>
  <c r="AF579" i="15"/>
  <c r="AF581" i="15" s="1"/>
  <c r="AI572" i="15"/>
  <c r="AL804" i="15"/>
  <c r="AI805" i="15"/>
  <c r="AI806" i="15" s="1"/>
  <c r="AD579" i="15" l="1"/>
  <c r="AD581" i="15" s="1"/>
  <c r="AG572" i="15"/>
  <c r="AM606" i="15"/>
  <c r="AM608" i="15" s="1"/>
  <c r="AP605" i="15"/>
  <c r="AP606" i="15" s="1"/>
  <c r="AP608" i="15" s="1"/>
  <c r="AN605" i="15"/>
  <c r="AN606" i="15" s="1"/>
  <c r="AN608" i="15" s="1"/>
  <c r="AK606" i="15"/>
  <c r="AK608" i="15" s="1"/>
  <c r="AG897" i="15"/>
  <c r="AG899" i="15" s="1"/>
  <c r="AJ890" i="15"/>
  <c r="AL805" i="15"/>
  <c r="AL806" i="15" s="1"/>
  <c r="AO804" i="15"/>
  <c r="AO805" i="15" s="1"/>
  <c r="AO806" i="15" s="1"/>
  <c r="AE897" i="15"/>
  <c r="AE899" i="15" s="1"/>
  <c r="AH890" i="15"/>
  <c r="AI579" i="15"/>
  <c r="AI581" i="15" s="1"/>
  <c r="AL572" i="15"/>
  <c r="AE579" i="15"/>
  <c r="AE581" i="15" s="1"/>
  <c r="AH572" i="15"/>
  <c r="AI897" i="15"/>
  <c r="AI899" i="15" s="1"/>
  <c r="AL890" i="15"/>
  <c r="G807" i="15" l="1"/>
  <c r="G808" i="15" s="1"/>
  <c r="G810" i="15" s="1"/>
  <c r="G811" i="15" s="1"/>
  <c r="G52" i="11" s="1"/>
  <c r="G609" i="15"/>
  <c r="G610" i="15" s="1"/>
  <c r="AG579" i="15"/>
  <c r="AG581" i="15" s="1"/>
  <c r="AJ572" i="15"/>
  <c r="AL897" i="15"/>
  <c r="AL899" i="15" s="1"/>
  <c r="AO890" i="15"/>
  <c r="AO897" i="15" s="1"/>
  <c r="AO899" i="15" s="1"/>
  <c r="AH579" i="15"/>
  <c r="AH581" i="15" s="1"/>
  <c r="AK572" i="15"/>
  <c r="AJ897" i="15"/>
  <c r="AJ899" i="15" s="1"/>
  <c r="AM890" i="15"/>
  <c r="AM897" i="15" s="1"/>
  <c r="AM899" i="15" s="1"/>
  <c r="AL579" i="15"/>
  <c r="AL581" i="15" s="1"/>
  <c r="AO572" i="15"/>
  <c r="AO579" i="15" s="1"/>
  <c r="AO581" i="15" s="1"/>
  <c r="AH897" i="15"/>
  <c r="AH899" i="15" s="1"/>
  <c r="AK890" i="15"/>
  <c r="H52" i="11" l="1"/>
  <c r="AJ579" i="15"/>
  <c r="AJ581" i="15" s="1"/>
  <c r="AM572" i="15"/>
  <c r="AM579" i="15" s="1"/>
  <c r="AM581" i="15" s="1"/>
  <c r="AK579" i="15"/>
  <c r="AK581" i="15" s="1"/>
  <c r="AN572" i="15"/>
  <c r="AN579" i="15" s="1"/>
  <c r="AN581" i="15" s="1"/>
  <c r="AK897" i="15"/>
  <c r="AK899" i="15" s="1"/>
  <c r="AN890" i="15"/>
  <c r="AN897" i="15" s="1"/>
  <c r="AN899" i="15" s="1"/>
  <c r="G900" i="15" l="1"/>
  <c r="G901" i="15" s="1"/>
  <c r="G930" i="15" s="1"/>
  <c r="G53" i="11" s="1"/>
  <c r="H53" i="11" s="1"/>
  <c r="G582" i="15"/>
  <c r="G640" i="15" s="1"/>
  <c r="G642" i="15" s="1"/>
  <c r="G643" i="15" s="1"/>
  <c r="G646" i="15" s="1"/>
  <c r="G35" i="11" s="1"/>
  <c r="G958" i="15" l="1"/>
  <c r="G960" i="15" s="1"/>
  <c r="G961" i="15" s="1"/>
  <c r="G964" i="15" s="1"/>
  <c r="G54" i="11" s="1"/>
  <c r="H35" i="11"/>
  <c r="G583" i="15"/>
  <c r="G612" i="15" s="1"/>
  <c r="G34" i="11" s="1"/>
  <c r="H54" i="11" l="1"/>
  <c r="H34" i="11"/>
  <c r="D40" i="14"/>
  <c r="AB40" i="14" l="1"/>
  <c r="AA40" i="14"/>
  <c r="Z40" i="14"/>
  <c r="X40" i="14"/>
  <c r="Y40" i="14"/>
  <c r="M40" i="14"/>
  <c r="M43" i="14" s="1"/>
  <c r="S40" i="14"/>
  <c r="S41" i="14" s="1"/>
  <c r="T40" i="14"/>
  <c r="T41" i="14" s="1"/>
  <c r="P40" i="14"/>
  <c r="P43" i="14" s="1"/>
  <c r="P71" i="14" s="1"/>
  <c r="K40" i="14"/>
  <c r="J40" i="14"/>
  <c r="R40" i="14"/>
  <c r="R41" i="14" s="1"/>
  <c r="O40" i="14"/>
  <c r="O43" i="14" s="1"/>
  <c r="N40" i="14"/>
  <c r="Q40" i="14"/>
  <c r="Q43" i="14" s="1"/>
  <c r="Q71" i="14" s="1"/>
  <c r="I40" i="14"/>
  <c r="L40" i="14"/>
  <c r="W40" i="14"/>
  <c r="W41" i="14" s="1"/>
  <c r="V40" i="14"/>
  <c r="V41" i="14" s="1"/>
  <c r="U40" i="14"/>
  <c r="U41" i="14" s="1"/>
  <c r="M71" i="14" l="1"/>
  <c r="M72" i="14" s="1"/>
  <c r="O71" i="14"/>
  <c r="O72" i="14" s="1"/>
  <c r="Z41" i="14"/>
  <c r="Z43" i="14" s="1"/>
  <c r="AA41" i="14"/>
  <c r="AA43" i="14" s="1"/>
  <c r="AB41" i="14"/>
  <c r="AB43" i="14" s="1"/>
  <c r="Y41" i="14"/>
  <c r="Y43" i="14" s="1"/>
  <c r="X41" i="14"/>
  <c r="X43" i="14" s="1"/>
  <c r="R43" i="14"/>
  <c r="J43" i="14"/>
  <c r="K43" i="14"/>
  <c r="U43" i="14"/>
  <c r="P72" i="14"/>
  <c r="I43" i="14"/>
  <c r="I71" i="14" s="1"/>
  <c r="T43" i="14"/>
  <c r="S43" i="14"/>
  <c r="L43" i="14"/>
  <c r="N43" i="14"/>
  <c r="V43" i="14"/>
  <c r="Q72" i="14"/>
  <c r="W43" i="14"/>
  <c r="I72" i="14" l="1"/>
  <c r="Y71" i="14"/>
  <c r="Y72" i="14" s="1"/>
  <c r="T71" i="14"/>
  <c r="T72" i="14" s="1"/>
  <c r="U71" i="14"/>
  <c r="U72" i="14" s="1"/>
  <c r="AA71" i="14"/>
  <c r="AA72" i="14" s="1"/>
  <c r="K71" i="14"/>
  <c r="K72" i="14" s="1"/>
  <c r="W71" i="14"/>
  <c r="W72" i="14" s="1"/>
  <c r="Z71" i="14"/>
  <c r="Z72" i="14" s="1"/>
  <c r="J71" i="14"/>
  <c r="J72" i="14" s="1"/>
  <c r="AB71" i="14"/>
  <c r="AB72" i="14" s="1"/>
  <c r="V71" i="14"/>
  <c r="V72" i="14" s="1"/>
  <c r="N71" i="14"/>
  <c r="N72" i="14" s="1"/>
  <c r="L71" i="14"/>
  <c r="L72" i="14" s="1"/>
  <c r="R71" i="14"/>
  <c r="R72" i="14" s="1"/>
  <c r="S71" i="14"/>
  <c r="S72" i="14" s="1"/>
  <c r="X71" i="14"/>
  <c r="X72" i="14" s="1"/>
  <c r="G73" i="14" l="1"/>
  <c r="G74" i="14" l="1"/>
  <c r="G132" i="14" s="1"/>
  <c r="H15" i="22"/>
  <c r="G137" i="14"/>
  <c r="AK375" i="15"/>
  <c r="Y375" i="15"/>
  <c r="O375" i="15"/>
  <c r="U387" i="15"/>
  <c r="AN387" i="15"/>
  <c r="T375" i="15"/>
  <c r="AI387" i="15"/>
  <c r="AM375" i="15"/>
  <c r="AO387" i="15"/>
  <c r="AJ387" i="15"/>
  <c r="AD375" i="15"/>
  <c r="J375" i="15"/>
  <c r="AH375" i="15"/>
  <c r="W387" i="15"/>
  <c r="AA387" i="15"/>
  <c r="AF375" i="15"/>
  <c r="AG387" i="15"/>
  <c r="AB375" i="15"/>
  <c r="R375" i="15"/>
  <c r="AC375" i="15"/>
  <c r="AE387" i="15"/>
  <c r="K15" i="22" l="1"/>
  <c r="I48" i="22"/>
  <c r="G14" i="11"/>
  <c r="F14" i="11"/>
  <c r="G138" i="14"/>
  <c r="I387" i="15"/>
  <c r="P387" i="15"/>
  <c r="L375" i="15"/>
  <c r="AL387" i="15"/>
  <c r="V387" i="15"/>
  <c r="K387" i="15"/>
  <c r="AL375" i="15"/>
  <c r="J387" i="15"/>
  <c r="AF387" i="15"/>
  <c r="AE375" i="15"/>
  <c r="N375" i="15"/>
  <c r="P375" i="15"/>
  <c r="AG375" i="15"/>
  <c r="AH387" i="15"/>
  <c r="L387" i="15"/>
  <c r="X375" i="15"/>
  <c r="AO375" i="15"/>
  <c r="I375" i="15"/>
  <c r="T387" i="15"/>
  <c r="AM387" i="15"/>
  <c r="W375" i="15"/>
  <c r="X387" i="15"/>
  <c r="S375" i="15"/>
  <c r="M387" i="15"/>
  <c r="Z387" i="15"/>
  <c r="N387" i="15"/>
  <c r="Q375" i="15"/>
  <c r="R387" i="15"/>
  <c r="AC387" i="15"/>
  <c r="AD387" i="15"/>
  <c r="AI375" i="15"/>
  <c r="Q387" i="15"/>
  <c r="AK387" i="15"/>
  <c r="AB387" i="15"/>
  <c r="Z375" i="15"/>
  <c r="AJ375" i="15"/>
  <c r="AN375" i="15"/>
  <c r="O387" i="15"/>
  <c r="Y387" i="15"/>
  <c r="K375" i="15"/>
  <c r="V375" i="15"/>
  <c r="AA375" i="15"/>
  <c r="M375" i="15"/>
  <c r="U375" i="15"/>
  <c r="S387" i="15"/>
  <c r="AN69" i="22" l="1"/>
  <c r="AG69" i="22"/>
  <c r="AN73" i="22"/>
  <c r="AG75" i="22"/>
  <c r="AG70" i="22"/>
  <c r="AN72" i="22"/>
  <c r="AN67" i="22"/>
  <c r="AN68" i="22"/>
  <c r="AG67" i="22"/>
  <c r="AG68" i="22"/>
  <c r="AN74" i="22"/>
  <c r="AG74" i="22"/>
  <c r="AN75" i="22"/>
  <c r="AN70" i="22"/>
  <c r="G48" i="22"/>
  <c r="H48" i="22" s="1"/>
  <c r="J48" i="22" s="1"/>
  <c r="H14" i="11"/>
  <c r="G144" i="14"/>
  <c r="G146" i="14" s="1"/>
  <c r="L13" i="11" s="1"/>
  <c r="E18" i="23" l="1"/>
  <c r="P122" i="9" l="1" a="1"/>
  <c r="P122" i="9" s="1"/>
  <c r="O122" i="9" a="1"/>
  <c r="O122" i="9" s="1"/>
  <c r="AI122" i="9" a="1"/>
  <c r="AI122" i="9" s="1"/>
  <c r="Y122" i="9" a="1"/>
  <c r="Y122" i="9" s="1"/>
  <c r="R421" i="15" a="1"/>
  <c r="R421" i="15" s="1"/>
  <c r="AN421" i="15" a="1"/>
  <c r="AN421" i="15" s="1"/>
  <c r="J421" i="15" a="1"/>
  <c r="J421" i="15" s="1"/>
  <c r="AH421" i="15" a="1"/>
  <c r="AH421" i="15" s="1"/>
  <c r="X421" i="15" a="1"/>
  <c r="X421" i="15" s="1"/>
  <c r="AA421" i="15" a="1"/>
  <c r="AA421" i="15" s="1"/>
  <c r="V421" i="15" a="1"/>
  <c r="V421" i="15" s="1"/>
  <c r="AL421" i="15" a="1"/>
  <c r="AL421" i="15" s="1"/>
  <c r="AE421" i="15" a="1"/>
  <c r="AE421" i="15" s="1"/>
  <c r="I122" i="9" a="1"/>
  <c r="I122" i="9" s="1"/>
  <c r="AL131" i="8" a="1"/>
  <c r="AL131" i="8" s="1"/>
  <c r="U127" i="7" a="1"/>
  <c r="U127" i="7" s="1"/>
  <c r="AG131" i="8" a="1"/>
  <c r="AG131" i="8" s="1"/>
  <c r="O127" i="7" a="1"/>
  <c r="O127" i="7" s="1"/>
  <c r="AM131" i="8" a="1"/>
  <c r="AM131" i="8" s="1"/>
  <c r="AA127" i="7" a="1"/>
  <c r="AA127" i="7" s="1"/>
  <c r="Q131" i="8" a="1"/>
  <c r="Q131" i="8" s="1"/>
  <c r="AF122" i="9" a="1"/>
  <c r="AF122" i="9" s="1"/>
  <c r="N122" i="9" a="1"/>
  <c r="N122" i="9" s="1"/>
  <c r="AH122" i="9" a="1"/>
  <c r="AH122" i="9" s="1"/>
  <c r="W122" i="9" a="1"/>
  <c r="W122" i="9" s="1"/>
  <c r="T421" i="15" a="1"/>
  <c r="T421" i="15" s="1"/>
  <c r="N421" i="15" a="1"/>
  <c r="N421" i="15" s="1"/>
  <c r="U421" i="15" a="1"/>
  <c r="U421" i="15" s="1"/>
  <c r="K421" i="15" a="1"/>
  <c r="K421" i="15" s="1"/>
  <c r="AI421" i="15" a="1"/>
  <c r="AI421" i="15" s="1"/>
  <c r="S421" i="15" a="1"/>
  <c r="S421" i="15" s="1"/>
  <c r="AD131" i="8" a="1"/>
  <c r="AD131" i="8" s="1"/>
  <c r="AO131" i="8" a="1"/>
  <c r="AO131" i="8" s="1"/>
  <c r="R131" i="8" a="1"/>
  <c r="R131" i="8" s="1"/>
  <c r="AJ131" i="8" a="1"/>
  <c r="AJ131" i="8" s="1"/>
  <c r="T122" i="9" a="1"/>
  <c r="T122" i="9" s="1"/>
  <c r="M122" i="9" a="1"/>
  <c r="M122" i="9" s="1"/>
  <c r="AG122" i="9" a="1"/>
  <c r="AG122" i="9" s="1"/>
  <c r="V122" i="9" a="1"/>
  <c r="V122" i="9" s="1"/>
  <c r="Q346" i="16" a="1"/>
  <c r="Q346" i="16" s="1"/>
  <c r="J346" i="16" a="1"/>
  <c r="J346" i="16" s="1"/>
  <c r="L346" i="16" a="1"/>
  <c r="L346" i="16" s="1"/>
  <c r="M346" i="16" a="1"/>
  <c r="M346" i="16" s="1"/>
  <c r="N346" i="16" a="1"/>
  <c r="N346" i="16" s="1"/>
  <c r="AB421" i="15" a="1"/>
  <c r="AB421" i="15" s="1"/>
  <c r="R346" i="16" a="1"/>
  <c r="R346" i="16" s="1"/>
  <c r="AG421" i="15" a="1"/>
  <c r="AG421" i="15" s="1"/>
  <c r="L421" i="15" a="1"/>
  <c r="L421" i="15" s="1"/>
  <c r="Q421" i="15" a="1"/>
  <c r="Q421" i="15" s="1"/>
  <c r="AO421" i="15" a="1"/>
  <c r="AO421" i="15" s="1"/>
  <c r="W421" i="15" a="1"/>
  <c r="W421" i="15" s="1"/>
  <c r="J131" i="8" a="1"/>
  <c r="J131" i="8" s="1"/>
  <c r="Q127" i="7" a="1"/>
  <c r="Q127" i="7" s="1"/>
  <c r="L131" i="8" a="1"/>
  <c r="L131" i="8" s="1"/>
  <c r="AC131" i="8" a="1"/>
  <c r="AC131" i="8" s="1"/>
  <c r="R127" i="7" a="1"/>
  <c r="R127" i="7" s="1"/>
  <c r="P131" i="8" a="1"/>
  <c r="P131" i="8" s="1"/>
  <c r="AJ122" i="9" a="1"/>
  <c r="AJ122" i="9" s="1"/>
  <c r="K122" i="9" a="1"/>
  <c r="K122" i="9" s="1"/>
  <c r="AE122" i="9" a="1"/>
  <c r="AE122" i="9" s="1"/>
  <c r="U122" i="9" a="1"/>
  <c r="U122" i="9" s="1"/>
  <c r="X346" i="16" a="1"/>
  <c r="X346" i="16" s="1"/>
  <c r="Y346" i="16" a="1"/>
  <c r="Y346" i="16" s="1"/>
  <c r="S346" i="16" a="1"/>
  <c r="S346" i="16" s="1"/>
  <c r="T346" i="16" a="1"/>
  <c r="T346" i="16" s="1"/>
  <c r="U346" i="16" a="1"/>
  <c r="U346" i="16" s="1"/>
  <c r="O346" i="16" a="1"/>
  <c r="O346" i="16" s="1"/>
  <c r="P346" i="16" a="1"/>
  <c r="P346" i="16" s="1"/>
  <c r="AJ421" i="15" a="1"/>
  <c r="AJ421" i="15" s="1"/>
  <c r="Y421" i="15" a="1"/>
  <c r="Y421" i="15" s="1"/>
  <c r="M421" i="15" a="1"/>
  <c r="M421" i="15" s="1"/>
  <c r="AC421" i="15" a="1"/>
  <c r="AC421" i="15" s="1"/>
  <c r="M127" i="7" a="1"/>
  <c r="M127" i="7" s="1"/>
  <c r="M131" i="8" a="1"/>
  <c r="M131" i="8" s="1"/>
  <c r="P127" i="7" a="1"/>
  <c r="P127" i="7" s="1"/>
  <c r="S131" i="8" a="1"/>
  <c r="S131" i="8" s="1"/>
  <c r="AB131" i="8" a="1"/>
  <c r="AB131" i="8" s="1"/>
  <c r="N131" i="8" a="1"/>
  <c r="N131" i="8" s="1"/>
  <c r="K127" i="7" a="1"/>
  <c r="K127" i="7" s="1"/>
  <c r="X122" i="9" a="1"/>
  <c r="X122" i="9" s="1"/>
  <c r="AO122" i="9" a="1"/>
  <c r="AO122" i="9" s="1"/>
  <c r="AD122" i="9" a="1"/>
  <c r="AD122" i="9" s="1"/>
  <c r="S122" i="9" a="1"/>
  <c r="S122" i="9" s="1"/>
  <c r="AF346" i="16" a="1"/>
  <c r="AF346" i="16" s="1"/>
  <c r="AG346" i="16" a="1"/>
  <c r="AG346" i="16" s="1"/>
  <c r="AA346" i="16" a="1"/>
  <c r="AA346" i="16" s="1"/>
  <c r="AB346" i="16" a="1"/>
  <c r="AB346" i="16" s="1"/>
  <c r="AC346" i="16" a="1"/>
  <c r="AC346" i="16" s="1"/>
  <c r="V346" i="16" a="1"/>
  <c r="V346" i="16" s="1"/>
  <c r="W346" i="16" a="1"/>
  <c r="W346" i="16" s="1"/>
  <c r="AF421" i="15" a="1"/>
  <c r="AF421" i="15" s="1"/>
  <c r="I421" i="15" a="1"/>
  <c r="I421" i="15" s="1"/>
  <c r="Z421" i="15" a="1"/>
  <c r="Z421" i="15" s="1"/>
  <c r="P421" i="15" a="1"/>
  <c r="P421" i="15" s="1"/>
  <c r="J127" i="7" a="1"/>
  <c r="J127" i="7" s="1"/>
  <c r="T131" i="8" a="1"/>
  <c r="T131" i="8" s="1"/>
  <c r="AI131" i="8" a="1"/>
  <c r="AI131" i="8" s="1"/>
  <c r="I127" i="7" a="1"/>
  <c r="I127" i="7" s="1"/>
  <c r="U131" i="8" a="1"/>
  <c r="U131" i="8" s="1"/>
  <c r="AN122" i="9" a="1"/>
  <c r="AN122" i="9" s="1"/>
  <c r="AM122" i="9" a="1"/>
  <c r="AM122" i="9" s="1"/>
  <c r="AC122" i="9" a="1"/>
  <c r="AC122" i="9" s="1"/>
  <c r="R122" i="9" a="1"/>
  <c r="R122" i="9" s="1"/>
  <c r="AN346" i="16" a="1"/>
  <c r="AN346" i="16" s="1"/>
  <c r="AO346" i="16" a="1"/>
  <c r="AO346" i="16" s="1"/>
  <c r="AI346" i="16" a="1"/>
  <c r="AI346" i="16" s="1"/>
  <c r="AJ346" i="16" a="1"/>
  <c r="AJ346" i="16" s="1"/>
  <c r="AK346" i="16" a="1"/>
  <c r="AK346" i="16" s="1"/>
  <c r="AD346" i="16" a="1"/>
  <c r="AD346" i="16" s="1"/>
  <c r="AE346" i="16" a="1"/>
  <c r="AE346" i="16" s="1"/>
  <c r="O131" i="8" a="1"/>
  <c r="O131" i="8" s="1"/>
  <c r="X131" i="8" a="1"/>
  <c r="X131" i="8" s="1"/>
  <c r="AN131" i="8" a="1"/>
  <c r="AN131" i="8" s="1"/>
  <c r="AH131" i="8" a="1"/>
  <c r="AH131" i="8" s="1"/>
  <c r="W127" i="7" a="1"/>
  <c r="W127" i="7" s="1"/>
  <c r="W131" i="8" a="1"/>
  <c r="W131" i="8" s="1"/>
  <c r="L122" i="9" a="1"/>
  <c r="L122" i="9" s="1"/>
  <c r="J122" i="9" a="1"/>
  <c r="J122" i="9" s="1"/>
  <c r="AL122" i="9" a="1"/>
  <c r="AL122" i="9" s="1"/>
  <c r="AA122" i="9" a="1"/>
  <c r="AA122" i="9" s="1"/>
  <c r="AL346" i="16" a="1"/>
  <c r="AL346" i="16" s="1"/>
  <c r="AM346" i="16" a="1"/>
  <c r="AM346" i="16" s="1"/>
  <c r="K346" i="16" a="1"/>
  <c r="K346" i="16" s="1"/>
  <c r="Z346" i="16" a="1"/>
  <c r="Z346" i="16" s="1"/>
  <c r="AK421" i="15" a="1"/>
  <c r="AK421" i="15" s="1"/>
  <c r="AB127" i="7" a="1"/>
  <c r="AB127" i="7" s="1"/>
  <c r="K131" i="8" a="1"/>
  <c r="K131" i="8" s="1"/>
  <c r="AF131" i="8" a="1"/>
  <c r="AF131" i="8" s="1"/>
  <c r="S127" i="7" a="1"/>
  <c r="S127" i="7" s="1"/>
  <c r="N127" i="7" a="1"/>
  <c r="N127" i="7" s="1"/>
  <c r="Y127" i="7" a="1"/>
  <c r="Y127" i="7" s="1"/>
  <c r="V131" i="8" a="1"/>
  <c r="V131" i="8" s="1"/>
  <c r="AA131" i="8" a="1"/>
  <c r="AA131" i="8" s="1"/>
  <c r="T127" i="7" a="1"/>
  <c r="T127" i="7" s="1"/>
  <c r="AB122" i="9" a="1"/>
  <c r="AB122" i="9" s="1"/>
  <c r="Q122" i="9" a="1"/>
  <c r="Q122" i="9" s="1"/>
  <c r="AK122" i="9" a="1"/>
  <c r="AK122" i="9" s="1"/>
  <c r="Z122" i="9" a="1"/>
  <c r="Z122" i="9" s="1"/>
  <c r="I346" i="16" a="1"/>
  <c r="I346" i="16" s="1"/>
  <c r="AH346" i="16" a="1"/>
  <c r="AH346" i="16" s="1"/>
  <c r="O421" i="15" a="1"/>
  <c r="O421" i="15" s="1"/>
  <c r="AM421" i="15" a="1"/>
  <c r="AM421" i="15" s="1"/>
  <c r="AD421" i="15" a="1"/>
  <c r="AD421" i="15" s="1"/>
  <c r="I131" i="8" a="1"/>
  <c r="I131" i="8" s="1"/>
  <c r="Z131" i="8" a="1"/>
  <c r="Z131" i="8" s="1"/>
  <c r="Z127" i="7" a="1"/>
  <c r="Z127" i="7" s="1"/>
  <c r="V127" i="7" a="1"/>
  <c r="V127" i="7" s="1"/>
  <c r="Y131" i="8" a="1"/>
  <c r="Y131" i="8" s="1"/>
  <c r="L127" i="7" a="1"/>
  <c r="L127" i="7" s="1"/>
  <c r="AE131" i="8" a="1"/>
  <c r="AE131" i="8" s="1"/>
  <c r="X127" i="7" a="1"/>
  <c r="X127" i="7" s="1"/>
  <c r="AK131" i="8" a="1"/>
  <c r="AK131" i="8" s="1"/>
  <c r="E82" i="5"/>
  <c r="AK133" i="8" l="1"/>
  <c r="AK132" i="8"/>
  <c r="AK134" i="8"/>
  <c r="I133" i="8"/>
  <c r="I132" i="8"/>
  <c r="I134" i="8"/>
  <c r="Q123" i="9"/>
  <c r="Q125" i="9"/>
  <c r="Q124" i="9"/>
  <c r="AF134" i="8"/>
  <c r="AF132" i="8"/>
  <c r="AF133" i="8"/>
  <c r="AA125" i="9"/>
  <c r="AA123" i="9"/>
  <c r="AA124" i="9"/>
  <c r="X132" i="8"/>
  <c r="X133" i="8"/>
  <c r="X134" i="8"/>
  <c r="AN347" i="16"/>
  <c r="AN348" i="16"/>
  <c r="AN349" i="16"/>
  <c r="T134" i="8"/>
  <c r="T132" i="8"/>
  <c r="T133" i="8"/>
  <c r="AC349" i="16"/>
  <c r="AC348" i="16"/>
  <c r="AC347" i="16"/>
  <c r="X125" i="9"/>
  <c r="X123" i="9"/>
  <c r="X124" i="9"/>
  <c r="AC422" i="15"/>
  <c r="AC424" i="15"/>
  <c r="AC423" i="15"/>
  <c r="S347" i="16"/>
  <c r="S348" i="16"/>
  <c r="S349" i="16"/>
  <c r="R130" i="7"/>
  <c r="R128" i="7"/>
  <c r="R129" i="7"/>
  <c r="L422" i="15"/>
  <c r="L424" i="15"/>
  <c r="L423" i="15"/>
  <c r="Q349" i="16"/>
  <c r="Q347" i="16"/>
  <c r="Q348" i="16"/>
  <c r="AD132" i="8"/>
  <c r="AD133" i="8"/>
  <c r="AD134" i="8"/>
  <c r="AH124" i="9"/>
  <c r="AH125" i="9"/>
  <c r="AH123" i="9"/>
  <c r="U130" i="7"/>
  <c r="U128" i="7"/>
  <c r="U129" i="7"/>
  <c r="AH422" i="15"/>
  <c r="AH424" i="15"/>
  <c r="AH423" i="15"/>
  <c r="X128" i="7"/>
  <c r="X130" i="7"/>
  <c r="X129" i="7"/>
  <c r="AD423" i="15"/>
  <c r="AD422" i="15"/>
  <c r="AD424" i="15"/>
  <c r="AB123" i="9"/>
  <c r="AB125" i="9"/>
  <c r="AB124" i="9"/>
  <c r="K133" i="8"/>
  <c r="K134" i="8"/>
  <c r="K132" i="8"/>
  <c r="AL123" i="9"/>
  <c r="AL124" i="9"/>
  <c r="AL125" i="9"/>
  <c r="O134" i="8"/>
  <c r="O132" i="8"/>
  <c r="O133" i="8"/>
  <c r="R123" i="9"/>
  <c r="R125" i="9"/>
  <c r="R124" i="9"/>
  <c r="J130" i="7"/>
  <c r="J128" i="7"/>
  <c r="J129" i="7"/>
  <c r="AB347" i="16"/>
  <c r="AB348" i="16"/>
  <c r="AB349" i="16"/>
  <c r="K130" i="7"/>
  <c r="K128" i="7"/>
  <c r="K129" i="7"/>
  <c r="M424" i="15"/>
  <c r="M423" i="15"/>
  <c r="M422" i="15"/>
  <c r="Y349" i="16"/>
  <c r="Y347" i="16"/>
  <c r="Y348" i="16"/>
  <c r="AC132" i="8"/>
  <c r="AC133" i="8"/>
  <c r="AC134" i="8"/>
  <c r="AG422" i="15"/>
  <c r="AG424" i="15"/>
  <c r="AG423" i="15"/>
  <c r="V123" i="9"/>
  <c r="V125" i="9"/>
  <c r="V124" i="9"/>
  <c r="S422" i="15"/>
  <c r="S424" i="15"/>
  <c r="S423" i="15"/>
  <c r="N123" i="9"/>
  <c r="N125" i="9"/>
  <c r="N124" i="9"/>
  <c r="AL133" i="8"/>
  <c r="AL132" i="8"/>
  <c r="AL134" i="8"/>
  <c r="J423" i="15"/>
  <c r="J422" i="15"/>
  <c r="J424" i="15"/>
  <c r="AE133" i="8"/>
  <c r="AE134" i="8"/>
  <c r="AE132" i="8"/>
  <c r="AM422" i="15"/>
  <c r="AM424" i="15"/>
  <c r="AM423" i="15"/>
  <c r="T130" i="7"/>
  <c r="T129" i="7"/>
  <c r="T128" i="7"/>
  <c r="AB129" i="7"/>
  <c r="AB128" i="7"/>
  <c r="AB130" i="7"/>
  <c r="J125" i="9"/>
  <c r="J123" i="9"/>
  <c r="J124" i="9"/>
  <c r="AE349" i="16"/>
  <c r="AE348" i="16"/>
  <c r="AE347" i="16"/>
  <c r="AC123" i="9"/>
  <c r="AC124" i="9"/>
  <c r="AC125" i="9"/>
  <c r="P424" i="15"/>
  <c r="P423" i="15"/>
  <c r="P422" i="15"/>
  <c r="AA347" i="16"/>
  <c r="AA348" i="16"/>
  <c r="AA349" i="16"/>
  <c r="N134" i="8"/>
  <c r="N132" i="8"/>
  <c r="N133" i="8"/>
  <c r="Y422" i="15"/>
  <c r="Y423" i="15"/>
  <c r="Y424" i="15"/>
  <c r="X349" i="16"/>
  <c r="X347" i="16"/>
  <c r="X348" i="16"/>
  <c r="L132" i="8"/>
  <c r="L133" i="8"/>
  <c r="L134" i="8"/>
  <c r="R347" i="16"/>
  <c r="R348" i="16"/>
  <c r="R349" i="16"/>
  <c r="AG124" i="9"/>
  <c r="AG125" i="9"/>
  <c r="AG123" i="9"/>
  <c r="AI422" i="15"/>
  <c r="AI423" i="15"/>
  <c r="AI424" i="15"/>
  <c r="AF124" i="9"/>
  <c r="AF125" i="9"/>
  <c r="AF123" i="9"/>
  <c r="I123" i="9"/>
  <c r="I125" i="9"/>
  <c r="I124" i="9"/>
  <c r="AN422" i="15"/>
  <c r="AN424" i="15"/>
  <c r="AN423" i="15"/>
  <c r="L128" i="7"/>
  <c r="L129" i="7"/>
  <c r="L130" i="7"/>
  <c r="O422" i="15"/>
  <c r="O423" i="15"/>
  <c r="O424" i="15"/>
  <c r="AA132" i="8"/>
  <c r="AA133" i="8"/>
  <c r="AA134" i="8"/>
  <c r="AK422" i="15"/>
  <c r="AK423" i="15"/>
  <c r="AK424" i="15"/>
  <c r="L123" i="9"/>
  <c r="L125" i="9"/>
  <c r="L124" i="9"/>
  <c r="AD347" i="16"/>
  <c r="AD349" i="16"/>
  <c r="AD348" i="16"/>
  <c r="AM124" i="9"/>
  <c r="AM125" i="9"/>
  <c r="AM123" i="9"/>
  <c r="Z422" i="15"/>
  <c r="Z423" i="15"/>
  <c r="Z424" i="15"/>
  <c r="AG349" i="16"/>
  <c r="AG347" i="16"/>
  <c r="AG348" i="16"/>
  <c r="AB132" i="8"/>
  <c r="AB134" i="8"/>
  <c r="AB133" i="8"/>
  <c r="AJ424" i="15"/>
  <c r="AJ423" i="15"/>
  <c r="AJ422" i="15"/>
  <c r="U125" i="9"/>
  <c r="U123" i="9"/>
  <c r="U124" i="9"/>
  <c r="Q129" i="7"/>
  <c r="Q128" i="7"/>
  <c r="Q130" i="7"/>
  <c r="AB422" i="15"/>
  <c r="AB424" i="15"/>
  <c r="AB423" i="15"/>
  <c r="M125" i="9"/>
  <c r="M123" i="9"/>
  <c r="M124" i="9"/>
  <c r="K422" i="15"/>
  <c r="K423" i="15"/>
  <c r="K424" i="15"/>
  <c r="Q133" i="8"/>
  <c r="Q134" i="8"/>
  <c r="Q132" i="8"/>
  <c r="AE422" i="15"/>
  <c r="AE423" i="15"/>
  <c r="AE424" i="15"/>
  <c r="R422" i="15"/>
  <c r="R423" i="15"/>
  <c r="R424" i="15"/>
  <c r="Y133" i="8"/>
  <c r="Y134" i="8"/>
  <c r="Y132" i="8"/>
  <c r="AH347" i="16"/>
  <c r="AH348" i="16"/>
  <c r="AH349" i="16"/>
  <c r="V132" i="8"/>
  <c r="V133" i="8"/>
  <c r="V134" i="8"/>
  <c r="Z348" i="16"/>
  <c r="Z349" i="16"/>
  <c r="Z347" i="16"/>
  <c r="W132" i="8"/>
  <c r="W133" i="8"/>
  <c r="W134" i="8"/>
  <c r="AK348" i="16"/>
  <c r="AK347" i="16"/>
  <c r="AK349" i="16"/>
  <c r="AN125" i="9"/>
  <c r="AN123" i="9"/>
  <c r="AN124" i="9"/>
  <c r="I422" i="15"/>
  <c r="I423" i="15"/>
  <c r="I424" i="15"/>
  <c r="AF349" i="16"/>
  <c r="AF347" i="16"/>
  <c r="AF348" i="16"/>
  <c r="S132" i="8"/>
  <c r="S133" i="8"/>
  <c r="S134" i="8"/>
  <c r="P349" i="16"/>
  <c r="P348" i="16"/>
  <c r="P347" i="16"/>
  <c r="AE124" i="9"/>
  <c r="AE123" i="9"/>
  <c r="AE125" i="9"/>
  <c r="J133" i="8"/>
  <c r="J134" i="8"/>
  <c r="J132" i="8"/>
  <c r="N348" i="16"/>
  <c r="N347" i="16"/>
  <c r="N349" i="16"/>
  <c r="T125" i="9"/>
  <c r="T123" i="9"/>
  <c r="T124" i="9"/>
  <c r="U422" i="15"/>
  <c r="U424" i="15"/>
  <c r="U423" i="15"/>
  <c r="AA129" i="7"/>
  <c r="AA130" i="7"/>
  <c r="AA128" i="7"/>
  <c r="AL422" i="15"/>
  <c r="AL423" i="15"/>
  <c r="AL424" i="15"/>
  <c r="Y125" i="9"/>
  <c r="Y123" i="9"/>
  <c r="Y124" i="9"/>
  <c r="V128" i="7"/>
  <c r="V130" i="7"/>
  <c r="V129" i="7"/>
  <c r="I348" i="16"/>
  <c r="I349" i="16"/>
  <c r="I347" i="16"/>
  <c r="Y128" i="7"/>
  <c r="Y130" i="7"/>
  <c r="Y129" i="7"/>
  <c r="K349" i="16"/>
  <c r="K347" i="16"/>
  <c r="K348" i="16"/>
  <c r="W128" i="7"/>
  <c r="W129" i="7"/>
  <c r="W130" i="7"/>
  <c r="AJ347" i="16"/>
  <c r="AJ348" i="16"/>
  <c r="AJ349" i="16"/>
  <c r="U133" i="8"/>
  <c r="U134" i="8"/>
  <c r="U132" i="8"/>
  <c r="AF422" i="15"/>
  <c r="AF423" i="15"/>
  <c r="AF424" i="15"/>
  <c r="S123" i="9"/>
  <c r="S125" i="9"/>
  <c r="S124" i="9"/>
  <c r="P130" i="7"/>
  <c r="P128" i="7"/>
  <c r="P129" i="7"/>
  <c r="O348" i="16"/>
  <c r="O347" i="16"/>
  <c r="O349" i="16"/>
  <c r="K123" i="9"/>
  <c r="K125" i="9"/>
  <c r="K124" i="9"/>
  <c r="W424" i="15"/>
  <c r="W422" i="15"/>
  <c r="W423" i="15"/>
  <c r="M349" i="16"/>
  <c r="M348" i="16"/>
  <c r="M347" i="16"/>
  <c r="AJ134" i="8"/>
  <c r="AJ133" i="8"/>
  <c r="AJ132" i="8"/>
  <c r="N422" i="15"/>
  <c r="N423" i="15"/>
  <c r="N424" i="15"/>
  <c r="AM132" i="8"/>
  <c r="AM134" i="8"/>
  <c r="AM133" i="8"/>
  <c r="V422" i="15"/>
  <c r="V424" i="15"/>
  <c r="V423" i="15"/>
  <c r="AI125" i="9"/>
  <c r="AI123" i="9"/>
  <c r="AI124" i="9"/>
  <c r="Z130" i="7"/>
  <c r="Z128" i="7"/>
  <c r="Z129" i="7"/>
  <c r="Z123" i="9"/>
  <c r="Z125" i="9"/>
  <c r="Z124" i="9"/>
  <c r="N128" i="7"/>
  <c r="N129" i="7"/>
  <c r="N130" i="7"/>
  <c r="AM347" i="16"/>
  <c r="AM348" i="16"/>
  <c r="AM349" i="16"/>
  <c r="AH134" i="8"/>
  <c r="AH132" i="8"/>
  <c r="AH133" i="8"/>
  <c r="AI347" i="16"/>
  <c r="AI348" i="16"/>
  <c r="AI349" i="16"/>
  <c r="I128" i="7"/>
  <c r="I129" i="7"/>
  <c r="I130" i="7"/>
  <c r="W348" i="16"/>
  <c r="W347" i="16"/>
  <c r="W349" i="16"/>
  <c r="AD124" i="9"/>
  <c r="AD125" i="9"/>
  <c r="AD123" i="9"/>
  <c r="M133" i="8"/>
  <c r="M134" i="8"/>
  <c r="M132" i="8"/>
  <c r="U348" i="16"/>
  <c r="U347" i="16"/>
  <c r="U349" i="16"/>
  <c r="AJ124" i="9"/>
  <c r="AJ123" i="9"/>
  <c r="AJ125" i="9"/>
  <c r="AO422" i="15"/>
  <c r="AO424" i="15"/>
  <c r="AO423" i="15"/>
  <c r="L347" i="16"/>
  <c r="L348" i="16"/>
  <c r="L349" i="16"/>
  <c r="R133" i="8"/>
  <c r="R134" i="8"/>
  <c r="R132" i="8"/>
  <c r="T423" i="15"/>
  <c r="T424" i="15"/>
  <c r="T422" i="15"/>
  <c r="O130" i="7"/>
  <c r="O128" i="7"/>
  <c r="O129" i="7"/>
  <c r="AA424" i="15"/>
  <c r="AA423" i="15"/>
  <c r="AA422" i="15"/>
  <c r="O123" i="9"/>
  <c r="O125" i="9"/>
  <c r="O124" i="9"/>
  <c r="Z134" i="8"/>
  <c r="Z133" i="8"/>
  <c r="Z132" i="8"/>
  <c r="AK123" i="9"/>
  <c r="AK124" i="9"/>
  <c r="AK125" i="9"/>
  <c r="S130" i="7"/>
  <c r="S128" i="7"/>
  <c r="S129" i="7"/>
  <c r="AL348" i="16"/>
  <c r="AL347" i="16"/>
  <c r="AL349" i="16"/>
  <c r="AN132" i="8"/>
  <c r="AN133" i="8"/>
  <c r="AN134" i="8"/>
  <c r="AO347" i="16"/>
  <c r="AO348" i="16"/>
  <c r="AO349" i="16"/>
  <c r="AI133" i="8"/>
  <c r="AI134" i="8"/>
  <c r="AI132" i="8"/>
  <c r="V349" i="16"/>
  <c r="V348" i="16"/>
  <c r="V347" i="16"/>
  <c r="AO124" i="9"/>
  <c r="AO125" i="9"/>
  <c r="AO123" i="9"/>
  <c r="M128" i="7"/>
  <c r="M130" i="7"/>
  <c r="M129" i="7"/>
  <c r="T347" i="16"/>
  <c r="T348" i="16"/>
  <c r="T349" i="16"/>
  <c r="P133" i="8"/>
  <c r="P134" i="8"/>
  <c r="P132" i="8"/>
  <c r="Q422" i="15"/>
  <c r="Q423" i="15"/>
  <c r="Q424" i="15"/>
  <c r="J348" i="16"/>
  <c r="J349" i="16"/>
  <c r="J347" i="16"/>
  <c r="AO133" i="8"/>
  <c r="AO132" i="8"/>
  <c r="AO134" i="8"/>
  <c r="W123" i="9"/>
  <c r="W125" i="9"/>
  <c r="W124" i="9"/>
  <c r="AG132" i="8"/>
  <c r="AG134" i="8"/>
  <c r="AG133" i="8"/>
  <c r="X422" i="15"/>
  <c r="X424" i="15"/>
  <c r="X423" i="15"/>
  <c r="P125" i="9"/>
  <c r="P123" i="9"/>
  <c r="P124" i="9"/>
  <c r="P350" i="16" l="1"/>
  <c r="P356" i="16" s="1"/>
  <c r="P357" i="16" s="1"/>
  <c r="AB127" i="9"/>
  <c r="AB133" i="9" s="1"/>
  <c r="AB134" i="9" s="1"/>
  <c r="L425" i="15"/>
  <c r="L431" i="15" s="1"/>
  <c r="L432" i="15" s="1"/>
  <c r="Z127" i="9"/>
  <c r="Z133" i="9" s="1"/>
  <c r="Z134" i="9" s="1"/>
  <c r="W132" i="7"/>
  <c r="W140" i="7" s="1"/>
  <c r="W141" i="7" s="1"/>
  <c r="U425" i="15"/>
  <c r="U431" i="15" s="1"/>
  <c r="U432" i="15" s="1"/>
  <c r="AF136" i="8"/>
  <c r="AF144" i="8" s="1"/>
  <c r="AF145" i="8" s="1"/>
  <c r="AE136" i="8"/>
  <c r="AE144" i="8" s="1"/>
  <c r="AE145" i="8" s="1"/>
  <c r="K136" i="8"/>
  <c r="K144" i="8" s="1"/>
  <c r="K145" i="8" s="1"/>
  <c r="AG136" i="8"/>
  <c r="AG144" i="8" s="1"/>
  <c r="AG145" i="8" s="1"/>
  <c r="X136" i="8"/>
  <c r="X144" i="8" s="1"/>
  <c r="X145" i="8" s="1"/>
  <c r="S136" i="8"/>
  <c r="S144" i="8" s="1"/>
  <c r="S145" i="8" s="1"/>
  <c r="Y136" i="8"/>
  <c r="Y144" i="8" s="1"/>
  <c r="Y145" i="8" s="1"/>
  <c r="AB136" i="8"/>
  <c r="AB144" i="8" s="1"/>
  <c r="AB145" i="8" s="1"/>
  <c r="L136" i="8"/>
  <c r="L144" i="8" s="1"/>
  <c r="L145" i="8" s="1"/>
  <c r="N136" i="8"/>
  <c r="N144" i="8" s="1"/>
  <c r="N145" i="8" s="1"/>
  <c r="T136" i="8"/>
  <c r="T144" i="8" s="1"/>
  <c r="T145" i="8" s="1"/>
  <c r="I136" i="8"/>
  <c r="I144" i="8" s="1"/>
  <c r="I145" i="8" s="1"/>
  <c r="AA136" i="8"/>
  <c r="AA144" i="8" s="1"/>
  <c r="AA145" i="8" s="1"/>
  <c r="I425" i="15"/>
  <c r="I431" i="15" s="1"/>
  <c r="I432" i="15" s="1"/>
  <c r="R425" i="15"/>
  <c r="R431" i="15" s="1"/>
  <c r="R432" i="15" s="1"/>
  <c r="R350" i="16"/>
  <c r="R356" i="16" s="1"/>
  <c r="R357" i="16" s="1"/>
  <c r="AM350" i="16"/>
  <c r="AM356" i="16" s="1"/>
  <c r="AM357" i="16" s="1"/>
  <c r="AH350" i="16"/>
  <c r="AH356" i="16" s="1"/>
  <c r="AH357" i="16" s="1"/>
  <c r="AL425" i="15"/>
  <c r="AL431" i="15" s="1"/>
  <c r="AL432" i="15" s="1"/>
  <c r="L127" i="9"/>
  <c r="L133" i="9" s="1"/>
  <c r="L134" i="9" s="1"/>
  <c r="AL350" i="16"/>
  <c r="AL356" i="16" s="1"/>
  <c r="AL357" i="16" s="1"/>
  <c r="P132" i="7"/>
  <c r="P140" i="7" s="1"/>
  <c r="P141" i="7" s="1"/>
  <c r="N127" i="9"/>
  <c r="N133" i="9" s="1"/>
  <c r="N134" i="9" s="1"/>
  <c r="AI425" i="15"/>
  <c r="AI431" i="15" s="1"/>
  <c r="AI432" i="15" s="1"/>
  <c r="O350" i="16"/>
  <c r="O356" i="16" s="1"/>
  <c r="O357" i="16" s="1"/>
  <c r="AK350" i="16"/>
  <c r="AK356" i="16" s="1"/>
  <c r="AK357" i="16" s="1"/>
  <c r="AG350" i="16"/>
  <c r="AG356" i="16" s="1"/>
  <c r="AG357" i="16" s="1"/>
  <c r="X350" i="16"/>
  <c r="X356" i="16" s="1"/>
  <c r="X357" i="16" s="1"/>
  <c r="AB132" i="7"/>
  <c r="AB140" i="7" s="1"/>
  <c r="AB141" i="7" s="1"/>
  <c r="U132" i="7"/>
  <c r="U140" i="7" s="1"/>
  <c r="U141" i="7" s="1"/>
  <c r="X127" i="9"/>
  <c r="X133" i="9" s="1"/>
  <c r="X134" i="9" s="1"/>
  <c r="W350" i="16"/>
  <c r="W356" i="16" s="1"/>
  <c r="W357" i="16" s="1"/>
  <c r="N350" i="16"/>
  <c r="N356" i="16" s="1"/>
  <c r="N357" i="16" s="1"/>
  <c r="V350" i="16"/>
  <c r="V356" i="16" s="1"/>
  <c r="V357" i="16" s="1"/>
  <c r="M350" i="16"/>
  <c r="M356" i="16" s="1"/>
  <c r="M357" i="16" s="1"/>
  <c r="AA132" i="7"/>
  <c r="AA140" i="7" s="1"/>
  <c r="AA141" i="7" s="1"/>
  <c r="AO350" i="16"/>
  <c r="AO356" i="16" s="1"/>
  <c r="AO357" i="16" s="1"/>
  <c r="AE425" i="15"/>
  <c r="AE431" i="15" s="1"/>
  <c r="AE432" i="15" s="1"/>
  <c r="AC425" i="15"/>
  <c r="AC431" i="15" s="1"/>
  <c r="AC432" i="15" s="1"/>
  <c r="Q127" i="9"/>
  <c r="Q133" i="9" s="1"/>
  <c r="Q134" i="9" s="1"/>
  <c r="M127" i="9"/>
  <c r="M133" i="9" s="1"/>
  <c r="M134" i="9" s="1"/>
  <c r="S425" i="15"/>
  <c r="S431" i="15" s="1"/>
  <c r="S432" i="15" s="1"/>
  <c r="AH425" i="15"/>
  <c r="AH431" i="15" s="1"/>
  <c r="AH432" i="15" s="1"/>
  <c r="S132" i="7"/>
  <c r="S140" i="7" s="1"/>
  <c r="S141" i="7" s="1"/>
  <c r="K127" i="9"/>
  <c r="K133" i="9" s="1"/>
  <c r="K134" i="9" s="1"/>
  <c r="AC350" i="16"/>
  <c r="AC356" i="16" s="1"/>
  <c r="AC357" i="16" s="1"/>
  <c r="O425" i="15"/>
  <c r="O431" i="15" s="1"/>
  <c r="O432" i="15" s="1"/>
  <c r="O132" i="7"/>
  <c r="O140" i="7" s="1"/>
  <c r="O141" i="7" s="1"/>
  <c r="Z132" i="7"/>
  <c r="Z140" i="7" s="1"/>
  <c r="Z141" i="7" s="1"/>
  <c r="K350" i="16"/>
  <c r="K356" i="16" s="1"/>
  <c r="K357" i="16" s="1"/>
  <c r="T127" i="9"/>
  <c r="T133" i="9" s="1"/>
  <c r="T134" i="9" s="1"/>
  <c r="Z350" i="16"/>
  <c r="Z356" i="16" s="1"/>
  <c r="Z357" i="16" s="1"/>
  <c r="J127" i="9"/>
  <c r="J133" i="9" s="1"/>
  <c r="J134" i="9" s="1"/>
  <c r="J132" i="7"/>
  <c r="J140" i="7" s="1"/>
  <c r="J141" i="7" s="1"/>
  <c r="T350" i="16"/>
  <c r="T356" i="16" s="1"/>
  <c r="T357" i="16" s="1"/>
  <c r="T425" i="15"/>
  <c r="T431" i="15" s="1"/>
  <c r="T432" i="15" s="1"/>
  <c r="L350" i="16"/>
  <c r="L356" i="16" s="1"/>
  <c r="L357" i="16" s="1"/>
  <c r="U350" i="16"/>
  <c r="U356" i="16" s="1"/>
  <c r="U357" i="16" s="1"/>
  <c r="AI350" i="16"/>
  <c r="AI356" i="16" s="1"/>
  <c r="AI357" i="16" s="1"/>
  <c r="AM136" i="8"/>
  <c r="AM144" i="8" s="1"/>
  <c r="AM145" i="8" s="1"/>
  <c r="S127" i="9"/>
  <c r="S133" i="9" s="1"/>
  <c r="S134" i="9" s="1"/>
  <c r="V132" i="7"/>
  <c r="V140" i="7" s="1"/>
  <c r="V141" i="7" s="1"/>
  <c r="AF350" i="16"/>
  <c r="AF356" i="16" s="1"/>
  <c r="AF357" i="16" s="1"/>
  <c r="Q136" i="8"/>
  <c r="Q144" i="8" s="1"/>
  <c r="Q145" i="8" s="1"/>
  <c r="U127" i="9"/>
  <c r="U133" i="9" s="1"/>
  <c r="U134" i="9" s="1"/>
  <c r="I127" i="9"/>
  <c r="I133" i="9" s="1"/>
  <c r="I134" i="9" s="1"/>
  <c r="AM425" i="15"/>
  <c r="AM431" i="15" s="1"/>
  <c r="AM432" i="15" s="1"/>
  <c r="AL136" i="8"/>
  <c r="AL144" i="8" s="1"/>
  <c r="AL145" i="8" s="1"/>
  <c r="AC136" i="8"/>
  <c r="AC144" i="8" s="1"/>
  <c r="AC145" i="8" s="1"/>
  <c r="K132" i="7"/>
  <c r="K140" i="7" s="1"/>
  <c r="K141" i="7" s="1"/>
  <c r="AD425" i="15"/>
  <c r="AD431" i="15" s="1"/>
  <c r="AD432" i="15" s="1"/>
  <c r="AD136" i="8"/>
  <c r="AD144" i="8" s="1"/>
  <c r="AD145" i="8" s="1"/>
  <c r="R132" i="7"/>
  <c r="R140" i="7" s="1"/>
  <c r="R141" i="7" s="1"/>
  <c r="AA127" i="9"/>
  <c r="AA133" i="9" s="1"/>
  <c r="AA134" i="9" s="1"/>
  <c r="O127" i="9"/>
  <c r="O133" i="9" s="1"/>
  <c r="O134" i="9" s="1"/>
  <c r="N132" i="7"/>
  <c r="N140" i="7" s="1"/>
  <c r="N141" i="7" s="1"/>
  <c r="AJ350" i="16"/>
  <c r="AJ356" i="16" s="1"/>
  <c r="AJ357" i="16" s="1"/>
  <c r="AK425" i="15"/>
  <c r="AK431" i="15" s="1"/>
  <c r="AK432" i="15" s="1"/>
  <c r="Q425" i="15"/>
  <c r="Q431" i="15" s="1"/>
  <c r="Q432" i="15" s="1"/>
  <c r="AI136" i="8"/>
  <c r="AI144" i="8" s="1"/>
  <c r="AI145" i="8" s="1"/>
  <c r="AN136" i="8"/>
  <c r="AN144" i="8" s="1"/>
  <c r="AN145" i="8" s="1"/>
  <c r="AA425" i="15"/>
  <c r="AA431" i="15" s="1"/>
  <c r="AA432" i="15" s="1"/>
  <c r="M136" i="8"/>
  <c r="M144" i="8" s="1"/>
  <c r="M145" i="8" s="1"/>
  <c r="AH136" i="8"/>
  <c r="AH144" i="8" s="1"/>
  <c r="AH145" i="8" s="1"/>
  <c r="Y132" i="7"/>
  <c r="Y140" i="7" s="1"/>
  <c r="Y141" i="7" s="1"/>
  <c r="Y127" i="9"/>
  <c r="Y133" i="9" s="1"/>
  <c r="Y134" i="9" s="1"/>
  <c r="AJ425" i="15"/>
  <c r="AJ431" i="15" s="1"/>
  <c r="AJ432" i="15" s="1"/>
  <c r="L132" i="7"/>
  <c r="L140" i="7" s="1"/>
  <c r="L141" i="7" s="1"/>
  <c r="AE350" i="16"/>
  <c r="AE356" i="16" s="1"/>
  <c r="AE357" i="16" s="1"/>
  <c r="V127" i="9"/>
  <c r="V133" i="9" s="1"/>
  <c r="V134" i="9" s="1"/>
  <c r="Y350" i="16"/>
  <c r="Y356" i="16" s="1"/>
  <c r="Y357" i="16" s="1"/>
  <c r="R127" i="9"/>
  <c r="R133" i="9" s="1"/>
  <c r="R134" i="9" s="1"/>
  <c r="Q350" i="16"/>
  <c r="Q356" i="16" s="1"/>
  <c r="Q357" i="16" s="1"/>
  <c r="X425" i="15"/>
  <c r="X431" i="15" s="1"/>
  <c r="X432" i="15" s="1"/>
  <c r="AO136" i="8"/>
  <c r="AO144" i="8" s="1"/>
  <c r="AO145" i="8" s="1"/>
  <c r="P136" i="8"/>
  <c r="P144" i="8" s="1"/>
  <c r="P145" i="8" s="1"/>
  <c r="M132" i="7"/>
  <c r="M140" i="7" s="1"/>
  <c r="M141" i="7" s="1"/>
  <c r="R136" i="8"/>
  <c r="R144" i="8" s="1"/>
  <c r="R145" i="8" s="1"/>
  <c r="AO425" i="15"/>
  <c r="AO431" i="15" s="1"/>
  <c r="AO432" i="15" s="1"/>
  <c r="N425" i="15"/>
  <c r="N431" i="15" s="1"/>
  <c r="N432" i="15" s="1"/>
  <c r="W425" i="15"/>
  <c r="W431" i="15" s="1"/>
  <c r="W432" i="15" s="1"/>
  <c r="AF425" i="15"/>
  <c r="AF431" i="15" s="1"/>
  <c r="AF432" i="15" s="1"/>
  <c r="I350" i="16"/>
  <c r="I356" i="16" s="1"/>
  <c r="I357" i="16" s="1"/>
  <c r="J136" i="8"/>
  <c r="J144" i="8" s="1"/>
  <c r="J145" i="8" s="1"/>
  <c r="V136" i="8"/>
  <c r="V144" i="8" s="1"/>
  <c r="V145" i="8" s="1"/>
  <c r="AB425" i="15"/>
  <c r="AB431" i="15" s="1"/>
  <c r="AB432" i="15" s="1"/>
  <c r="AD350" i="16"/>
  <c r="AD356" i="16" s="1"/>
  <c r="AD357" i="16" s="1"/>
  <c r="AA350" i="16"/>
  <c r="AA356" i="16" s="1"/>
  <c r="AA357" i="16" s="1"/>
  <c r="T132" i="7"/>
  <c r="T140" i="7" s="1"/>
  <c r="T141" i="7" s="1"/>
  <c r="AN350" i="16"/>
  <c r="AN356" i="16" s="1"/>
  <c r="AN357" i="16" s="1"/>
  <c r="P127" i="9"/>
  <c r="P133" i="9" s="1"/>
  <c r="P134" i="9" s="1"/>
  <c r="W127" i="9"/>
  <c r="W133" i="9" s="1"/>
  <c r="W134" i="9" s="1"/>
  <c r="Z136" i="8"/>
  <c r="Z144" i="8" s="1"/>
  <c r="Z145" i="8" s="1"/>
  <c r="U136" i="8"/>
  <c r="U144" i="8" s="1"/>
  <c r="U145" i="8" s="1"/>
  <c r="P425" i="15"/>
  <c r="P431" i="15" s="1"/>
  <c r="P432" i="15" s="1"/>
  <c r="M425" i="15"/>
  <c r="M431" i="15" s="1"/>
  <c r="M432" i="15" s="1"/>
  <c r="AB350" i="16"/>
  <c r="AB356" i="16" s="1"/>
  <c r="AB357" i="16" s="1"/>
  <c r="O136" i="8"/>
  <c r="O144" i="8" s="1"/>
  <c r="O145" i="8" s="1"/>
  <c r="X132" i="7"/>
  <c r="X140" i="7" s="1"/>
  <c r="X141" i="7" s="1"/>
  <c r="S350" i="16"/>
  <c r="S356" i="16" s="1"/>
  <c r="S357" i="16" s="1"/>
  <c r="AK136" i="8"/>
  <c r="AK144" i="8" s="1"/>
  <c r="AK145" i="8" s="1"/>
  <c r="AJ136" i="8"/>
  <c r="AJ144" i="8" s="1"/>
  <c r="AJ145" i="8" s="1"/>
  <c r="J350" i="16"/>
  <c r="J356" i="16" s="1"/>
  <c r="J357" i="16" s="1"/>
  <c r="I132" i="7"/>
  <c r="I140" i="7" s="1"/>
  <c r="I141" i="7" s="1"/>
  <c r="V425" i="15"/>
  <c r="V431" i="15" s="1"/>
  <c r="V432" i="15" s="1"/>
  <c r="W136" i="8"/>
  <c r="W144" i="8" s="1"/>
  <c r="W145" i="8" s="1"/>
  <c r="K425" i="15"/>
  <c r="K431" i="15" s="1"/>
  <c r="K432" i="15" s="1"/>
  <c r="Q132" i="7"/>
  <c r="Q140" i="7" s="1"/>
  <c r="Q141" i="7" s="1"/>
  <c r="Z425" i="15"/>
  <c r="Z431" i="15" s="1"/>
  <c r="Z432" i="15" s="1"/>
  <c r="AN425" i="15"/>
  <c r="AN431" i="15" s="1"/>
  <c r="AN432" i="15" s="1"/>
  <c r="Y425" i="15"/>
  <c r="Y431" i="15" s="1"/>
  <c r="Y432" i="15" s="1"/>
  <c r="J425" i="15"/>
  <c r="J431" i="15" s="1"/>
  <c r="J432" i="15" s="1"/>
  <c r="AG425" i="15"/>
  <c r="AG431" i="15" s="1"/>
  <c r="AG432" i="15" s="1"/>
  <c r="G146" i="8" l="1"/>
  <c r="G147" i="8" s="1"/>
  <c r="G142" i="7"/>
  <c r="G143" i="7" s="1"/>
  <c r="G433" i="15"/>
  <c r="G434" i="15" s="1"/>
  <c r="F33" i="11" s="1"/>
  <c r="G135" i="9"/>
  <c r="G358" i="16"/>
  <c r="G359" i="16" s="1"/>
  <c r="G184" i="8" l="1"/>
  <c r="G185" i="8" s="1"/>
  <c r="G180" i="7"/>
  <c r="G493" i="15"/>
  <c r="G33" i="11" s="1"/>
  <c r="G173" i="9"/>
  <c r="G136" i="9"/>
  <c r="G181" i="7"/>
  <c r="F30" i="11"/>
  <c r="G179" i="8"/>
  <c r="G30" i="11" s="1"/>
  <c r="F36" i="11"/>
  <c r="G416" i="16"/>
  <c r="G36" i="11" s="1"/>
  <c r="F29" i="11"/>
  <c r="G176" i="7"/>
  <c r="G29" i="11" s="1"/>
  <c r="H33" i="11" l="1"/>
  <c r="G624" i="15"/>
  <c r="G626" i="15" s="1"/>
  <c r="L32" i="11" s="1"/>
  <c r="G287" i="14"/>
  <c r="G289" i="14" s="1"/>
  <c r="L31" i="11" s="1"/>
  <c r="G522" i="16"/>
  <c r="G524" i="16" s="1"/>
  <c r="L33" i="11" s="1"/>
  <c r="H30" i="11"/>
  <c r="G190" i="8"/>
  <c r="G192" i="8" s="1"/>
  <c r="L29" i="11" s="1"/>
  <c r="F31" i="11"/>
  <c r="G168" i="9"/>
  <c r="G31" i="11" s="1"/>
  <c r="H36" i="11"/>
  <c r="H29" i="11"/>
  <c r="G174" i="9"/>
  <c r="H31" i="11" l="1"/>
  <c r="G179" i="9"/>
  <c r="G181" i="9" s="1"/>
  <c r="L30" i="11" s="1"/>
  <c r="K12"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tc={111130B0-AB8A-4458-821B-8B7D4E871180}</author>
    <author>tc={B3C5304E-A94B-4D50-BD86-D10582AE4D31}</author>
    <author>tc={9FE49DF3-5999-46E8-BD84-058382C12A9A}</author>
    <author>tc={09AC009A-A04E-45BE-B358-5E88426096B0}</author>
  </authors>
  <commentList>
    <comment ref="I31" authorId="0" shapeId="0" xr:uid="{111130B0-AB8A-4458-821B-8B7D4E871180}">
      <text>
        <t>[Threaded comment]
Your version of Excel allows you to read this threaded comment; however, any edits to it will get removed if the file is opened in a newer version of Excel. Learn more: https://go.microsoft.com/fwlink/?linkid=870924
Comment:
    up to 12 years</t>
      </text>
    </comment>
    <comment ref="I32" authorId="1" shapeId="0" xr:uid="{B3C5304E-A94B-4D50-BD86-D10582AE4D31}">
      <text>
        <t>[Threaded comment]
Your version of Excel allows you to read this threaded comment; however, any edits to it will get removed if the file is opened in a newer version of Excel. Learn more: https://go.microsoft.com/fwlink/?linkid=870924
Comment:
    Up to 20 years
Repowered buses can be certified as new, extending their remaining life up to 20 years. The certification decision is made case by case.</t>
      </text>
    </comment>
    <comment ref="I44" authorId="2" shapeId="0" xr:uid="{9FE49DF3-5999-46E8-BD84-058382C12A9A}">
      <text>
        <t>[Threaded comment]
Your version of Excel allows you to read this threaded comment; however, any edits to it will get removed if the file is opened in a newer version of Excel. Learn more: https://go.microsoft.com/fwlink/?linkid=870924
Comment:
    Generally: 1 fast charger for 6 buses</t>
      </text>
    </comment>
    <comment ref="I69" authorId="3" shapeId="0" xr:uid="{09AC009A-A04E-45BE-B358-5E88426096B0}">
      <text>
        <t>[Threaded comment]
Your version of Excel allows you to read this threaded comment; however, any edits to it will get removed if the file is opened in a newer version of Excel. Learn more: https://go.microsoft.com/fwlink/?linkid=870924
Comment:
    Distance between 6 to 15 km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tc={B433D983-5422-41F6-B329-2EC30604583A}</author>
    <author>tc={9682E5D8-701F-4912-9FF3-0118F714857F}</author>
    <author>tc={C05E925F-23EB-420B-A669-4CF4DE3091FF}</author>
    <author>tc={B736FE8B-C6DD-4D89-BC31-5AB2268F2CD3}</author>
    <author>tc={771105E9-0E0B-4F0C-91CB-E59D92828587}</author>
    <author>tc={1E405ABF-3DCE-4294-887E-BB79D6F54100}</author>
    <author>tc={A0EA784A-9799-447B-8F0A-FF0543ADFF2B}</author>
    <author>tc={391D429F-3AAA-4C9D-AAE2-0A67887228F7}</author>
    <author>tc={0327E2BA-ABE8-47D0-9918-949103124BF2}</author>
    <author>tc={AF536832-1F95-4F11-9086-103C44298307}</author>
    <author>tc={4329CF56-06C4-4FB2-B82A-29736E755A06}</author>
    <author>tc={B1FA88DC-ECEC-43C4-B2E9-428CCBDF8325}</author>
    <author>tc={7288A641-7BC4-4B2A-BDED-08A3B11D7A12}</author>
    <author>tc={354DF80A-BB8B-4A8E-A8DB-5F9A33D09C1C}</author>
  </authors>
  <commentList>
    <comment ref="E120" authorId="0" shapeId="0" xr:uid="{B433D983-5422-41F6-B329-2EC30604583A}">
      <text>
        <t xml:space="preserve">[Threaded comment]
Your version of Excel allows you to read this threaded comment; however, any edits to it will get removed if the file is opened in a newer version of Excel. Learn more: https://go.microsoft.com/fwlink/?linkid=870924
Comment:
    Consultation with an expert from the Tranzit group suggest that double deck buses have a significantly higher maintenance cost due to its weigh. We do not have an estimates of the increase in maintenance cost. We use a bus purchase price difference to adjust the maintenance cost. </t>
      </text>
    </comment>
    <comment ref="E169" authorId="1" shapeId="0" xr:uid="{9682E5D8-701F-4912-9FF3-0118F714857F}">
      <text>
        <t>[Threaded comment]
Your version of Excel allows you to read this threaded comment; however, any edits to it will get removed if the file is opened in a newer version of Excel. Learn more: https://go.microsoft.com/fwlink/?linkid=870924
Comment:
    Sunk cost</t>
      </text>
    </comment>
    <comment ref="E195" authorId="2" shapeId="0" xr:uid="{C05E925F-23EB-420B-A669-4CF4DE3091FF}">
      <text>
        <t xml:space="preserve">[Threaded comment]
Your version of Excel allows you to read this threaded comment; however, any edits to it will get removed if the file is opened in a newer version of Excel. Learn more: https://go.microsoft.com/fwlink/?linkid=870924
Comment:
    Assumed the same as of a diesel bus. However, HYDY suggests that buses with H2 blending would have lower maintenance costs. But there is no indication of the percentage reduction in O&amp;M expenses.  </t>
      </text>
    </comment>
    <comment ref="E216" authorId="3" shapeId="0" xr:uid="{B736FE8B-C6DD-4D89-BC31-5AB2268F2CD3}">
      <text>
        <t>[Threaded comment]
Your version of Excel allows you to read this threaded comment; however, any edits to it will get removed if the file is opened in a newer version of Excel. Learn more: https://go.microsoft.com/fwlink/?linkid=870924
Comment:
    Sunk cost</t>
      </text>
    </comment>
    <comment ref="E222" authorId="4" shapeId="0" xr:uid="{771105E9-0E0B-4F0C-91CB-E59D92828587}">
      <text>
        <t xml:space="preserve">[Threaded comment]
Your version of Excel allows you to read this threaded comment; however, any edits to it will get removed if the file is opened in a newer version of Excel. Learn more: https://go.microsoft.com/fwlink/?linkid=870924
Comment:
    Minus indicates an increase in NO2 emissions.  </t>
      </text>
    </comment>
    <comment ref="E245" authorId="5" shapeId="0" xr:uid="{1E405ABF-3DCE-4294-887E-BB79D6F54100}">
      <text>
        <t>[Threaded comment]
Your version of Excel allows you to read this threaded comment; however, any edits to it will get removed if the file is opened in a newer version of Excel. Learn more: https://go.microsoft.com/fwlink/?linkid=870924
Comment:
    400k for 12 chargers</t>
      </text>
    </comment>
    <comment ref="E252" authorId="6" shapeId="0" xr:uid="{A0EA784A-9799-447B-8F0A-FF0543ADFF2B}">
      <text>
        <t>[Threaded comment]
Your version of Excel allows you to read this threaded comment; however, any edits to it will get removed if the file is opened in a newer version of Excel. Learn more: https://go.microsoft.com/fwlink/?linkid=870924
Comment:
    400k for 12 chargers</t>
      </text>
    </comment>
    <comment ref="E277" authorId="7" shapeId="0" xr:uid="{391D429F-3AAA-4C9D-AAE2-0A67887228F7}">
      <text>
        <t>[Threaded comment]
Your version of Excel allows you to read this threaded comment; however, any edits to it will get removed if the file is opened in a newer version of Excel. Learn more: https://go.microsoft.com/fwlink/?linkid=870924
Comment:
    0.819 km/kWh</t>
      </text>
    </comment>
    <comment ref="E291" authorId="8" shapeId="0" xr:uid="{0327E2BA-ABE8-47D0-9918-949103124BF2}">
      <text>
        <t xml:space="preserve">[Threaded comment]
Your version of Excel allows you to read this threaded comment; however, any edits to it will get removed if the file is opened in a newer version of Excel. Learn more: https://go.microsoft.com/fwlink/?linkid=870924
Comment:
    Bus frame production is a Sunk cost. Battery production is about 47t CO2e emissions </t>
      </text>
    </comment>
    <comment ref="E297" authorId="9" shapeId="0" xr:uid="{AF536832-1F95-4F11-9086-103C44298307}">
      <text>
        <t xml:space="preserve">[Threaded comment]
Your version of Excel allows you to read this threaded comment; however, any edits to it will get removed if the file is opened in a newer version of Excel. Learn more: https://go.microsoft.com/fwlink/?linkid=870924
Comment:
    An average price from two sources </t>
      </text>
    </comment>
    <comment ref="E312" authorId="10" shapeId="0" xr:uid="{4329CF56-06C4-4FB2-B82A-29736E755A06}">
      <text>
        <t xml:space="preserve">[Threaded comment]
Your version of Excel allows you to read this threaded comment; however, any edits to it will get removed if the file is opened in a newer version of Excel. Learn more: https://go.microsoft.com/fwlink/?linkid=870924
Comment:
    The assumption is that the price of a battery will decrease by approximately 40% to 52% by 2030, resulting in an average annual rate of price drop of around 3.83%. </t>
      </text>
    </comment>
    <comment ref="E316" authorId="11" shapeId="0" xr:uid="{B1FA88DC-ECEC-43C4-B2E9-428CCBDF8325}">
      <text>
        <t>[Threaded comment]
Your version of Excel allows you to read this threaded comment; however, any edits to it will get removed if the file is opened in a newer version of Excel. Learn more: https://go.microsoft.com/fwlink/?linkid=870924
Comment:
    400k for 12 chargers</t>
      </text>
    </comment>
    <comment ref="E325" authorId="12" shapeId="0" xr:uid="{7288A641-7BC4-4B2A-BDED-08A3B11D7A12}">
      <text>
        <t>[Threaded comment]
Your version of Excel allows you to read this threaded comment; however, any edits to it will get removed if the file is opened in a newer version of Excel. Learn more: https://go.microsoft.com/fwlink/?linkid=870924
Comment:
    There is practically no difference in maintenance cost between different SD models with the same battery</t>
      </text>
    </comment>
    <comment ref="E326" authorId="13" shapeId="0" xr:uid="{354DF80A-BB8B-4A8E-A8DB-5F9A33D09C1C}">
      <text>
        <t xml:space="preserve">[Threaded comment]
Your version of Excel allows you to read this threaded comment; however, any edits to it will get removed if the file is opened in a newer version of Excel. Learn more: https://go.microsoft.com/fwlink/?linkid=870924
Comment:
    The maintenance cost of a bus equipped with a larger battery is approximately 3% to 5% higher compared to a bus with a lower capacity battery.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tc={1937D59E-2E70-4823-90F5-8001B64A9096}</author>
    <author>tc={9DB7FD96-B558-44F1-B740-62DC3E5D53F9}</author>
    <author>Author</author>
  </authors>
  <commentList>
    <comment ref="I15" authorId="0" shapeId="0" xr:uid="{1937D59E-2E70-4823-90F5-8001B64A9096}">
      <text>
        <t>[Threaded comment]
Your version of Excel allows you to read this threaded comment; however, any edits to it will get removed if the file is opened in a newer version of Excel. Learn more: https://go.microsoft.com/fwlink/?linkid=870924
Comment:
    Assumption is that the maintenance cost for BEB's is about 30% less than diesel</t>
      </text>
    </comment>
    <comment ref="I37" authorId="1" shapeId="0" xr:uid="{9DB7FD96-B558-44F1-B740-62DC3E5D53F9}">
      <text>
        <t xml:space="preserve">[Threaded comment]
Your version of Excel allows you to read this threaded comment; however, any edits to it will get removed if the file is opened in a newer version of Excel. Learn more: https://go.microsoft.com/fwlink/?linkid=870924
Comment:
    In a real-life case, a bus operator invested approximately $5 million to install 30 chargers and upgrade the depot to support the utilization of these chargers. </t>
      </text>
    </comment>
    <comment ref="E127" authorId="2" shapeId="0" xr:uid="{00A8B597-A790-422D-937F-1BF5104A3626}">
      <text>
        <r>
          <rPr>
            <b/>
            <sz val="8"/>
            <color indexed="81"/>
            <rFont val="Tahoma"/>
            <family val="2"/>
          </rPr>
          <t>Author:</t>
        </r>
        <r>
          <rPr>
            <sz val="8"/>
            <color indexed="81"/>
            <rFont val="Tahoma"/>
            <family val="2"/>
          </rPr>
          <t xml:space="preserve">
TSP, PM10 PM2.5 PM1 or PM0.1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<sst xmlns="http://schemas.openxmlformats.org/spreadsheetml/2006/main" count="6180" uniqueCount="675">
  <si>
    <t>The Economic Model for Total Cost of Ownership (TCO) is a tool that calculates the overall costs associated with different bus types, taking into account factors such as carbon emissions and manufacturing carbon footprint.
The primary objective of this model is to evaluate the economic tradeoffs between various investment decisions aimed at reducing transportation emissions. These decisions include:
- Replacing conventional diesel buses with 100% Renewable diesel.
- Repowering diesel buses to Zero Emission Buses (ZEB).
- Blending hydrogen as an alternative fuel.
- Buying new Battery Electric Buses (BEB).
- Buying new Hydrogen Fuel Cell Buses (HFCB).
The model also considers different scenarios related to the scrapping of diesel buses under the new BEB and HFCB options. This includes exploring the economic implications of early scrapping of diesel buses. Additionally, the model assesses the impact of expanding service levels to achieve a mode shift by comparing new ZEBs with existing diesel buses that still have remaining economic life.
Furthermore, the model accounts for changes in the economic viability of the aforementioned options over time, reflecting evolving market dynamics and technological advancements.</t>
  </si>
  <si>
    <t>Click on the sheets to navigate to the sheet.</t>
  </si>
  <si>
    <t>Sheets</t>
  </si>
  <si>
    <t>Description</t>
  </si>
  <si>
    <t>Documentation</t>
  </si>
  <si>
    <t>Instructions, resources, and other information on the workbook.</t>
  </si>
  <si>
    <t>Version log</t>
  </si>
  <si>
    <t>Model updates</t>
  </si>
  <si>
    <t>Dashbord</t>
  </si>
  <si>
    <t>Results from the model. Toggles to change inputs and assumptions</t>
  </si>
  <si>
    <t>Control Panel</t>
  </si>
  <si>
    <t>Settings for the model and dashboard. Mainly formula driven.</t>
  </si>
  <si>
    <t xml:space="preserve">Data </t>
  </si>
  <si>
    <t xml:space="preserve">Data and assumptions used in the model. </t>
  </si>
  <si>
    <t>Bus research</t>
  </si>
  <si>
    <t xml:space="preserve">Data and assumptions related to buses and emissions </t>
  </si>
  <si>
    <t>Calculation Blocks</t>
  </si>
  <si>
    <t>Calculation of TCO</t>
  </si>
  <si>
    <t>Route</t>
  </si>
  <si>
    <t>Calculations of annual distance and mode shift TCO calculations</t>
  </si>
  <si>
    <t>Diesel (BAU)</t>
  </si>
  <si>
    <t xml:space="preserve">Calculations of TCO for a diesel bus </t>
  </si>
  <si>
    <t>RE Diesel</t>
  </si>
  <si>
    <t>Calculations of TCO for a diesel bus using renewable diesel</t>
  </si>
  <si>
    <t>H2 Blending</t>
  </si>
  <si>
    <t>Calculations of TCO for a diesel bus with H2 injection system (H2 is produced on the bus)</t>
  </si>
  <si>
    <t>Repowered</t>
  </si>
  <si>
    <t>Calculations of TCO for a diesel bus repowered to electric buses</t>
  </si>
  <si>
    <t>BEB</t>
  </si>
  <si>
    <t>Calculations of TCO for BEB</t>
  </si>
  <si>
    <t>HFCB</t>
  </si>
  <si>
    <t>Calculations of TCO for HFCB</t>
  </si>
  <si>
    <t>Results</t>
  </si>
  <si>
    <t>Tables and charts that support the dashboard.</t>
  </si>
  <si>
    <t>Sensitivity</t>
  </si>
  <si>
    <t>Sensitivity tests and results</t>
  </si>
  <si>
    <t>Graphs</t>
  </si>
  <si>
    <t xml:space="preserve">Graphs </t>
  </si>
  <si>
    <t>Development Period: May 2023</t>
  </si>
  <si>
    <t xml:space="preserve">This page contains key information on operating and maintaining the workbook. </t>
  </si>
  <si>
    <t>Go to Cover</t>
  </si>
  <si>
    <t>Information on the workbook</t>
  </si>
  <si>
    <t>1. Operating Instructions</t>
  </si>
  <si>
    <t>Dashboard</t>
  </si>
  <si>
    <t xml:space="preserve">Input the assumptions for each route type and the mode shift. </t>
  </si>
  <si>
    <t>Adjust the cost assumptions in the sensitivity section of the model</t>
  </si>
  <si>
    <t>3. Formatting</t>
  </si>
  <si>
    <t>Input cells</t>
  </si>
  <si>
    <t>Other sheets</t>
  </si>
  <si>
    <t>abc</t>
  </si>
  <si>
    <t>Calculations</t>
  </si>
  <si>
    <t>Hard-coded values (e.g. data and user input)</t>
  </si>
  <si>
    <t>Lookups, links to other worksheets</t>
  </si>
  <si>
    <t>Abbreviations</t>
  </si>
  <si>
    <t>$</t>
  </si>
  <si>
    <t>New Zealand Dollar</t>
  </si>
  <si>
    <t>BAU</t>
  </si>
  <si>
    <t>Business as usual</t>
  </si>
  <si>
    <t>Battery electirc bus</t>
  </si>
  <si>
    <t>Hydrogen fuel cell bus</t>
  </si>
  <si>
    <t>RUC</t>
  </si>
  <si>
    <t>Road User Charge</t>
  </si>
  <si>
    <t>TCO</t>
  </si>
  <si>
    <t>Total cost of ownership</t>
  </si>
  <si>
    <t>Resources</t>
  </si>
  <si>
    <t>Data Sources</t>
  </si>
  <si>
    <t>1.  Ministry of Business, Innovation, and Employment (MBIE) | Measuring emissions</t>
  </si>
  <si>
    <t>3. Vehicle occupancy in New Zealand's three largest urban areas</t>
  </si>
  <si>
    <t>4. Ministry of Transport | Household travel</t>
  </si>
  <si>
    <t>5. Auckland Transport BCI Repower Programme Proposal (December 2022)</t>
  </si>
  <si>
    <t>6. Bus and Fleet Electrification Strategic plan</t>
  </si>
  <si>
    <t>7. Busnews|E-MOTIONAL BEHAVIOUR - TRANZIT NZ E-CHARGING</t>
  </si>
  <si>
    <t>8. MBIE| Sustainable Transport Biofuels Mandate SAR and RIS  (2021)</t>
  </si>
  <si>
    <t>9. NREL|Financial Analysis of Battery Electric Transit Buses (2020)</t>
  </si>
  <si>
    <t>10. TCRP, Battery Electric Buses—State of the Practice (2018)</t>
  </si>
  <si>
    <t>11. ANZ</t>
  </si>
  <si>
    <t>12. NREL| Fuel Cell Buses in U.S. Transit Fleets: Current Status (2017)</t>
  </si>
  <si>
    <t>13. MDPI, The Carbon Footprint of Electrified City Buses: A Case Study in Trondheim, Norway (2021)</t>
  </si>
  <si>
    <t>14. NZTA, The Vehicle Emissions Prediction Model (VEPM) 6.3</t>
  </si>
  <si>
    <t>15. AT, AT Metro patronage report (2023)</t>
  </si>
  <si>
    <t>16. NZTA, Monetised benefits and costs manual (2023)</t>
  </si>
  <si>
    <t xml:space="preserve">17. Yutong Asia Pacific team </t>
  </si>
  <si>
    <t>18. HYDI</t>
  </si>
  <si>
    <t>19. David A. Hensher , Edward Wei, Camila Balbontin. Comparative Assessment of Zero Emission Electric and Hydrogen Buses in 
Australia, ITLS, 2021</t>
  </si>
  <si>
    <t>20. Global Bus Ventures</t>
  </si>
  <si>
    <t xml:space="preserve">Date </t>
  </si>
  <si>
    <t>Updates</t>
  </si>
  <si>
    <t>Inputs and Assumptions</t>
  </si>
  <si>
    <t xml:space="preserve">Total Cost of Ownership (TCO) and Marginal Abatement Cost (MAC) Results </t>
  </si>
  <si>
    <t>Set the years and dates for the graphs, and the projections to be used.</t>
  </si>
  <si>
    <t xml:space="preserve">Projections can be further customized through the route settings. </t>
  </si>
  <si>
    <t xml:space="preserve">Projections </t>
  </si>
  <si>
    <t>Values</t>
  </si>
  <si>
    <t>No. Projection Years</t>
  </si>
  <si>
    <t>Start of Projections</t>
  </si>
  <si>
    <t>End of Projections</t>
  </si>
  <si>
    <t>Settings</t>
  </si>
  <si>
    <t>Total Cost of Ownership results</t>
  </si>
  <si>
    <t>General settings</t>
  </si>
  <si>
    <t>Average remaining service life of existing diesel buses</t>
  </si>
  <si>
    <t>Route 1 - Urban, High Density, Short Distance</t>
  </si>
  <si>
    <t>Route 2 - Suburban, Medium Density, Medium Distance</t>
  </si>
  <si>
    <t>Route 3 - Rural, Medium-Low Density, Long Distance</t>
  </si>
  <si>
    <t xml:space="preserve">Remaining life of repowered buses </t>
  </si>
  <si>
    <t>Shadow price of CO2e</t>
  </si>
  <si>
    <t>Middle</t>
  </si>
  <si>
    <t xml:space="preserve">Price of NOx </t>
  </si>
  <si>
    <t>Road User Charge (RUC)  for electric buses after 2025</t>
  </si>
  <si>
    <t>ON</t>
  </si>
  <si>
    <t>Route 1 - Urban, high density, Short distance</t>
  </si>
  <si>
    <t>Units</t>
  </si>
  <si>
    <t>Average distance (round trip)</t>
  </si>
  <si>
    <t>km</t>
  </si>
  <si>
    <t>Number of round trips per day</t>
  </si>
  <si>
    <t>times/day/bus</t>
  </si>
  <si>
    <t>Number of buses servicing the route</t>
  </si>
  <si>
    <t>#</t>
  </si>
  <si>
    <t>Terrain type</t>
  </si>
  <si>
    <t>Flat (Gradient  0%)</t>
  </si>
  <si>
    <t>Bus type</t>
  </si>
  <si>
    <t>2 Axle rigid</t>
  </si>
  <si>
    <t>Number of fast chargers on the route</t>
  </si>
  <si>
    <t>Undulating (Gradient  2%)</t>
  </si>
  <si>
    <t xml:space="preserve"> </t>
  </si>
  <si>
    <t>3 Axle rigid</t>
  </si>
  <si>
    <t>Marginal Abatement Cost results</t>
  </si>
  <si>
    <t>3 Axle Double Decker Bus</t>
  </si>
  <si>
    <t>Terrain</t>
  </si>
  <si>
    <t>%</t>
  </si>
  <si>
    <t xml:space="preserve">Sensitivity </t>
  </si>
  <si>
    <t>Variable</t>
  </si>
  <si>
    <t>Base case average 2023 and 2056</t>
  </si>
  <si>
    <t xml:space="preserve">Increase/Decrease </t>
  </si>
  <si>
    <t>Current value</t>
  </si>
  <si>
    <t>Diesel price</t>
  </si>
  <si>
    <t>$/l</t>
  </si>
  <si>
    <t>H2 price</t>
  </si>
  <si>
    <t>$/kg</t>
  </si>
  <si>
    <t>Renewable diesel price</t>
  </si>
  <si>
    <t>Electricity price</t>
  </si>
  <si>
    <t>$/kWh</t>
  </si>
  <si>
    <t>Diesel bus price</t>
  </si>
  <si>
    <t>$/bus</t>
  </si>
  <si>
    <t>H2 injection system</t>
  </si>
  <si>
    <t>Cost of repowering</t>
  </si>
  <si>
    <t>Battery electric bus (BEB) price</t>
  </si>
  <si>
    <t>Hydrogen fuel cell bus (HFCB) price</t>
  </si>
  <si>
    <t>Dropdown Lists</t>
  </si>
  <si>
    <t>Bus Types</t>
  </si>
  <si>
    <t>Density for Mode shift</t>
  </si>
  <si>
    <t>Road User Charge (RUC)  for electric buses from 2035</t>
  </si>
  <si>
    <t>Urban</t>
  </si>
  <si>
    <t xml:space="preserve">Low </t>
  </si>
  <si>
    <t>High</t>
  </si>
  <si>
    <t>Suburban</t>
  </si>
  <si>
    <t>OFF</t>
  </si>
  <si>
    <t>Hilly (Gradient  6%)</t>
  </si>
  <si>
    <t>Rural</t>
  </si>
  <si>
    <t>Terrain setting</t>
  </si>
  <si>
    <t xml:space="preserve">Terrain </t>
  </si>
  <si>
    <t>% increase relative to flat</t>
  </si>
  <si>
    <t>Mode shift setting</t>
  </si>
  <si>
    <t>Average pax trip distance (km)</t>
  </si>
  <si>
    <t>Average Occupancy (pax)</t>
  </si>
  <si>
    <t>Price option</t>
  </si>
  <si>
    <t>Unit</t>
  </si>
  <si>
    <t>Value</t>
  </si>
  <si>
    <t>$2023/t</t>
  </si>
  <si>
    <t>Emission settings</t>
  </si>
  <si>
    <t xml:space="preserve">Impact of bus size on emissions </t>
  </si>
  <si>
    <t>Return value for a chosen bus type</t>
  </si>
  <si>
    <t>Route type</t>
  </si>
  <si>
    <t>Route 1</t>
  </si>
  <si>
    <t>Route 2</t>
  </si>
  <si>
    <t>Route 3</t>
  </si>
  <si>
    <t>Mode shift</t>
  </si>
  <si>
    <t>CO g/km</t>
  </si>
  <si>
    <t>CO2-e g/km</t>
  </si>
  <si>
    <t>VOC g/km</t>
  </si>
  <si>
    <t>NOx g/km</t>
  </si>
  <si>
    <t>NO2 g/km</t>
  </si>
  <si>
    <t>PM2.5 E g/km</t>
  </si>
  <si>
    <t>PM B&amp;T g/km</t>
  </si>
  <si>
    <t>FC l/100km</t>
  </si>
  <si>
    <t>Impact of bus speed and gradient on emissions</t>
  </si>
  <si>
    <t>Diesel</t>
  </si>
  <si>
    <t>Speed (km/h)</t>
  </si>
  <si>
    <t>Gradient (%)</t>
  </si>
  <si>
    <t>Battery electric and repowered</t>
  </si>
  <si>
    <t>CO2-e kg/km</t>
  </si>
  <si>
    <t>Diesel (mode shift)</t>
  </si>
  <si>
    <t>Go to Dashboard</t>
  </si>
  <si>
    <t>Notes</t>
  </si>
  <si>
    <t>Item</t>
  </si>
  <si>
    <t>Source</t>
  </si>
  <si>
    <t>Assumptions</t>
  </si>
  <si>
    <t>General</t>
  </si>
  <si>
    <t>Discount rate/factor</t>
  </si>
  <si>
    <t>NZTA</t>
  </si>
  <si>
    <t>WACC</t>
  </si>
  <si>
    <t>Ministry of Transport</t>
  </si>
  <si>
    <t>$2022/tCO2e</t>
  </si>
  <si>
    <t>Choice</t>
  </si>
  <si>
    <t>Other pollutants cost:</t>
  </si>
  <si>
    <t xml:space="preserve">National costs </t>
  </si>
  <si>
    <t>CO</t>
  </si>
  <si>
    <t>$2021/t</t>
  </si>
  <si>
    <t>Volatile organic compounds (VOC)</t>
  </si>
  <si>
    <t>NOx :</t>
  </si>
  <si>
    <t xml:space="preserve">Recent </t>
  </si>
  <si>
    <t xml:space="preserve">Older </t>
  </si>
  <si>
    <t>$2016/t</t>
  </si>
  <si>
    <t xml:space="preserve">NO2 </t>
  </si>
  <si>
    <t>PM2.5</t>
  </si>
  <si>
    <t xml:space="preserve">PM B&amp;T </t>
  </si>
  <si>
    <t>SO2</t>
  </si>
  <si>
    <t>Cumulative inflation rate between 2021 and 2023</t>
  </si>
  <si>
    <t>RBNZ</t>
  </si>
  <si>
    <t>Cumulative infaltion between 2016 and 2023</t>
  </si>
  <si>
    <t>National costs :</t>
  </si>
  <si>
    <t xml:space="preserve">NOx </t>
  </si>
  <si>
    <t>Choice for NOx</t>
  </si>
  <si>
    <t>Conversion</t>
  </si>
  <si>
    <t xml:space="preserve">Distance </t>
  </si>
  <si>
    <t>km/mile</t>
  </si>
  <si>
    <t>Average exchange rate</t>
  </si>
  <si>
    <t>USD/NZD</t>
  </si>
  <si>
    <t>Energy</t>
  </si>
  <si>
    <t>Power/Fuel prices</t>
  </si>
  <si>
    <t>Base price: Diesel (Retail excluding ETS) average January to  March 2023</t>
  </si>
  <si>
    <t>MBIE/Envisory</t>
  </si>
  <si>
    <t xml:space="preserve">Change in price </t>
  </si>
  <si>
    <t xml:space="preserve">After the change </t>
  </si>
  <si>
    <t>Hydrogen</t>
  </si>
  <si>
    <t>Base price: Hydrogen</t>
  </si>
  <si>
    <t>Castalia Estimates</t>
  </si>
  <si>
    <t>Envisory</t>
  </si>
  <si>
    <t>Electricity</t>
  </si>
  <si>
    <t xml:space="preserve">Weighted average electricity cost for electric buses, including network costs </t>
  </si>
  <si>
    <t>CCC</t>
  </si>
  <si>
    <t>Change in fuel consumption by route type</t>
  </si>
  <si>
    <t xml:space="preserve">Increase in fuel consumption on different terrain </t>
  </si>
  <si>
    <t>Diesel/RE Diesel/H2 Blending</t>
  </si>
  <si>
    <t>VEPM 6.3</t>
  </si>
  <si>
    <t>BEB/Repowered/Hydrogen</t>
  </si>
  <si>
    <t>GBV</t>
  </si>
  <si>
    <t>Increase in fuel consumption on different route density</t>
  </si>
  <si>
    <t>By Vehicle type</t>
  </si>
  <si>
    <t>Existing Diesel bus</t>
  </si>
  <si>
    <t>Salvage value</t>
  </si>
  <si>
    <t>Salvage value of the bus (as % of the original cost)</t>
  </si>
  <si>
    <t>NREL</t>
  </si>
  <si>
    <t>Diesel bus</t>
  </si>
  <si>
    <t>Capital cost</t>
  </si>
  <si>
    <t>Bus  purchase price</t>
  </si>
  <si>
    <t>The Tranzit Group</t>
  </si>
  <si>
    <t>Change</t>
  </si>
  <si>
    <t>O&amp;M cost</t>
  </si>
  <si>
    <t>Bus maintenance costs</t>
  </si>
  <si>
    <t>$/bus/km</t>
  </si>
  <si>
    <t>Road user charge (RUC)</t>
  </si>
  <si>
    <t>$/km</t>
  </si>
  <si>
    <t>Operational data</t>
  </si>
  <si>
    <t>Bus</t>
  </si>
  <si>
    <t>Service life</t>
  </si>
  <si>
    <t>TOR</t>
  </si>
  <si>
    <t>years</t>
  </si>
  <si>
    <t xml:space="preserve">Diesel consumption </t>
  </si>
  <si>
    <t xml:space="preserve">2 Axle rigid </t>
  </si>
  <si>
    <t>l/km</t>
  </si>
  <si>
    <t xml:space="preserve">3 Axle rigid </t>
  </si>
  <si>
    <t xml:space="preserve">3 Axle Double Decker Bus </t>
  </si>
  <si>
    <t xml:space="preserve">Emissions </t>
  </si>
  <si>
    <t>Embedded emission during manufacturing</t>
  </si>
  <si>
    <t>MDPI</t>
  </si>
  <si>
    <t>kgCO2/bus</t>
  </si>
  <si>
    <t>RE Diesel bus</t>
  </si>
  <si>
    <t>Bus  upgrade price</t>
  </si>
  <si>
    <t>Reduction in  exhaust-related maintenance cost relative to conventional diesel bus</t>
  </si>
  <si>
    <t xml:space="preserve">Remaining life of existing diesel buses </t>
  </si>
  <si>
    <t xml:space="preserve">Power consumption </t>
  </si>
  <si>
    <t>Carbon reduction intensity relative to conventional diesel</t>
  </si>
  <si>
    <t>Reduction relative to a diesel bus:</t>
  </si>
  <si>
    <t xml:space="preserve">CO </t>
  </si>
  <si>
    <t>CO2-e</t>
  </si>
  <si>
    <t xml:space="preserve">VOC </t>
  </si>
  <si>
    <t xml:space="preserve">PM2.5 E </t>
  </si>
  <si>
    <t>PM B&amp;T</t>
  </si>
  <si>
    <t xml:space="preserve">FC </t>
  </si>
  <si>
    <t>H2 injection unit cost purchase price</t>
  </si>
  <si>
    <t>HYDI</t>
  </si>
  <si>
    <t xml:space="preserve">Internal </t>
  </si>
  <si>
    <t>Diesel consumption reduction</t>
  </si>
  <si>
    <t>3 Axle rigid 3</t>
  </si>
  <si>
    <t xml:space="preserve">Reduced emissions </t>
  </si>
  <si>
    <t>25-80</t>
  </si>
  <si>
    <t>Bus repowering cost</t>
  </si>
  <si>
    <t>2 Axle rigid 350kWh</t>
  </si>
  <si>
    <t>The Tranzit Group/GBV</t>
  </si>
  <si>
    <t>3 Axle rigid 350kWh</t>
  </si>
  <si>
    <t>3 Axle Double Decker Bus 440kwh</t>
  </si>
  <si>
    <t xml:space="preserve">, </t>
  </si>
  <si>
    <t>Battery</t>
  </si>
  <si>
    <t>Battery replacement year</t>
  </si>
  <si>
    <t>year</t>
  </si>
  <si>
    <t>Assume that the battery is replaced only if the expected life of repowerd bus is greater than 12 year</t>
  </si>
  <si>
    <t>Infrastructure</t>
  </si>
  <si>
    <t xml:space="preserve">Cost of depot charger  </t>
  </si>
  <si>
    <t>The Tranzit Group/Yutong</t>
  </si>
  <si>
    <t>Cost of depot charger installation and depot upgrade</t>
  </si>
  <si>
    <t>Cost of fast charger</t>
  </si>
  <si>
    <t>Cost of fast charger installation</t>
  </si>
  <si>
    <t xml:space="preserve">Operational life </t>
  </si>
  <si>
    <t>$/charger</t>
  </si>
  <si>
    <t>Yutong</t>
  </si>
  <si>
    <t>3 Axle Double Decker Bus 350kWh</t>
  </si>
  <si>
    <t>Depot charger maintenance cost</t>
  </si>
  <si>
    <t>NREL/Yutong</t>
  </si>
  <si>
    <t>$/year</t>
  </si>
  <si>
    <t>Fast charger maintenance cost</t>
  </si>
  <si>
    <t>kWh/km</t>
  </si>
  <si>
    <t>Commercial lifetime of a battery</t>
  </si>
  <si>
    <t>Number of fast chargers needed</t>
  </si>
  <si>
    <t>Embedded emission during manufacturing of a bus</t>
  </si>
  <si>
    <t xml:space="preserve">Bus purchase </t>
  </si>
  <si>
    <t>updated</t>
  </si>
  <si>
    <t>2 Axle rigid  350kWh</t>
  </si>
  <si>
    <t>The Tranzit Group/Yutong/GBV</t>
  </si>
  <si>
    <t xml:space="preserve">Battery replacement cost </t>
  </si>
  <si>
    <t>Cost of new battery relative to a new bus</t>
  </si>
  <si>
    <t xml:space="preserve">Average annual decrease in the cost of batteries </t>
  </si>
  <si>
    <t>%/year</t>
  </si>
  <si>
    <t>Fast charger maintenance cost 500kW</t>
  </si>
  <si>
    <t>Switch</t>
  </si>
  <si>
    <t>Operational life</t>
  </si>
  <si>
    <t>Power consumption</t>
  </si>
  <si>
    <t>Cost of new battery</t>
  </si>
  <si>
    <t>Number of depot charges needed per bus</t>
  </si>
  <si>
    <t>TCRP</t>
  </si>
  <si>
    <t>Number of fast chargers per bus</t>
  </si>
  <si>
    <t>Tool to limit the operational life of the bus</t>
  </si>
  <si>
    <t>Embedded emission during manufacturing (200kWh battery)</t>
  </si>
  <si>
    <t>kg CO2-e/bus</t>
  </si>
  <si>
    <t>New battery</t>
  </si>
  <si>
    <t>kg CO2-e/battery</t>
  </si>
  <si>
    <t>Scrapping value</t>
  </si>
  <si>
    <t>Residual value of BEB</t>
  </si>
  <si>
    <t>% of purchase price</t>
  </si>
  <si>
    <t>Refuel infrastructure</t>
  </si>
  <si>
    <t>assumed to be included in the cost of h2</t>
  </si>
  <si>
    <t>Infrastructure maintenance cost</t>
  </si>
  <si>
    <t>H2 consumption</t>
  </si>
  <si>
    <t>kg/km</t>
  </si>
  <si>
    <t>apply the same difference as for BEB</t>
  </si>
  <si>
    <t>Well-to-Wheel (WTT) green H2</t>
  </si>
  <si>
    <t>kg CO2-e/km</t>
  </si>
  <si>
    <t>Residual value of HFCB</t>
  </si>
  <si>
    <t>assume the same as BEBs for consistency</t>
  </si>
  <si>
    <t>By route type</t>
  </si>
  <si>
    <t>Distance of a round trip</t>
  </si>
  <si>
    <t>Average dwell time</t>
  </si>
  <si>
    <t>min</t>
  </si>
  <si>
    <t>Days of operation per year</t>
  </si>
  <si>
    <t>days</t>
  </si>
  <si>
    <t xml:space="preserve">Daily passengers </t>
  </si>
  <si>
    <t xml:space="preserve">Average speed </t>
  </si>
  <si>
    <t>km/h</t>
  </si>
  <si>
    <t>Diesel bus:</t>
  </si>
  <si>
    <t>g/km</t>
  </si>
  <si>
    <t>RE diesel</t>
  </si>
  <si>
    <t>Number of buses operating the route per day</t>
  </si>
  <si>
    <t>H2 Blending:</t>
  </si>
  <si>
    <t xml:space="preserve">Mode shift for Urban route for peak hours </t>
  </si>
  <si>
    <t>Average private vehicle-average occupancy</t>
  </si>
  <si>
    <t>people</t>
  </si>
  <si>
    <t>Average vehicle occupancy in urban areas in NZ</t>
  </si>
  <si>
    <t>work</t>
  </si>
  <si>
    <t>Education</t>
  </si>
  <si>
    <t>Home</t>
  </si>
  <si>
    <t>Personal business</t>
  </si>
  <si>
    <t>Shopping</t>
  </si>
  <si>
    <t xml:space="preserve">Social </t>
  </si>
  <si>
    <t xml:space="preserve">Accompanying </t>
  </si>
  <si>
    <t xml:space="preserve">Average </t>
  </si>
  <si>
    <t>Light vehicle emission factor</t>
  </si>
  <si>
    <t>Bus cost related data</t>
  </si>
  <si>
    <t>Capex and Opex cost for BEB</t>
  </si>
  <si>
    <t xml:space="preserve">Bus O&amp;M costs </t>
  </si>
  <si>
    <t>USD/mi</t>
  </si>
  <si>
    <t>USD/km</t>
  </si>
  <si>
    <t>NZD/km</t>
  </si>
  <si>
    <t xml:space="preserve">Average annual vehicle miles travelled </t>
  </si>
  <si>
    <t>Diesel vehicle maintenance cost</t>
  </si>
  <si>
    <t>ITLS</t>
  </si>
  <si>
    <t>Average</t>
  </si>
  <si>
    <t>BEB maintenance cost</t>
  </si>
  <si>
    <t>Average BEB maintenance cost</t>
  </si>
  <si>
    <t>HFCB maintenance cost</t>
  </si>
  <si>
    <t>Fuel consumption</t>
  </si>
  <si>
    <t>mid-hilly</t>
  </si>
  <si>
    <t>GVB</t>
  </si>
  <si>
    <t>flat</t>
  </si>
  <si>
    <t xml:space="preserve">Charger </t>
  </si>
  <si>
    <t>USD</t>
  </si>
  <si>
    <t>NZD</t>
  </si>
  <si>
    <t>Charger depot</t>
  </si>
  <si>
    <t>Tranzit Group</t>
  </si>
  <si>
    <t>Average price for a depot charger</t>
  </si>
  <si>
    <t>Depot charger</t>
  </si>
  <si>
    <t>Installation</t>
  </si>
  <si>
    <t>Installation (excluding the upgrade of a depot )</t>
  </si>
  <si>
    <t>Installation (including the upgrade of a depot to support the utilization of these chargers. )</t>
  </si>
  <si>
    <t>Average cost of installantion including the upgrade</t>
  </si>
  <si>
    <t>Maintenance</t>
  </si>
  <si>
    <t>$/month/charger</t>
  </si>
  <si>
    <t>Fast charger</t>
  </si>
  <si>
    <t>Charger fast  (excl. installation)</t>
  </si>
  <si>
    <t>Charger fast 300kw  (excl. installation)</t>
  </si>
  <si>
    <t>Charger fast 450kw (excl. installation)</t>
  </si>
  <si>
    <t>Average cost of fast charger</t>
  </si>
  <si>
    <t>cost of installion proportionally to the cost of battery</t>
  </si>
  <si>
    <t>Average installation cost</t>
  </si>
  <si>
    <t>Source: https://www.nrel.gov/docs/fy20osti/74832.pdf</t>
  </si>
  <si>
    <t xml:space="preserve">Source: https://www.linkedin.com/pulse/pantograph-electric-buses-from-opportunity-charging-depot-daliah/ </t>
  </si>
  <si>
    <t xml:space="preserve">Emissions during manufacturing </t>
  </si>
  <si>
    <t xml:space="preserve">Total </t>
  </si>
  <si>
    <t>kgCO2-e</t>
  </si>
  <si>
    <t>Total  (with 200kWh battery)</t>
  </si>
  <si>
    <t xml:space="preserve">Battery </t>
  </si>
  <si>
    <t>Source: Article
The Carbon Footprint of Electrified City Buses: A Case Study in
Trondheim, Norway
Kristoffer W. Lie 1
, Trym A. Synnevåg 1
, Jacob J. Lamb 1,2,* and Kristian M. Lien 1</t>
  </si>
  <si>
    <t>Impact of gradient on the emissions</t>
  </si>
  <si>
    <t>Emission factors</t>
  </si>
  <si>
    <t xml:space="preserve">% Impact of gradient on emission </t>
  </si>
  <si>
    <t>Gradient</t>
  </si>
  <si>
    <r>
      <t>CO</t>
    </r>
    <r>
      <rPr>
        <b/>
        <vertAlign val="subscript"/>
        <sz val="11"/>
        <rFont val="Calibri"/>
        <family val="2"/>
        <scheme val="minor"/>
      </rPr>
      <t>2</t>
    </r>
    <r>
      <rPr>
        <b/>
        <sz val="11"/>
        <rFont val="Calibri"/>
        <family val="2"/>
        <scheme val="minor"/>
      </rPr>
      <t>-e</t>
    </r>
  </si>
  <si>
    <t>VOC</t>
  </si>
  <si>
    <t>NOx</t>
  </si>
  <si>
    <r>
      <t>NO</t>
    </r>
    <r>
      <rPr>
        <b/>
        <vertAlign val="subscript"/>
        <sz val="11"/>
        <rFont val="Calibri"/>
        <family val="2"/>
        <scheme val="minor"/>
      </rPr>
      <t>2</t>
    </r>
  </si>
  <si>
    <t>PM2.5
Exhaust</t>
  </si>
  <si>
    <t>PM10
Brake &amp; Tyre</t>
  </si>
  <si>
    <t>FC</t>
  </si>
  <si>
    <t>l/100km</t>
  </si>
  <si>
    <t>Bus fleet average emission factors</t>
  </si>
  <si>
    <t>Diesel Urban Buses Midi  &lt;=15 t</t>
  </si>
  <si>
    <t>Diesel Urban Buses Standard  15-18 t</t>
  </si>
  <si>
    <t>Diesel Coaches Standard  &lt;=18 t</t>
  </si>
  <si>
    <t>Electric Buses</t>
  </si>
  <si>
    <t>Impact of speed on emissions</t>
  </si>
  <si>
    <t>Speed BUS</t>
  </si>
  <si>
    <t>PM B&amp;T size</t>
  </si>
  <si>
    <t>Buses Urban &lt;15t</t>
  </si>
  <si>
    <t>Buses Urban 15-18t</t>
  </si>
  <si>
    <t>Change in fuel consumption</t>
  </si>
  <si>
    <t>Electric</t>
  </si>
  <si>
    <t xml:space="preserve">Impact of speed, bus size and gradient on emissions </t>
  </si>
  <si>
    <t xml:space="preserve">Diesel </t>
  </si>
  <si>
    <t>Diesel Buses Urban &lt;15t</t>
  </si>
  <si>
    <t>Diesel Buses Urban 15-18t</t>
  </si>
  <si>
    <t>Emissions increase on a larger bus</t>
  </si>
  <si>
    <t>Average increase</t>
  </si>
  <si>
    <t>BEB and Repowered bus</t>
  </si>
  <si>
    <t>Light vehicle average (including Evs, hybrid and other type)</t>
  </si>
  <si>
    <t>Source: VEMP 6.3</t>
  </si>
  <si>
    <t xml:space="preserve">Total annual kms travelled </t>
  </si>
  <si>
    <t>Daily distance travelled</t>
  </si>
  <si>
    <t>km/bus</t>
  </si>
  <si>
    <t>Annual distance travelled</t>
  </si>
  <si>
    <t xml:space="preserve">Bus </t>
  </si>
  <si>
    <t>Annual</t>
  </si>
  <si>
    <t>Adjusted for the remaining life of a bus</t>
  </si>
  <si>
    <t>Number of operational days</t>
  </si>
  <si>
    <t>Total number of km</t>
  </si>
  <si>
    <t>Opex</t>
  </si>
  <si>
    <t xml:space="preserve">Diesel bus </t>
  </si>
  <si>
    <t>$/bus/year</t>
  </si>
  <si>
    <t>% increase in fuel consumption</t>
  </si>
  <si>
    <t xml:space="preserve">Total opex for Diesel </t>
  </si>
  <si>
    <t xml:space="preserve">Salvage Diesel </t>
  </si>
  <si>
    <t>Total opex including salvage value</t>
  </si>
  <si>
    <t>Total cost</t>
  </si>
  <si>
    <t>Total discounted cost</t>
  </si>
  <si>
    <t>TCO per km</t>
  </si>
  <si>
    <t>Emissions for an average speed of 10 km/h</t>
  </si>
  <si>
    <t xml:space="preserve">Operational emissions </t>
  </si>
  <si>
    <t xml:space="preserve">CO2-e </t>
  </si>
  <si>
    <t>PM2.5 E</t>
  </si>
  <si>
    <t>Total cost of emissions</t>
  </si>
  <si>
    <t xml:space="preserve">Discounted avoided operational emissions </t>
  </si>
  <si>
    <t xml:space="preserve">Total avoided operational emissions </t>
  </si>
  <si>
    <t xml:space="preserve">Total operational emissions </t>
  </si>
  <si>
    <t>Car</t>
  </si>
  <si>
    <t>Proportion of people switching to bus</t>
  </si>
  <si>
    <t>Average vehical occupancy in uran areas in NZ</t>
  </si>
  <si>
    <t>Number of cars off the road per trip</t>
  </si>
  <si>
    <t>cars</t>
  </si>
  <si>
    <t>Reduction in car kms per trip</t>
  </si>
  <si>
    <t>Numeber of trip per year</t>
  </si>
  <si>
    <t>Annual reduction in car kms per trip</t>
  </si>
  <si>
    <t>Emissions  for an average speed of 15 km/h</t>
  </si>
  <si>
    <t xml:space="preserve">Light vehicle emission reduction </t>
  </si>
  <si>
    <t>$/car/year</t>
  </si>
  <si>
    <t>$/car</t>
  </si>
  <si>
    <t xml:space="preserve">Total cost of emissions incl. avoided emissions </t>
  </si>
  <si>
    <t>TCO avoided emissions from cars</t>
  </si>
  <si>
    <t>TCO emissions incl. avoided emissions from cars</t>
  </si>
  <si>
    <t>Calculating TCO</t>
  </si>
  <si>
    <t xml:space="preserve">Total kms travelled </t>
  </si>
  <si>
    <t xml:space="preserve">Average annual distance travelled </t>
  </si>
  <si>
    <t>Capex</t>
  </si>
  <si>
    <t>Infrastructure cost</t>
  </si>
  <si>
    <t>Total capex</t>
  </si>
  <si>
    <t xml:space="preserve">Annual payments </t>
  </si>
  <si>
    <t>Total opex</t>
  </si>
  <si>
    <t>Salvage</t>
  </si>
  <si>
    <t>TCO per bus</t>
  </si>
  <si>
    <t>Emissions</t>
  </si>
  <si>
    <t>Embedded emissions</t>
  </si>
  <si>
    <t>Total embedded emissions</t>
  </si>
  <si>
    <t>Total cost of embedded emissions</t>
  </si>
  <si>
    <t>Operational emissions</t>
  </si>
  <si>
    <t>Total km travelled per year</t>
  </si>
  <si>
    <t>km/bus/year</t>
  </si>
  <si>
    <t>Total</t>
  </si>
  <si>
    <t xml:space="preserve">Discounted operational emissions </t>
  </si>
  <si>
    <t>TCO final</t>
  </si>
  <si>
    <t>Calculating MAC</t>
  </si>
  <si>
    <t xml:space="preserve">Total cost of the technology excluding emissions </t>
  </si>
  <si>
    <t>Average cost per operating year</t>
  </si>
  <si>
    <t xml:space="preserve">Total CO2-e </t>
  </si>
  <si>
    <t>kgCO2-e/bus</t>
  </si>
  <si>
    <t>Average emissions per operating year</t>
  </si>
  <si>
    <t>kgCO2-e/bus/year</t>
  </si>
  <si>
    <t xml:space="preserve">Infrastructure maintenance cost </t>
  </si>
  <si>
    <t>Headline</t>
  </si>
  <si>
    <t>Adjusted for the remaining operational life of a diesel bus</t>
  </si>
  <si>
    <t xml:space="preserve">Avoided operational emissions </t>
  </si>
  <si>
    <t>Total cost of avoided emissions</t>
  </si>
  <si>
    <t xml:space="preserve">Abatement cost </t>
  </si>
  <si>
    <t>Marginal abetment cost (MAC)</t>
  </si>
  <si>
    <t>Cost difference relative to BAU</t>
  </si>
  <si>
    <t>Emissions reduction relative to BAU</t>
  </si>
  <si>
    <t>kgCO-e/bus</t>
  </si>
  <si>
    <t>MAC</t>
  </si>
  <si>
    <t xml:space="preserve">Calculating km travelled </t>
  </si>
  <si>
    <t>Battery cost accounting for over time decrease in cost</t>
  </si>
  <si>
    <t>Battery replacement cost</t>
  </si>
  <si>
    <t xml:space="preserve">Cost of depot charger </t>
  </si>
  <si>
    <t>Cost of depot charger installation</t>
  </si>
  <si>
    <t>Amont</t>
  </si>
  <si>
    <t>Capex 1</t>
  </si>
  <si>
    <t>Capex 2 (if any)</t>
  </si>
  <si>
    <t>Avoided emission from repurposing diesel buses</t>
  </si>
  <si>
    <t>Avoided emissions</t>
  </si>
  <si>
    <t>Marginal abatement cost (MAC)</t>
  </si>
  <si>
    <t>Calculating kms</t>
  </si>
  <si>
    <t>Avoided emission from repurposing a  diesel buses</t>
  </si>
  <si>
    <t>km/year</t>
  </si>
  <si>
    <t>BEB adjusted for a max 20 years operational life</t>
  </si>
  <si>
    <t>TCO 1: End-of-Life Diesel Bus Replacement with BEB</t>
  </si>
  <si>
    <t>Bus purchase cost</t>
  </si>
  <si>
    <t xml:space="preserve">Total capex for buses and infrastructure </t>
  </si>
  <si>
    <t xml:space="preserve">Annual pmts </t>
  </si>
  <si>
    <t>Total capex for battery</t>
  </si>
  <si>
    <t>Remaining life of a battery</t>
  </si>
  <si>
    <t>Amount</t>
  </si>
  <si>
    <t>Year</t>
  </si>
  <si>
    <t>Operational life - Bus</t>
  </si>
  <si>
    <t>Operational life - Battery Payment</t>
  </si>
  <si>
    <t>Infrastructure maintenance costs</t>
  </si>
  <si>
    <t>$/year/bus</t>
  </si>
  <si>
    <t>Energy consumption</t>
  </si>
  <si>
    <t>Total opex for BEB</t>
  </si>
  <si>
    <t>Salvage BEB</t>
  </si>
  <si>
    <t>Embedded emissions BEB</t>
  </si>
  <si>
    <t>Emissions from battery replacement</t>
  </si>
  <si>
    <t>Total cost of emissions from battery replacement</t>
  </si>
  <si>
    <t>TCO 2: Immediate Diesel to BEB Bus Replacement</t>
  </si>
  <si>
    <t>Totalcost of emissons</t>
  </si>
  <si>
    <t>Early scrapping of diesel buses</t>
  </si>
  <si>
    <t xml:space="preserve">Avoided emissions </t>
  </si>
  <si>
    <t>Cost increase relative to BAU</t>
  </si>
  <si>
    <t>TCO 3: Immediate Diesel to BEB Bus Replacement with Diesel bus used for Mode Shift</t>
  </si>
  <si>
    <t>Total km travelled BEB</t>
  </si>
  <si>
    <t>Total km travelled Diesel bus</t>
  </si>
  <si>
    <t>Total km</t>
  </si>
  <si>
    <t>TCO of purchasing new BEB in year 0</t>
  </si>
  <si>
    <t>TCO of diesel bus</t>
  </si>
  <si>
    <t>Total TCO exl. Emissions</t>
  </si>
  <si>
    <t>$/2 buses</t>
  </si>
  <si>
    <t>TCO BEB emissions</t>
  </si>
  <si>
    <t>TCO Mode shift emissions include avoided emissions from car</t>
  </si>
  <si>
    <t>Total TCO including emission</t>
  </si>
  <si>
    <t xml:space="preserve">TCO of emissions </t>
  </si>
  <si>
    <t>Total TCO</t>
  </si>
  <si>
    <t>Battery and charger replacement cost</t>
  </si>
  <si>
    <t>Total km travelled Biesel bus</t>
  </si>
  <si>
    <t>Calculating km travelled accounting for battery degradation</t>
  </si>
  <si>
    <t>HFCB adjusted for a max 20 years operational life</t>
  </si>
  <si>
    <t>TCO 1: End-of-Life Diesel Bus Replacement with HFCB</t>
  </si>
  <si>
    <t xml:space="preserve"> HFCB</t>
  </si>
  <si>
    <t>Total opex for HFCB</t>
  </si>
  <si>
    <t>Salvage  HFCB</t>
  </si>
  <si>
    <t>Embedded emissions  HFCB</t>
  </si>
  <si>
    <t>TCO 2: Immediate Diesel to HFCB Bus Replacement</t>
  </si>
  <si>
    <t>kgCO2/bus/year</t>
  </si>
  <si>
    <t>TCO 3: Immediate Diesel to HFCB Bus Replacement with Diesel bus used for Mode Shift</t>
  </si>
  <si>
    <t>Use case</t>
  </si>
  <si>
    <t>TCO Inc. Emissions</t>
  </si>
  <si>
    <t>TCO of emissions</t>
  </si>
  <si>
    <t>Diesel  (BAU)</t>
  </si>
  <si>
    <t xml:space="preserve"> TCO  Diesel  (BAU)</t>
  </si>
  <si>
    <t>RE Diesel TCO</t>
  </si>
  <si>
    <t xml:space="preserve"> TCO RE Diesel</t>
  </si>
  <si>
    <t>H2 Blending TCO</t>
  </si>
  <si>
    <t xml:space="preserve"> TCO H2 Blending</t>
  </si>
  <si>
    <t>Repowered TCO</t>
  </si>
  <si>
    <t xml:space="preserve"> TCO Repowered</t>
  </si>
  <si>
    <t>BEB TCO 2:  Immediate Diesel to BEB Replacement</t>
  </si>
  <si>
    <t>HFCB TCO 2:  Immediate Diesel to HFCB Bus Replacement</t>
  </si>
  <si>
    <t xml:space="preserve">Stack of costs </t>
  </si>
  <si>
    <t>Based on Route 1</t>
  </si>
  <si>
    <t>Payback period</t>
  </si>
  <si>
    <t xml:space="preserve">Annual km travelled </t>
  </si>
  <si>
    <t>Savings per km</t>
  </si>
  <si>
    <t>Savings per year</t>
  </si>
  <si>
    <t>Extra capex</t>
  </si>
  <si>
    <t xml:space="preserve">Payback period </t>
  </si>
  <si>
    <t>Comment</t>
  </si>
  <si>
    <t xml:space="preserve"> Diesel  (BAU)</t>
  </si>
  <si>
    <t>12 year remaining life</t>
  </si>
  <si>
    <t>Fuel</t>
  </si>
  <si>
    <t>BEB (TCO 2)</t>
  </si>
  <si>
    <t>no capital cost</t>
  </si>
  <si>
    <t>HFCB (TCO 2)</t>
  </si>
  <si>
    <t xml:space="preserve">Energy cost </t>
  </si>
  <si>
    <t>Diesel (Retail excluding ETS)</t>
  </si>
  <si>
    <t>Weighted average electricity cost for electric buses</t>
  </si>
  <si>
    <t>Immediate diesel to BEB bus replacement</t>
  </si>
  <si>
    <t>Immediate diesel to BEB bus replacement with diesel bus used for mode shift</t>
  </si>
  <si>
    <t>Immediate diesel to HFCB bus replacement</t>
  </si>
  <si>
    <t>Immediate diesel to HFCB bus replacement with diesel bus used for mode shift</t>
  </si>
  <si>
    <t>Mode shift (urban road)</t>
  </si>
  <si>
    <t xml:space="preserve">Removed all online links </t>
  </si>
  <si>
    <t>21 Reserve Bank of New Zealand</t>
  </si>
  <si>
    <t>22. Alyssa Sporrer, Renewable diesel: Environmental and economic sustainability meet head-on, Freight waves  (2021)</t>
  </si>
  <si>
    <t>Freight Waves</t>
  </si>
  <si>
    <t>New trimet</t>
  </si>
  <si>
    <t>23. News trimet, The future of cleaner air is now as trimet buses run on cleaner burning renewable diesel, (2021)</t>
  </si>
  <si>
    <t>Priorpower</t>
  </si>
  <si>
    <t>24. priorpower, HYDROGEN INJECTION DIESEL</t>
  </si>
  <si>
    <t>25. NREL, SunLine Transit Agency American Fuel Cell Bus Progress Report, 2020</t>
  </si>
  <si>
    <t>Ballard</t>
  </si>
  <si>
    <t>26. Ballard, FUEL CELL LIFE CYCLE ASSESSMENT</t>
  </si>
  <si>
    <t>WRGF</t>
  </si>
  <si>
    <t>27. Wellington Regional Growth Framework (WRGF), 2017</t>
  </si>
  <si>
    <t xml:space="preserve">General settings and key sensitivities </t>
  </si>
  <si>
    <t>$371,001, 2023 NZTA study (default)</t>
  </si>
  <si>
    <t>$19,911, 2021 NZTA study (sensitivity)</t>
  </si>
  <si>
    <t>TCO excl. emissions change: Fuel price change</t>
  </si>
  <si>
    <t>TCO incl. emissions change: Fuel price change</t>
  </si>
  <si>
    <t>TCO excl. emissions change: Energy price change</t>
  </si>
  <si>
    <t>TCO incl. emissions change: Energy price change</t>
  </si>
  <si>
    <t>TCO incl. emissions change: Capex  change</t>
  </si>
  <si>
    <t>TCO excl. emissions change: Capex  change</t>
  </si>
  <si>
    <t>Sensitivity analysis</t>
  </si>
  <si>
    <t xml:space="preserve">RR 718 - Zero emission bus economics study </t>
  </si>
  <si>
    <t>April 2024</t>
  </si>
  <si>
    <t>Zero-emission bus economics study</t>
  </si>
  <si>
    <t>Zero-emission buses cost model</t>
  </si>
  <si>
    <t>NZ Transport Agency research report 718</t>
  </si>
  <si>
    <t>Contracted research organisation – Castalia</t>
  </si>
  <si>
    <t>Research report 718 is available here:</t>
  </si>
  <si>
    <t xml:space="preserve">www.nzta.govt.nz/resources/research/reports/718 </t>
  </si>
  <si>
    <t>2. NZ Transport Agency Waka Kotahi| Battery Electric Bus Charging| Public Transport Design Guidance</t>
  </si>
  <si>
    <t>This workbook was developed for the NZ Transport Agency Waka Kotahi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</si>
</sst>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Red]\-&quot;$&quot;#,##0.00"/>
    <numFmt numFmtId="43" formatCode="_-* #,##0.00_-;\-* #,##0.00_-;_-* &quot;-&quot;??_-;_-@_-"/>
    <numFmt numFmtId="164" formatCode="0.0%"/>
    <numFmt numFmtId="165" formatCode="mmmm\ yyyy"/>
    <numFmt numFmtId="166" formatCode="_-* #,##0_-;\-* #,##0_-;_-* &quot;-&quot;??_-;_-@_-"/>
    <numFmt numFmtId="167" formatCode="0.000"/>
    <numFmt numFmtId="168" formatCode="0.0"/>
    <numFmt numFmtId="169" formatCode="_-* #,##0.000_-;\-* #,##0.000_-;_-* &quot;-&quot;??_-;_-@_-"/>
    <numFmt numFmtId="170" formatCode="_-* #,##0.0_-;\-* #,##0.0_-;_-* &quot;-&quot;??_-;_-@_-"/>
    <numFmt numFmtId="171" formatCode="0.0000"/>
    <numFmt numFmtId="172" formatCode="_-* #,##0.0_-;\-* #,##0.0_-;_-* &quot;-&quot;?_-;_-@_-"/>
  </numFmts>
  <fonts count="66"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u/>
      <sz val="11"/>
      <color theme="4" tint="-0.499984740745262"/>
      <name val="Calibri"/>
      <family val="2"/>
      <scheme val="minor"/>
    </font>
    <font>
      <sz val="11"/>
      <color theme="4" tint="-0.499984740745262"/>
      <name val="Calibri"/>
      <family val="2"/>
      <scheme val="minor"/>
    </font>
    <font>
      <sz val="11"/>
      <color theme="4"/>
      <name val="Calibri"/>
      <family val="2"/>
      <scheme val="minor"/>
    </font>
    <font>
      <b/>
      <sz val="11"/>
      <color rgb="FFFF0000"/>
      <name val="Calibri"/>
      <family val="2"/>
      <scheme val="minor"/>
    </font>
    <font>
      <b/>
      <sz val="11"/>
      <color theme="4"/>
      <name val="Calibri"/>
      <family val="2"/>
      <scheme val="minor"/>
    </font>
    <font>
      <sz val="11"/>
      <color theme="4" tint="-0.249977111117893"/>
      <name val="Calibri"/>
      <family val="2"/>
      <scheme val="minor"/>
    </font>
    <font>
      <b/>
      <sz val="11"/>
      <name val="Calibri"/>
      <family val="2"/>
      <scheme val="minor"/>
    </font>
    <font>
      <sz val="11"/>
      <color theme="5"/>
      <name val="Calibri"/>
      <family val="2"/>
      <scheme val="minor"/>
    </font>
    <font>
      <b/>
      <sz val="11"/>
      <color rgb="FFC00000"/>
      <name val="Calibri"/>
      <family val="2"/>
      <scheme val="minor"/>
    </font>
    <font>
      <b/>
      <sz val="11"/>
      <color theme="4" tint="-0.249977111117893"/>
      <name val="Calibri"/>
      <family val="2"/>
      <scheme val="minor"/>
    </font>
    <font>
      <sz val="11"/>
      <color theme="3" tint="-0.499984740745262"/>
      <name val="Calibri"/>
      <family val="2"/>
      <scheme val="minor"/>
    </font>
    <font>
      <i/>
      <sz val="11"/>
      <color theme="1"/>
      <name val="Calibri"/>
      <family val="2"/>
      <scheme val="minor"/>
    </font>
    <font>
      <b/>
      <i/>
      <sz val="11"/>
      <color theme="1"/>
      <name val="Calibri"/>
      <family val="2"/>
      <scheme val="minor"/>
    </font>
    <font>
      <i/>
      <sz val="11"/>
      <color theme="0"/>
      <name val="Calibri"/>
      <family val="2"/>
      <scheme val="minor"/>
    </font>
    <font>
      <sz val="11"/>
      <name val="Calibri"/>
      <family val="2"/>
      <scheme val="minor"/>
    </font>
    <font>
      <b/>
      <sz val="24"/>
      <color theme="4" tint="-0.499984740745262"/>
      <name val="Calibri"/>
      <family val="2"/>
      <scheme val="minor"/>
    </font>
    <font>
      <sz val="22"/>
      <name val="Calibri"/>
      <family val="2"/>
      <scheme val="minor"/>
    </font>
    <font>
      <sz val="12"/>
      <color theme="4"/>
      <name val="Calibri"/>
      <family val="2"/>
      <scheme val="minor"/>
    </font>
    <font>
      <b/>
      <sz val="14"/>
      <color theme="4" tint="-0.499984740745262"/>
      <name val="Calibri"/>
      <family val="2"/>
      <scheme val="minor"/>
    </font>
    <font>
      <sz val="11"/>
      <color theme="1" tint="-0.499984740745262"/>
      <name val="Calibri"/>
      <family val="2"/>
      <scheme val="minor"/>
    </font>
    <font>
      <b/>
      <sz val="12"/>
      <color theme="4" tint="-0.249977111117893"/>
      <name val="Calibri"/>
      <family val="2"/>
      <scheme val="minor"/>
    </font>
    <font>
      <b/>
      <u/>
      <sz val="14"/>
      <color theme="4" tint="-0.499984740745262"/>
      <name val="Calibri"/>
      <family val="2"/>
      <scheme val="minor"/>
    </font>
    <font>
      <b/>
      <sz val="14"/>
      <color theme="4" tint="-0.249977111117893"/>
      <name val="Calibri"/>
      <family val="2"/>
      <scheme val="minor"/>
    </font>
    <font>
      <sz val="8"/>
      <name val="Calibri"/>
      <family val="2"/>
      <scheme val="minor"/>
    </font>
    <font>
      <b/>
      <sz val="14"/>
      <color theme="4"/>
      <name val="Calibri"/>
      <family val="2"/>
      <scheme val="minor"/>
    </font>
    <font>
      <b/>
      <sz val="14"/>
      <color theme="1"/>
      <name val="Calibri"/>
      <family val="2"/>
      <scheme val="minor"/>
    </font>
    <font>
      <sz val="14"/>
      <color theme="1"/>
      <name val="Calibri"/>
      <family val="2"/>
      <scheme val="minor"/>
    </font>
    <font>
      <b/>
      <sz val="10"/>
      <color theme="4" tint="-0.249977111117893"/>
      <name val="Calibri"/>
      <family val="2"/>
      <scheme val="minor"/>
    </font>
    <font>
      <b/>
      <sz val="12"/>
      <color theme="1"/>
      <name val="Calibri"/>
      <family val="2"/>
      <scheme val="minor"/>
    </font>
    <font>
      <sz val="11"/>
      <color theme="9"/>
      <name val="Calibri"/>
      <family val="2"/>
      <scheme val="minor"/>
    </font>
    <font>
      <sz val="11"/>
      <color rgb="FF0F14D7"/>
      <name val="Calibri"/>
      <family val="2"/>
      <scheme val="minor"/>
    </font>
    <font>
      <sz val="11"/>
      <color theme="6" tint="-0.249977111117893"/>
      <name val="Calibri"/>
      <family val="2"/>
      <scheme val="minor"/>
    </font>
    <font>
      <b/>
      <sz val="11"/>
      <color rgb="FF0070C0"/>
      <name val="Calibri"/>
      <family val="2"/>
      <scheme val="minor"/>
    </font>
    <font>
      <b/>
      <sz val="11"/>
      <color theme="9"/>
      <name val="Calibri"/>
      <family val="2"/>
      <scheme val="minor"/>
    </font>
    <font>
      <b/>
      <sz val="14"/>
      <name val="Calibri"/>
      <family val="2"/>
      <scheme val="minor"/>
    </font>
    <font>
      <b/>
      <sz val="11"/>
      <color theme="3" tint="-0.499984740745262"/>
      <name val="Calibri"/>
      <family val="2"/>
      <scheme val="minor"/>
    </font>
    <font>
      <b/>
      <sz val="18"/>
      <name val="Calibri"/>
      <family val="2"/>
      <scheme val="minor"/>
    </font>
    <font>
      <sz val="10"/>
      <name val="Arial"/>
      <family val="2"/>
    </font>
    <font>
      <b/>
      <vertAlign val="subscript"/>
      <sz val="11"/>
      <name val="Calibri"/>
      <family val="2"/>
      <scheme val="minor"/>
    </font>
    <font>
      <b/>
      <sz val="10"/>
      <name val="Calibri"/>
      <family val="2"/>
      <scheme val="minor"/>
    </font>
    <font>
      <sz val="10"/>
      <name val="Calibri"/>
      <family val="2"/>
      <scheme val="minor"/>
    </font>
    <font>
      <b/>
      <sz val="11"/>
      <color indexed="8"/>
      <name val="Calibri"/>
      <family val="2"/>
      <scheme val="minor"/>
    </font>
    <font>
      <b/>
      <sz val="8"/>
      <color indexed="81"/>
      <name val="Tahoma"/>
      <family val="2"/>
    </font>
    <font>
      <sz val="8"/>
      <color indexed="81"/>
      <name val="Tahoma"/>
      <family val="2"/>
    </font>
    <font>
      <b/>
      <sz val="11"/>
      <color rgb="FF0F14D7"/>
      <name val="Calibri"/>
      <family val="2"/>
      <scheme val="minor"/>
    </font>
    <font>
      <sz val="10"/>
      <color rgb="FF0F14D7"/>
      <name val="Arial"/>
      <family val="2"/>
    </font>
    <font>
      <sz val="11"/>
      <color rgb="FF53575A"/>
      <name val="Calibri"/>
      <family val="2"/>
      <scheme val="minor"/>
    </font>
    <font>
      <b/>
      <sz val="12"/>
      <color rgb="FF53575A"/>
      <name val="Calibri Light"/>
      <family val="2"/>
      <scheme val="major"/>
    </font>
    <font>
      <b/>
      <sz val="11"/>
      <color theme="0" tint="-0.499984740745262"/>
      <name val="Calibri"/>
      <family val="2"/>
      <scheme val="minor"/>
    </font>
    <font>
      <b/>
      <sz val="18"/>
      <color theme="4" tint="-0.499984740745262"/>
      <name val="Calibri"/>
      <family val="2"/>
      <scheme val="minor"/>
    </font>
    <font>
      <b/>
      <i/>
      <sz val="11"/>
      <color theme="4"/>
      <name val="Calibri"/>
      <family val="2"/>
      <scheme val="minor"/>
    </font>
    <font>
      <sz val="11"/>
      <color rgb="FF00B050"/>
      <name val="Calibri"/>
      <family val="2"/>
      <scheme val="minor"/>
    </font>
    <font>
      <sz val="10"/>
      <color theme="1"/>
      <name val="Lucida Sans"/>
      <family val="2"/>
    </font>
    <font>
      <b/>
      <sz val="22"/>
      <color rgb="FF19456B"/>
      <name val="Arial"/>
      <family val="2"/>
    </font>
    <font>
      <sz val="12"/>
      <color theme="1"/>
      <name val="Arial"/>
      <family val="2"/>
    </font>
    <font>
      <b/>
      <sz val="18"/>
      <color rgb="FF006FB8"/>
      <name val="Arial"/>
      <family val="2"/>
    </font>
    <font>
      <sz val="16"/>
      <color rgb="FF006FB8"/>
      <name val="Arial"/>
      <family val="2"/>
    </font>
    <font>
      <b/>
      <sz val="12"/>
      <color rgb="FF19456B"/>
      <name val="Arial"/>
      <family val="2"/>
    </font>
    <font>
      <sz val="10"/>
      <color rgb="FF19456B"/>
      <name val="Arial"/>
      <family val="2"/>
    </font>
  </fonts>
  <fills count="1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3" tint="0.79998168889431442"/>
        <bgColor indexed="64"/>
      </patternFill>
    </fill>
    <fill>
      <patternFill patternType="solid">
        <fgColor theme="4"/>
        <bgColor indexed="64"/>
      </patternFill>
    </fill>
    <fill>
      <patternFill patternType="solid">
        <fgColor theme="6" tint="-0.249977111117893"/>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bgColor indexed="64"/>
      </patternFill>
    </fill>
    <fill>
      <patternFill patternType="solid">
        <fgColor theme="5" tint="0.79998168889431442"/>
        <bgColor indexed="64"/>
      </patternFill>
    </fill>
  </fills>
  <borders count="21">
    <border>
      <left/>
      <right/>
      <top/>
      <bottom/>
      <diagonal/>
    </border>
    <border>
      <left/>
      <right style="thin">
        <color auto="1"/>
      </right>
      <top/>
      <bottom/>
      <diagonal/>
    </border>
    <border>
      <left/>
      <right/>
      <top/>
      <bottom style="thin">
        <color indexed="64"/>
      </bottom>
      <diagonal/>
    </border>
    <border>
      <left/>
      <right style="thin">
        <color auto="1"/>
      </right>
      <top/>
      <bottom style="thin">
        <color indexed="64"/>
      </bottom>
      <diagonal/>
    </border>
    <border>
      <left/>
      <right/>
      <top/>
      <bottom style="thin">
        <color rgb="FF009BDE"/>
      </bottom>
      <diagonal/>
    </border>
    <border>
      <left style="hair">
        <color theme="4"/>
      </left>
      <right style="hair">
        <color theme="4"/>
      </right>
      <top style="hair">
        <color theme="4"/>
      </top>
      <bottom style="hair">
        <color theme="4"/>
      </bottom>
      <diagonal/>
    </border>
    <border>
      <left style="hair">
        <color rgb="FF009BDE"/>
      </left>
      <right/>
      <top/>
      <bottom/>
      <diagonal/>
    </border>
    <border>
      <left/>
      <right/>
      <top/>
      <bottom style="thin">
        <color theme="1"/>
      </bottom>
      <diagonal/>
    </border>
    <border>
      <left/>
      <right/>
      <top style="thin">
        <color indexed="64"/>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right/>
      <top/>
      <bottom style="thin">
        <color theme="4"/>
      </bottom>
      <diagonal/>
    </border>
    <border>
      <left style="thin">
        <color auto="1"/>
      </left>
      <right style="thin">
        <color indexed="64"/>
      </right>
      <top/>
      <bottom/>
      <diagonal/>
    </border>
    <border>
      <left/>
      <right/>
      <top style="thin">
        <color rgb="FF009BDE"/>
      </top>
      <bottom style="thin">
        <color theme="4"/>
      </bottom>
      <diagonal/>
    </border>
    <border>
      <left style="hair">
        <color theme="4"/>
      </left>
      <right style="hair">
        <color theme="4"/>
      </right>
      <top/>
      <bottom style="hair">
        <color theme="4"/>
      </bottom>
      <diagonal/>
    </border>
    <border>
      <left style="thin">
        <color indexed="64"/>
      </left>
      <right/>
      <top/>
      <bottom style="thin">
        <color indexed="64"/>
      </bottom>
      <diagonal/>
    </border>
    <border>
      <left style="thin">
        <color indexed="64"/>
      </left>
      <right/>
      <top style="thin">
        <color indexed="64"/>
      </top>
      <bottom/>
      <diagonal/>
    </border>
    <border>
      <left/>
      <right style="thin">
        <color auto="1"/>
      </right>
      <top style="thin">
        <color indexed="64"/>
      </top>
      <bottom/>
      <diagonal/>
    </border>
    <border>
      <left style="hair">
        <color theme="4"/>
      </left>
      <right style="hair">
        <color theme="4"/>
      </right>
      <top style="hair">
        <color theme="4"/>
      </top>
      <bottom style="thin">
        <color theme="4"/>
      </bottom>
      <diagonal/>
    </border>
    <border>
      <left/>
      <right style="thin">
        <color theme="4"/>
      </right>
      <top/>
      <bottom/>
      <diagonal/>
    </border>
    <border>
      <left/>
      <right style="thin">
        <color theme="4"/>
      </right>
      <top/>
      <bottom style="thin">
        <color theme="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44" fillId="0" borderId="0"/>
    <xf numFmtId="0" fontId="53" fillId="0" borderId="0" applyNumberFormat="0" applyProtection="0">
      <alignment vertical="top"/>
    </xf>
    <xf numFmtId="0" fontId="54" fillId="0" borderId="0" applyNumberFormat="0" applyFill="0" applyBorder="0" applyProtection="0">
      <alignment horizontal="left" vertical="top"/>
    </xf>
    <xf numFmtId="0" fontId="59" fillId="0" borderId="0"/>
  </cellStyleXfs>
  <cellXfs count="540">
    <xf numFmtId="0" fontId="0" fillId="0" borderId="0" xfId="0"/>
    <xf numFmtId="0" fontId="3" fillId="2" borderId="0" xfId="0" applyFont="1" applyFill="1" applyAlignment="1">
      <alignment horizontal="center"/>
    </xf>
    <xf numFmtId="0" fontId="0" fillId="2" borderId="0" xfId="0" applyFill="1"/>
    <xf numFmtId="0" fontId="7" fillId="2" borderId="0" xfId="3" applyFont="1" applyFill="1" applyBorder="1" applyAlignment="1">
      <alignment horizontal="center" vertical="center"/>
    </xf>
    <xf numFmtId="0" fontId="0" fillId="2" borderId="0" xfId="0" applyFill="1" applyAlignment="1">
      <alignment horizontal="center"/>
    </xf>
    <xf numFmtId="0" fontId="0" fillId="2" borderId="1" xfId="0" applyFill="1" applyBorder="1"/>
    <xf numFmtId="0" fontId="3" fillId="2" borderId="2" xfId="0" applyFont="1" applyFill="1" applyBorder="1" applyAlignment="1">
      <alignment horizontal="center"/>
    </xf>
    <xf numFmtId="0" fontId="0" fillId="2" borderId="2" xfId="0" applyFill="1" applyBorder="1"/>
    <xf numFmtId="0" fontId="8" fillId="2" borderId="2" xfId="0" applyFont="1" applyFill="1" applyBorder="1"/>
    <xf numFmtId="0" fontId="0" fillId="2" borderId="2" xfId="0" applyFill="1" applyBorder="1" applyAlignment="1">
      <alignment horizontal="center"/>
    </xf>
    <xf numFmtId="0" fontId="4" fillId="2" borderId="2" xfId="0" applyFont="1" applyFill="1" applyBorder="1"/>
    <xf numFmtId="0" fontId="4" fillId="2" borderId="3" xfId="0" applyFont="1" applyFill="1" applyBorder="1"/>
    <xf numFmtId="0" fontId="3" fillId="3" borderId="0" xfId="0" applyFont="1" applyFill="1"/>
    <xf numFmtId="0" fontId="9" fillId="3" borderId="0" xfId="0" applyFont="1" applyFill="1"/>
    <xf numFmtId="0" fontId="0" fillId="3" borderId="0" xfId="0" applyFill="1"/>
    <xf numFmtId="0" fontId="0" fillId="3" borderId="0" xfId="0" applyFill="1" applyAlignment="1">
      <alignment horizontal="center"/>
    </xf>
    <xf numFmtId="0" fontId="0" fillId="4" borderId="0" xfId="0" applyFill="1"/>
    <xf numFmtId="0" fontId="0" fillId="3" borderId="1" xfId="0" applyFill="1" applyBorder="1"/>
    <xf numFmtId="0" fontId="10" fillId="3" borderId="0" xfId="0" applyFont="1" applyFill="1" applyAlignment="1">
      <alignment horizontal="center"/>
    </xf>
    <xf numFmtId="0" fontId="11" fillId="3" borderId="0" xfId="0" applyFont="1" applyFill="1"/>
    <xf numFmtId="0" fontId="4" fillId="3" borderId="0" xfId="0" applyFont="1" applyFill="1"/>
    <xf numFmtId="0" fontId="4" fillId="3" borderId="0" xfId="0" applyFont="1" applyFill="1" applyAlignment="1">
      <alignment horizontal="center"/>
    </xf>
    <xf numFmtId="0" fontId="4" fillId="4" borderId="0" xfId="0" applyFont="1" applyFill="1" applyAlignment="1">
      <alignment horizontal="center"/>
    </xf>
    <xf numFmtId="0" fontId="9" fillId="5" borderId="0" xfId="0" applyFont="1" applyFill="1" applyAlignment="1">
      <alignment horizontal="center"/>
    </xf>
    <xf numFmtId="0" fontId="2" fillId="5" borderId="0" xfId="0" applyFont="1" applyFill="1"/>
    <xf numFmtId="0" fontId="5" fillId="5" borderId="0" xfId="0" applyFont="1" applyFill="1" applyAlignment="1">
      <alignment horizontal="center"/>
    </xf>
    <xf numFmtId="0" fontId="5" fillId="5" borderId="0" xfId="0" applyFont="1" applyFill="1"/>
    <xf numFmtId="0" fontId="5" fillId="5" borderId="1" xfId="0" applyFont="1" applyFill="1" applyBorder="1"/>
    <xf numFmtId="43" fontId="12" fillId="3" borderId="0" xfId="1" applyFont="1" applyFill="1"/>
    <xf numFmtId="43" fontId="0" fillId="3" borderId="1" xfId="1" applyFont="1" applyFill="1" applyBorder="1"/>
    <xf numFmtId="0" fontId="2" fillId="3" borderId="0" xfId="0" applyFont="1" applyFill="1"/>
    <xf numFmtId="0" fontId="5" fillId="3" borderId="0" xfId="0" applyFont="1" applyFill="1" applyAlignment="1">
      <alignment horizontal="center"/>
    </xf>
    <xf numFmtId="0" fontId="5" fillId="3" borderId="0" xfId="0" applyFont="1" applyFill="1"/>
    <xf numFmtId="0" fontId="5" fillId="3" borderId="1" xfId="0" applyFont="1" applyFill="1" applyBorder="1"/>
    <xf numFmtId="0" fontId="2" fillId="6" borderId="0" xfId="0" applyFont="1" applyFill="1"/>
    <xf numFmtId="0" fontId="5" fillId="6" borderId="0" xfId="0" applyFont="1" applyFill="1" applyAlignment="1">
      <alignment horizontal="center"/>
    </xf>
    <xf numFmtId="0" fontId="5" fillId="6" borderId="0" xfId="0" applyFont="1" applyFill="1"/>
    <xf numFmtId="0" fontId="11" fillId="3" borderId="2" xfId="0" applyFont="1" applyFill="1" applyBorder="1"/>
    <xf numFmtId="0" fontId="0" fillId="3" borderId="2" xfId="0" applyFill="1" applyBorder="1" applyAlignment="1">
      <alignment horizontal="center"/>
    </xf>
    <xf numFmtId="0" fontId="0" fillId="4" borderId="2" xfId="0" applyFill="1" applyBorder="1"/>
    <xf numFmtId="0" fontId="0" fillId="3" borderId="2" xfId="0" applyFill="1" applyBorder="1"/>
    <xf numFmtId="0" fontId="13" fillId="3" borderId="0" xfId="0" applyFont="1" applyFill="1" applyAlignment="1">
      <alignment horizontal="left"/>
    </xf>
    <xf numFmtId="43" fontId="14" fillId="3" borderId="0" xfId="1" applyFont="1" applyFill="1"/>
    <xf numFmtId="0" fontId="14" fillId="3" borderId="0" xfId="0" applyFont="1" applyFill="1"/>
    <xf numFmtId="0" fontId="4" fillId="3" borderId="0" xfId="0" applyFont="1" applyFill="1" applyAlignment="1">
      <alignment horizontal="left" indent="1"/>
    </xf>
    <xf numFmtId="0" fontId="0" fillId="3" borderId="0" xfId="0" applyFill="1" applyAlignment="1">
      <alignment horizontal="left" indent="1"/>
    </xf>
    <xf numFmtId="0" fontId="12" fillId="3" borderId="0" xfId="0" applyFont="1" applyFill="1"/>
    <xf numFmtId="0" fontId="15" fillId="3" borderId="0" xfId="0" applyFont="1" applyFill="1" applyAlignment="1">
      <alignment horizontal="left" indent="1"/>
    </xf>
    <xf numFmtId="0" fontId="4" fillId="4" borderId="0" xfId="0" applyFont="1" applyFill="1"/>
    <xf numFmtId="43" fontId="16" fillId="3" borderId="0" xfId="1" applyFont="1" applyFill="1"/>
    <xf numFmtId="43" fontId="4" fillId="3" borderId="1" xfId="1" applyFont="1" applyFill="1" applyBorder="1"/>
    <xf numFmtId="0" fontId="3" fillId="0" borderId="0" xfId="0" applyFont="1"/>
    <xf numFmtId="0" fontId="9" fillId="0" borderId="0" xfId="0" applyFont="1"/>
    <xf numFmtId="0" fontId="0" fillId="0" borderId="0" xfId="0" applyAlignment="1">
      <alignment horizontal="center"/>
    </xf>
    <xf numFmtId="0" fontId="9" fillId="3" borderId="0" xfId="0" applyFont="1" applyFill="1" applyAlignment="1">
      <alignment horizontal="left"/>
    </xf>
    <xf numFmtId="0" fontId="7" fillId="3" borderId="0" xfId="3" applyFont="1" applyFill="1" applyBorder="1" applyAlignment="1">
      <alignment horizontal="center" vertical="center"/>
    </xf>
    <xf numFmtId="43" fontId="0" fillId="3" borderId="0" xfId="1" applyFont="1" applyFill="1"/>
    <xf numFmtId="0" fontId="9" fillId="3" borderId="2" xfId="0" applyFont="1" applyFill="1" applyBorder="1" applyAlignment="1">
      <alignment horizontal="left"/>
    </xf>
    <xf numFmtId="0" fontId="4" fillId="3" borderId="2" xfId="1" applyNumberFormat="1" applyFont="1" applyFill="1" applyBorder="1"/>
    <xf numFmtId="0" fontId="9" fillId="5" borderId="0" xfId="0" applyFont="1" applyFill="1" applyAlignment="1">
      <alignment horizontal="left"/>
    </xf>
    <xf numFmtId="43" fontId="5" fillId="5" borderId="0" xfId="1" applyFont="1" applyFill="1"/>
    <xf numFmtId="43" fontId="5" fillId="5" borderId="1" xfId="1" applyFont="1" applyFill="1" applyBorder="1"/>
    <xf numFmtId="9" fontId="12" fillId="3" borderId="0" xfId="2" applyFont="1" applyFill="1"/>
    <xf numFmtId="9" fontId="0" fillId="3" borderId="0" xfId="2" applyFont="1" applyFill="1"/>
    <xf numFmtId="9" fontId="0" fillId="3" borderId="1" xfId="2" applyFont="1" applyFill="1" applyBorder="1"/>
    <xf numFmtId="0" fontId="9" fillId="6" borderId="0" xfId="0" applyFont="1" applyFill="1" applyAlignment="1">
      <alignment horizontal="left"/>
    </xf>
    <xf numFmtId="43" fontId="5" fillId="6" borderId="0" xfId="1" applyFont="1" applyFill="1"/>
    <xf numFmtId="43" fontId="5" fillId="6" borderId="1" xfId="1" applyFont="1" applyFill="1" applyBorder="1"/>
    <xf numFmtId="43" fontId="0" fillId="3" borderId="0" xfId="1" applyFont="1" applyFill="1" applyBorder="1"/>
    <xf numFmtId="43" fontId="3" fillId="3" borderId="0" xfId="1" applyFont="1" applyFill="1"/>
    <xf numFmtId="0" fontId="17" fillId="3" borderId="0" xfId="0" applyFont="1" applyFill="1" applyAlignment="1">
      <alignment horizontal="center"/>
    </xf>
    <xf numFmtId="0" fontId="17" fillId="3" borderId="0" xfId="0" applyFont="1" applyFill="1"/>
    <xf numFmtId="10" fontId="0" fillId="3" borderId="0" xfId="2" applyNumberFormat="1" applyFont="1" applyFill="1"/>
    <xf numFmtId="43" fontId="0" fillId="3" borderId="2" xfId="1" applyFont="1" applyFill="1" applyBorder="1"/>
    <xf numFmtId="43" fontId="0" fillId="3" borderId="3" xfId="1" applyFont="1" applyFill="1" applyBorder="1"/>
    <xf numFmtId="0" fontId="9" fillId="0" borderId="0" xfId="0" applyFont="1" applyAlignment="1">
      <alignment horizontal="left"/>
    </xf>
    <xf numFmtId="43" fontId="0" fillId="0" borderId="0" xfId="1" applyFont="1"/>
    <xf numFmtId="0" fontId="3" fillId="3" borderId="0" xfId="0" applyFont="1" applyFill="1" applyAlignment="1">
      <alignment horizontal="left"/>
    </xf>
    <xf numFmtId="0" fontId="10" fillId="3" borderId="0" xfId="0" applyFont="1" applyFill="1"/>
    <xf numFmtId="0" fontId="3" fillId="3" borderId="0" xfId="0" applyFont="1" applyFill="1" applyAlignment="1">
      <alignment horizontal="center"/>
    </xf>
    <xf numFmtId="0" fontId="3" fillId="4" borderId="0" xfId="0" applyFont="1" applyFill="1"/>
    <xf numFmtId="43" fontId="3" fillId="3" borderId="1" xfId="1" applyFont="1" applyFill="1" applyBorder="1"/>
    <xf numFmtId="0" fontId="18" fillId="2" borderId="0" xfId="0" applyFont="1" applyFill="1" applyAlignment="1">
      <alignment horizontal="center"/>
    </xf>
    <xf numFmtId="0" fontId="18" fillId="2" borderId="2" xfId="0" applyFont="1" applyFill="1" applyBorder="1" applyAlignment="1">
      <alignment horizontal="center"/>
    </xf>
    <xf numFmtId="0" fontId="18" fillId="3" borderId="0" xfId="0" applyFont="1" applyFill="1" applyAlignment="1">
      <alignment horizontal="center"/>
    </xf>
    <xf numFmtId="0" fontId="19" fillId="3" borderId="0" xfId="0" applyFont="1" applyFill="1" applyAlignment="1">
      <alignment horizontal="center"/>
    </xf>
    <xf numFmtId="0" fontId="20" fillId="5" borderId="0" xfId="0" applyFont="1" applyFill="1" applyAlignment="1">
      <alignment horizontal="center"/>
    </xf>
    <xf numFmtId="0" fontId="18" fillId="3" borderId="2" xfId="0" applyFont="1" applyFill="1" applyBorder="1" applyAlignment="1">
      <alignment horizontal="center"/>
    </xf>
    <xf numFmtId="0" fontId="18" fillId="0" borderId="0" xfId="0" applyFont="1" applyAlignment="1">
      <alignment horizontal="center"/>
    </xf>
    <xf numFmtId="0" fontId="9" fillId="7" borderId="0" xfId="0" applyFont="1" applyFill="1"/>
    <xf numFmtId="0" fontId="2" fillId="7" borderId="0" xfId="0" applyFont="1" applyFill="1"/>
    <xf numFmtId="0" fontId="0" fillId="7" borderId="0" xfId="0" applyFill="1"/>
    <xf numFmtId="0" fontId="0" fillId="7" borderId="0" xfId="0" applyFill="1" applyAlignment="1">
      <alignment horizontal="center"/>
    </xf>
    <xf numFmtId="0" fontId="0" fillId="7" borderId="1" xfId="0" applyFill="1" applyBorder="1"/>
    <xf numFmtId="0" fontId="0" fillId="8" borderId="0" xfId="0" applyFill="1"/>
    <xf numFmtId="0" fontId="13" fillId="3" borderId="0" xfId="0" applyFont="1" applyFill="1"/>
    <xf numFmtId="0" fontId="21" fillId="3" borderId="0" xfId="0" applyFont="1" applyFill="1"/>
    <xf numFmtId="0" fontId="22" fillId="3" borderId="0" xfId="0" applyFont="1" applyFill="1" applyAlignment="1">
      <alignment vertical="center"/>
    </xf>
    <xf numFmtId="0" fontId="23" fillId="3" borderId="0" xfId="0" applyFont="1" applyFill="1"/>
    <xf numFmtId="0" fontId="13" fillId="3" borderId="0" xfId="0" applyFont="1" applyFill="1" applyAlignment="1">
      <alignment vertical="center"/>
    </xf>
    <xf numFmtId="0" fontId="21" fillId="3" borderId="4" xfId="0" applyFont="1" applyFill="1" applyBorder="1"/>
    <xf numFmtId="0" fontId="0" fillId="3" borderId="0" xfId="0" applyFill="1" applyAlignment="1">
      <alignment vertical="center"/>
    </xf>
    <xf numFmtId="0" fontId="24" fillId="3" borderId="0" xfId="0" applyFont="1" applyFill="1" applyAlignment="1">
      <alignment horizontal="left" vertical="center" indent="1"/>
    </xf>
    <xf numFmtId="0" fontId="9" fillId="3" borderId="0" xfId="0" applyFont="1" applyFill="1" applyAlignment="1">
      <alignment vertical="center"/>
    </xf>
    <xf numFmtId="0" fontId="25" fillId="3" borderId="0" xfId="0" applyFont="1" applyFill="1" applyAlignment="1">
      <alignment vertical="center"/>
    </xf>
    <xf numFmtId="0" fontId="26" fillId="3" borderId="0" xfId="0" applyFont="1" applyFill="1" applyAlignment="1">
      <alignment vertical="center"/>
    </xf>
    <xf numFmtId="0" fontId="0" fillId="8" borderId="0" xfId="0" applyFill="1" applyAlignment="1">
      <alignment vertical="center"/>
    </xf>
    <xf numFmtId="0" fontId="9" fillId="3" borderId="0" xfId="0" applyFont="1" applyFill="1" applyAlignment="1">
      <alignment horizontal="center" vertical="center"/>
    </xf>
    <xf numFmtId="0" fontId="26" fillId="3" borderId="0" xfId="0" applyFont="1" applyFill="1"/>
    <xf numFmtId="0" fontId="13" fillId="3" borderId="0" xfId="0" applyFont="1" applyFill="1" applyAlignment="1">
      <alignment horizontal="center"/>
    </xf>
    <xf numFmtId="0" fontId="16" fillId="3" borderId="0" xfId="0" applyFont="1" applyFill="1" applyAlignment="1">
      <alignment horizontal="center"/>
    </xf>
    <xf numFmtId="0" fontId="16" fillId="3" borderId="0" xfId="0" applyFont="1" applyFill="1"/>
    <xf numFmtId="0" fontId="21" fillId="3" borderId="0" xfId="0" applyFont="1" applyFill="1" applyAlignment="1">
      <alignment horizontal="center"/>
    </xf>
    <xf numFmtId="0" fontId="0" fillId="3" borderId="0" xfId="0" applyFill="1" applyAlignment="1">
      <alignment horizontal="left" vertical="top" wrapText="1"/>
    </xf>
    <xf numFmtId="0" fontId="9" fillId="3" borderId="0" xfId="0" applyFont="1" applyFill="1" applyAlignment="1">
      <alignment horizontal="left" vertical="center"/>
    </xf>
    <xf numFmtId="0" fontId="0" fillId="3" borderId="0" xfId="0" applyFill="1" applyAlignment="1">
      <alignment horizontal="left"/>
    </xf>
    <xf numFmtId="164" fontId="0" fillId="3" borderId="0" xfId="2" applyNumberFormat="1" applyFont="1" applyFill="1" applyBorder="1" applyAlignment="1">
      <alignment horizontal="right"/>
    </xf>
    <xf numFmtId="0" fontId="0" fillId="3" borderId="0" xfId="0" applyFill="1" applyAlignment="1">
      <alignment horizontal="right"/>
    </xf>
    <xf numFmtId="0" fontId="7" fillId="2" borderId="0" xfId="3" applyFont="1" applyFill="1" applyBorder="1" applyAlignment="1">
      <alignment horizontal="left" vertical="center"/>
    </xf>
    <xf numFmtId="0" fontId="31" fillId="3" borderId="4" xfId="0" applyFont="1" applyFill="1" applyBorder="1"/>
    <xf numFmtId="0" fontId="32" fillId="3" borderId="0" xfId="0" applyFont="1" applyFill="1"/>
    <xf numFmtId="0" fontId="32" fillId="3" borderId="0" xfId="0" applyFont="1" applyFill="1" applyAlignment="1">
      <alignment horizontal="right"/>
    </xf>
    <xf numFmtId="165" fontId="33" fillId="3" borderId="0" xfId="0" applyNumberFormat="1" applyFont="1" applyFill="1" applyAlignment="1">
      <alignment horizontal="left"/>
    </xf>
    <xf numFmtId="0" fontId="4" fillId="3" borderId="0" xfId="0" applyFont="1" applyFill="1" applyAlignment="1">
      <alignment horizontal="left"/>
    </xf>
    <xf numFmtId="0" fontId="21" fillId="3" borderId="0" xfId="0" applyFont="1" applyFill="1" applyAlignment="1">
      <alignment horizontal="center" vertical="center"/>
    </xf>
    <xf numFmtId="0" fontId="12" fillId="3" borderId="0" xfId="3" applyFont="1" applyFill="1" applyAlignment="1">
      <alignment vertical="center"/>
    </xf>
    <xf numFmtId="0" fontId="12" fillId="3" borderId="0" xfId="0" applyFont="1" applyFill="1" applyAlignment="1">
      <alignment vertical="center"/>
    </xf>
    <xf numFmtId="0" fontId="21" fillId="3" borderId="0" xfId="0" applyFont="1" applyFill="1" applyAlignment="1">
      <alignment vertical="center"/>
    </xf>
    <xf numFmtId="0" fontId="21" fillId="3" borderId="6" xfId="0" applyFont="1" applyFill="1" applyBorder="1" applyAlignment="1">
      <alignment vertical="center"/>
    </xf>
    <xf numFmtId="0" fontId="0" fillId="3" borderId="0" xfId="0" applyFill="1" applyAlignment="1">
      <alignment horizontal="left" vertical="center"/>
    </xf>
    <xf numFmtId="0" fontId="0" fillId="3" borderId="0" xfId="0" applyFill="1" applyAlignment="1">
      <alignment horizontal="left" vertical="center" indent="1"/>
    </xf>
    <xf numFmtId="0" fontId="12" fillId="3" borderId="0" xfId="0" applyFont="1" applyFill="1" applyAlignment="1">
      <alignment horizontal="left"/>
    </xf>
    <xf numFmtId="0" fontId="34" fillId="3" borderId="0" xfId="0" applyFont="1" applyFill="1"/>
    <xf numFmtId="0" fontId="0" fillId="3" borderId="7" xfId="0" applyFill="1" applyBorder="1"/>
    <xf numFmtId="0" fontId="21" fillId="3" borderId="0" xfId="0" applyFont="1" applyFill="1" applyAlignment="1">
      <alignment horizontal="left" indent="1"/>
    </xf>
    <xf numFmtId="0" fontId="21" fillId="2" borderId="0" xfId="0" applyFont="1" applyFill="1" applyAlignment="1">
      <alignment horizontal="center"/>
    </xf>
    <xf numFmtId="0" fontId="21" fillId="3" borderId="0" xfId="0" applyFont="1" applyFill="1" applyAlignment="1">
      <alignment horizontal="left"/>
    </xf>
    <xf numFmtId="0" fontId="6" fillId="3" borderId="0" xfId="3" applyFill="1"/>
    <xf numFmtId="0" fontId="36" fillId="2" borderId="0" xfId="0" applyFont="1" applyFill="1" applyAlignment="1">
      <alignment horizontal="center"/>
    </xf>
    <xf numFmtId="0" fontId="37" fillId="2" borderId="0" xfId="0" applyFont="1" applyFill="1" applyAlignment="1">
      <alignment horizontal="center"/>
    </xf>
    <xf numFmtId="0" fontId="4" fillId="0" borderId="0" xfId="0" applyFont="1"/>
    <xf numFmtId="43" fontId="36" fillId="3" borderId="0" xfId="0" applyNumberFormat="1" applyFont="1" applyFill="1"/>
    <xf numFmtId="0" fontId="4" fillId="2" borderId="0" xfId="0" applyFont="1" applyFill="1"/>
    <xf numFmtId="0" fontId="4" fillId="3" borderId="8" xfId="0" applyFont="1" applyFill="1" applyBorder="1"/>
    <xf numFmtId="0" fontId="7" fillId="3" borderId="0" xfId="3" applyFont="1" applyFill="1" applyBorder="1" applyAlignment="1">
      <alignment horizontal="left" vertical="center"/>
    </xf>
    <xf numFmtId="2" fontId="0" fillId="3" borderId="0" xfId="0" applyNumberFormat="1" applyFill="1" applyAlignment="1">
      <alignment horizontal="center"/>
    </xf>
    <xf numFmtId="9" fontId="0" fillId="3" borderId="0" xfId="0" applyNumberFormat="1" applyFill="1" applyAlignment="1">
      <alignment horizontal="left"/>
    </xf>
    <xf numFmtId="0" fontId="38" fillId="3" borderId="0" xfId="0" applyFont="1" applyFill="1" applyAlignment="1">
      <alignment horizontal="center"/>
    </xf>
    <xf numFmtId="0" fontId="8" fillId="2" borderId="0" xfId="0" applyFont="1" applyFill="1"/>
    <xf numFmtId="0" fontId="4" fillId="2" borderId="1" xfId="0" applyFont="1" applyFill="1" applyBorder="1"/>
    <xf numFmtId="43" fontId="36" fillId="3" borderId="0" xfId="1" applyFont="1" applyFill="1"/>
    <xf numFmtId="43" fontId="21" fillId="3" borderId="0" xfId="0" applyNumberFormat="1" applyFont="1" applyFill="1"/>
    <xf numFmtId="9" fontId="37" fillId="4" borderId="0" xfId="2" applyFont="1" applyFill="1"/>
    <xf numFmtId="0" fontId="4" fillId="3" borderId="0" xfId="1" applyNumberFormat="1" applyFont="1" applyFill="1" applyBorder="1"/>
    <xf numFmtId="0" fontId="6" fillId="0" borderId="0" xfId="3"/>
    <xf numFmtId="2" fontId="37" fillId="4" borderId="0" xfId="0" applyNumberFormat="1" applyFont="1" applyFill="1"/>
    <xf numFmtId="167" fontId="37" fillId="4" borderId="0" xfId="0" applyNumberFormat="1" applyFont="1" applyFill="1"/>
    <xf numFmtId="0" fontId="37" fillId="4" borderId="0" xfId="0" applyFont="1" applyFill="1"/>
    <xf numFmtId="0" fontId="36" fillId="4" borderId="0" xfId="0" applyFont="1" applyFill="1"/>
    <xf numFmtId="43" fontId="0" fillId="3" borderId="0" xfId="0" applyNumberFormat="1" applyFill="1"/>
    <xf numFmtId="166" fontId="37" fillId="4" borderId="0" xfId="1" applyNumberFormat="1" applyFont="1" applyFill="1"/>
    <xf numFmtId="43" fontId="37" fillId="4" borderId="0" xfId="1" applyFont="1" applyFill="1"/>
    <xf numFmtId="43" fontId="37" fillId="3" borderId="0" xfId="1" applyFont="1" applyFill="1"/>
    <xf numFmtId="169" fontId="37" fillId="3" borderId="0" xfId="1" applyNumberFormat="1" applyFont="1" applyFill="1"/>
    <xf numFmtId="0" fontId="21" fillId="4" borderId="0" xfId="0" applyFont="1" applyFill="1"/>
    <xf numFmtId="43" fontId="21" fillId="3" borderId="0" xfId="1" applyFont="1" applyFill="1"/>
    <xf numFmtId="43" fontId="21" fillId="3" borderId="1" xfId="1" applyFont="1" applyFill="1" applyBorder="1"/>
    <xf numFmtId="0" fontId="21" fillId="0" borderId="0" xfId="0" applyFont="1"/>
    <xf numFmtId="3" fontId="37" fillId="4" borderId="0" xfId="0" applyNumberFormat="1" applyFont="1" applyFill="1"/>
    <xf numFmtId="9" fontId="0" fillId="4" borderId="0" xfId="2" applyFont="1" applyFill="1"/>
    <xf numFmtId="9" fontId="37" fillId="4" borderId="0" xfId="2" applyFont="1" applyFill="1" applyAlignment="1">
      <alignment horizontal="center"/>
    </xf>
    <xf numFmtId="9" fontId="37" fillId="4" borderId="0" xfId="0" applyNumberFormat="1" applyFont="1" applyFill="1"/>
    <xf numFmtId="0" fontId="6" fillId="3" borderId="0" xfId="3" applyFill="1" applyAlignment="1">
      <alignment horizontal="center"/>
    </xf>
    <xf numFmtId="2" fontId="36" fillId="4" borderId="0" xfId="0" applyNumberFormat="1" applyFont="1" applyFill="1"/>
    <xf numFmtId="43" fontId="36" fillId="4" borderId="0" xfId="1" applyFont="1" applyFill="1"/>
    <xf numFmtId="9" fontId="36" fillId="3" borderId="0" xfId="2" applyFont="1" applyFill="1" applyAlignment="1">
      <alignment horizontal="center"/>
    </xf>
    <xf numFmtId="166" fontId="1" fillId="3" borderId="0" xfId="1" applyNumberFormat="1" applyFont="1" applyFill="1"/>
    <xf numFmtId="43" fontId="1" fillId="3" borderId="0" xfId="1" applyFont="1" applyFill="1"/>
    <xf numFmtId="9" fontId="0" fillId="3" borderId="0" xfId="1" applyNumberFormat="1" applyFont="1" applyFill="1"/>
    <xf numFmtId="3" fontId="36" fillId="4" borderId="0" xfId="0" applyNumberFormat="1" applyFont="1" applyFill="1"/>
    <xf numFmtId="166" fontId="0" fillId="4" borderId="0" xfId="1" applyNumberFormat="1" applyFont="1" applyFill="1"/>
    <xf numFmtId="9" fontId="1" fillId="3" borderId="0" xfId="2" applyFont="1" applyFill="1"/>
    <xf numFmtId="43" fontId="13" fillId="3" borderId="0" xfId="1" applyFont="1" applyFill="1"/>
    <xf numFmtId="2" fontId="4" fillId="8" borderId="0" xfId="0" applyNumberFormat="1" applyFont="1" applyFill="1"/>
    <xf numFmtId="167" fontId="4" fillId="8" borderId="0" xfId="0" applyNumberFormat="1" applyFont="1" applyFill="1"/>
    <xf numFmtId="43" fontId="4" fillId="3" borderId="0" xfId="0" applyNumberFormat="1" applyFont="1" applyFill="1"/>
    <xf numFmtId="166" fontId="21" fillId="3" borderId="0" xfId="1" applyNumberFormat="1" applyFont="1" applyFill="1"/>
    <xf numFmtId="0" fontId="39" fillId="3" borderId="0" xfId="0" applyFont="1" applyFill="1"/>
    <xf numFmtId="167" fontId="0" fillId="4" borderId="0" xfId="0" applyNumberFormat="1" applyFill="1"/>
    <xf numFmtId="166" fontId="1" fillId="4" borderId="0" xfId="1" applyNumberFormat="1" applyFont="1" applyFill="1"/>
    <xf numFmtId="10" fontId="36" fillId="4" borderId="0" xfId="0" applyNumberFormat="1" applyFont="1" applyFill="1"/>
    <xf numFmtId="0" fontId="0" fillId="9" borderId="0" xfId="0" applyFill="1"/>
    <xf numFmtId="0" fontId="0" fillId="9" borderId="0" xfId="0" applyFill="1" applyAlignment="1">
      <alignment horizontal="center"/>
    </xf>
    <xf numFmtId="0" fontId="37" fillId="3" borderId="5" xfId="0" applyFont="1" applyFill="1" applyBorder="1" applyAlignment="1">
      <alignment horizontal="center"/>
    </xf>
    <xf numFmtId="0" fontId="0" fillId="3" borderId="5" xfId="0" applyFill="1" applyBorder="1" applyAlignment="1">
      <alignment horizontal="center"/>
    </xf>
    <xf numFmtId="0" fontId="13" fillId="9" borderId="0" xfId="0" applyFont="1" applyFill="1" applyAlignment="1">
      <alignment horizontal="left"/>
    </xf>
    <xf numFmtId="43" fontId="36" fillId="9" borderId="0" xfId="0" applyNumberFormat="1" applyFont="1" applyFill="1"/>
    <xf numFmtId="0" fontId="0" fillId="9" borderId="1" xfId="0" applyFill="1" applyBorder="1"/>
    <xf numFmtId="43" fontId="0" fillId="9" borderId="0" xfId="0" applyNumberFormat="1" applyFill="1"/>
    <xf numFmtId="168" fontId="37" fillId="4" borderId="0" xfId="0" applyNumberFormat="1" applyFont="1" applyFill="1"/>
    <xf numFmtId="167" fontId="21" fillId="4" borderId="0" xfId="0" applyNumberFormat="1" applyFont="1" applyFill="1"/>
    <xf numFmtId="171" fontId="21" fillId="4" borderId="0" xfId="0" applyNumberFormat="1" applyFont="1" applyFill="1"/>
    <xf numFmtId="2" fontId="0" fillId="3" borderId="0" xfId="0" applyNumberFormat="1" applyFill="1"/>
    <xf numFmtId="9" fontId="0" fillId="3" borderId="0" xfId="0" applyNumberFormat="1" applyFill="1"/>
    <xf numFmtId="2" fontId="32" fillId="2" borderId="0" xfId="0" applyNumberFormat="1" applyFont="1" applyFill="1"/>
    <xf numFmtId="0" fontId="32" fillId="2" borderId="0" xfId="0" applyFont="1" applyFill="1"/>
    <xf numFmtId="9" fontId="0" fillId="4" borderId="0" xfId="0" applyNumberFormat="1" applyFill="1"/>
    <xf numFmtId="168" fontId="0" fillId="4" borderId="0" xfId="0" applyNumberFormat="1" applyFill="1"/>
    <xf numFmtId="9" fontId="1" fillId="4" borderId="0" xfId="2" applyFont="1" applyFill="1"/>
    <xf numFmtId="169" fontId="1" fillId="4" borderId="0" xfId="1" applyNumberFormat="1" applyFont="1" applyFill="1"/>
    <xf numFmtId="169" fontId="0" fillId="4" borderId="0" xfId="0" applyNumberFormat="1" applyFill="1"/>
    <xf numFmtId="2" fontId="0" fillId="4" borderId="0" xfId="0" applyNumberFormat="1" applyFill="1"/>
    <xf numFmtId="9" fontId="36" fillId="4" borderId="0" xfId="0" applyNumberFormat="1" applyFont="1" applyFill="1"/>
    <xf numFmtId="43" fontId="0" fillId="4" borderId="0" xfId="0" applyNumberFormat="1" applyFill="1"/>
    <xf numFmtId="2" fontId="9" fillId="3" borderId="0" xfId="0" applyNumberFormat="1" applyFont="1" applyFill="1" applyAlignment="1">
      <alignment horizontal="right" vertical="center"/>
    </xf>
    <xf numFmtId="166" fontId="9" fillId="3" borderId="0" xfId="1" applyNumberFormat="1" applyFont="1" applyFill="1" applyAlignment="1">
      <alignment horizontal="right" vertical="center"/>
    </xf>
    <xf numFmtId="166" fontId="0" fillId="3" borderId="0" xfId="1" applyNumberFormat="1" applyFont="1" applyFill="1"/>
    <xf numFmtId="3" fontId="9" fillId="3" borderId="0" xfId="0" applyNumberFormat="1" applyFont="1" applyFill="1" applyAlignment="1">
      <alignment horizontal="right" vertical="center"/>
    </xf>
    <xf numFmtId="166" fontId="9" fillId="3" borderId="0" xfId="1" applyNumberFormat="1" applyFont="1" applyFill="1" applyAlignment="1">
      <alignment horizontal="left" vertical="center"/>
    </xf>
    <xf numFmtId="0" fontId="1" fillId="3" borderId="0" xfId="0" applyFont="1" applyFill="1"/>
    <xf numFmtId="43" fontId="32" fillId="11" borderId="0" xfId="1" applyFont="1" applyFill="1"/>
    <xf numFmtId="0" fontId="32" fillId="11" borderId="0" xfId="0" applyFont="1" applyFill="1"/>
    <xf numFmtId="43" fontId="32" fillId="3" borderId="0" xfId="1" applyFont="1" applyFill="1"/>
    <xf numFmtId="171" fontId="36" fillId="4" borderId="0" xfId="0" applyNumberFormat="1" applyFont="1" applyFill="1"/>
    <xf numFmtId="2" fontId="32" fillId="12" borderId="0" xfId="0" applyNumberFormat="1" applyFont="1" applyFill="1"/>
    <xf numFmtId="0" fontId="11" fillId="12" borderId="0" xfId="0" applyFont="1" applyFill="1"/>
    <xf numFmtId="0" fontId="41" fillId="12" borderId="0" xfId="0" applyFont="1" applyFill="1"/>
    <xf numFmtId="3" fontId="0" fillId="3" borderId="0" xfId="0" applyNumberFormat="1" applyFill="1"/>
    <xf numFmtId="170" fontId="0" fillId="3" borderId="0" xfId="1" applyNumberFormat="1" applyFont="1" applyFill="1"/>
    <xf numFmtId="166" fontId="0" fillId="3" borderId="0" xfId="0" applyNumberFormat="1" applyFill="1"/>
    <xf numFmtId="0" fontId="0" fillId="3" borderId="0" xfId="0" applyFill="1" applyAlignment="1">
      <alignment wrapText="1"/>
    </xf>
    <xf numFmtId="43" fontId="4" fillId="3" borderId="0" xfId="1" applyFont="1" applyFill="1"/>
    <xf numFmtId="171" fontId="0" fillId="3" borderId="0" xfId="0" applyNumberFormat="1" applyFill="1"/>
    <xf numFmtId="2" fontId="1" fillId="3" borderId="0" xfId="0" applyNumberFormat="1" applyFont="1" applyFill="1"/>
    <xf numFmtId="43" fontId="37" fillId="4" borderId="0" xfId="1" applyFont="1" applyFill="1" applyAlignment="1">
      <alignment horizontal="right"/>
    </xf>
    <xf numFmtId="0" fontId="11" fillId="3" borderId="0" xfId="0" applyFont="1" applyFill="1" applyAlignment="1">
      <alignment horizontal="left"/>
    </xf>
    <xf numFmtId="0" fontId="42" fillId="3" borderId="0" xfId="0" applyFont="1" applyFill="1" applyAlignment="1">
      <alignment horizontal="center"/>
    </xf>
    <xf numFmtId="171" fontId="13" fillId="4" borderId="0" xfId="0" applyNumberFormat="1" applyFont="1" applyFill="1"/>
    <xf numFmtId="43" fontId="13" fillId="3" borderId="0" xfId="0" applyNumberFormat="1" applyFont="1" applyFill="1"/>
    <xf numFmtId="49" fontId="0" fillId="3" borderId="0" xfId="0" applyNumberFormat="1" applyFill="1"/>
    <xf numFmtId="172" fontId="37" fillId="4" borderId="0" xfId="0" applyNumberFormat="1" applyFont="1" applyFill="1"/>
    <xf numFmtId="166" fontId="21" fillId="4" borderId="0" xfId="1" applyNumberFormat="1" applyFont="1" applyFill="1"/>
    <xf numFmtId="164" fontId="37" fillId="4" borderId="0" xfId="2" applyNumberFormat="1" applyFont="1" applyFill="1"/>
    <xf numFmtId="166" fontId="37" fillId="4" borderId="0" xfId="0" applyNumberFormat="1" applyFont="1" applyFill="1"/>
    <xf numFmtId="8" fontId="4" fillId="3" borderId="0" xfId="0" applyNumberFormat="1" applyFont="1" applyFill="1"/>
    <xf numFmtId="0" fontId="36" fillId="4" borderId="0" xfId="0" applyFont="1" applyFill="1" applyAlignment="1">
      <alignment horizontal="right"/>
    </xf>
    <xf numFmtId="2" fontId="0" fillId="3" borderId="2" xfId="0" applyNumberFormat="1" applyFill="1" applyBorder="1"/>
    <xf numFmtId="0" fontId="0" fillId="3" borderId="8" xfId="0" applyFill="1" applyBorder="1"/>
    <xf numFmtId="2" fontId="0" fillId="3" borderId="8" xfId="0" applyNumberFormat="1" applyFill="1" applyBorder="1"/>
    <xf numFmtId="0" fontId="0" fillId="12" borderId="0" xfId="0" applyFill="1" applyAlignment="1">
      <alignment horizontal="left" vertical="center" wrapText="1"/>
    </xf>
    <xf numFmtId="0" fontId="0" fillId="12" borderId="1" xfId="0" applyFill="1" applyBorder="1" applyAlignment="1">
      <alignment horizontal="left" vertical="center" wrapText="1"/>
    </xf>
    <xf numFmtId="0" fontId="0" fillId="12" borderId="9" xfId="0" applyFill="1" applyBorder="1" applyAlignment="1">
      <alignment horizontal="left" vertical="center" wrapText="1"/>
    </xf>
    <xf numFmtId="9" fontId="0" fillId="12" borderId="0" xfId="0" applyNumberFormat="1" applyFill="1" applyAlignment="1">
      <alignment horizontal="left" vertical="center" wrapText="1"/>
    </xf>
    <xf numFmtId="9" fontId="0" fillId="12" borderId="9" xfId="0" applyNumberFormat="1" applyFill="1" applyBorder="1" applyAlignment="1">
      <alignment horizontal="left" vertical="center" wrapText="1"/>
    </xf>
    <xf numFmtId="0" fontId="4" fillId="12" borderId="1" xfId="0" applyFont="1" applyFill="1" applyBorder="1"/>
    <xf numFmtId="168" fontId="36" fillId="4" borderId="0" xfId="0" applyNumberFormat="1" applyFont="1" applyFill="1"/>
    <xf numFmtId="0" fontId="0" fillId="3" borderId="11" xfId="0" applyFill="1" applyBorder="1"/>
    <xf numFmtId="0" fontId="9" fillId="3" borderId="11" xfId="0" applyFont="1" applyFill="1" applyBorder="1"/>
    <xf numFmtId="2" fontId="21" fillId="4" borderId="0" xfId="0" applyNumberFormat="1" applyFont="1" applyFill="1"/>
    <xf numFmtId="172" fontId="0" fillId="3" borderId="0" xfId="0" applyNumberFormat="1" applyFill="1"/>
    <xf numFmtId="166" fontId="0" fillId="4" borderId="0" xfId="0" applyNumberFormat="1" applyFill="1"/>
    <xf numFmtId="0" fontId="2" fillId="14" borderId="0" xfId="0" applyFont="1" applyFill="1" applyAlignment="1">
      <alignment horizontal="left"/>
    </xf>
    <xf numFmtId="0" fontId="5" fillId="14" borderId="0" xfId="0" applyFont="1" applyFill="1" applyAlignment="1">
      <alignment horizontal="center"/>
    </xf>
    <xf numFmtId="0" fontId="5" fillId="14" borderId="0" xfId="0" applyFont="1" applyFill="1"/>
    <xf numFmtId="43" fontId="5" fillId="14" borderId="0" xfId="0" applyNumberFormat="1" applyFont="1" applyFill="1"/>
    <xf numFmtId="0" fontId="5" fillId="14" borderId="1" xfId="0" applyFont="1" applyFill="1" applyBorder="1"/>
    <xf numFmtId="0" fontId="4" fillId="3" borderId="11" xfId="0" applyFont="1" applyFill="1" applyBorder="1" applyAlignment="1">
      <alignment horizontal="left" indent="1"/>
    </xf>
    <xf numFmtId="0" fontId="4" fillId="3" borderId="11" xfId="0" applyFont="1" applyFill="1" applyBorder="1" applyAlignment="1">
      <alignment horizontal="right"/>
    </xf>
    <xf numFmtId="0" fontId="4" fillId="0" borderId="11" xfId="0" applyFont="1" applyBorder="1"/>
    <xf numFmtId="0" fontId="4" fillId="3" borderId="11" xfId="0" applyFont="1" applyFill="1" applyBorder="1"/>
    <xf numFmtId="0" fontId="25" fillId="3" borderId="11" xfId="0" applyFont="1" applyFill="1" applyBorder="1" applyAlignment="1">
      <alignment vertical="center"/>
    </xf>
    <xf numFmtId="0" fontId="26" fillId="3" borderId="11" xfId="0" applyFont="1" applyFill="1" applyBorder="1"/>
    <xf numFmtId="0" fontId="4" fillId="3" borderId="2" xfId="0" applyFont="1" applyFill="1" applyBorder="1"/>
    <xf numFmtId="2" fontId="37" fillId="3" borderId="0" xfId="0" applyNumberFormat="1" applyFont="1" applyFill="1"/>
    <xf numFmtId="0" fontId="37" fillId="3" borderId="0" xfId="0" applyFont="1" applyFill="1"/>
    <xf numFmtId="43" fontId="0" fillId="4" borderId="0" xfId="1" applyFont="1" applyFill="1"/>
    <xf numFmtId="171" fontId="0" fillId="4" borderId="0" xfId="0" applyNumberFormat="1" applyFill="1"/>
    <xf numFmtId="9" fontId="21" fillId="3" borderId="2" xfId="0" applyNumberFormat="1" applyFont="1" applyFill="1" applyBorder="1"/>
    <xf numFmtId="2" fontId="0" fillId="0" borderId="0" xfId="0" applyNumberFormat="1"/>
    <xf numFmtId="0" fontId="31" fillId="3" borderId="0" xfId="0" applyFont="1" applyFill="1"/>
    <xf numFmtId="0" fontId="4" fillId="12" borderId="0" xfId="0" applyFont="1" applyFill="1"/>
    <xf numFmtId="0" fontId="1" fillId="3" borderId="2" xfId="0" applyFont="1" applyFill="1" applyBorder="1"/>
    <xf numFmtId="43" fontId="1" fillId="3" borderId="0" xfId="0" applyNumberFormat="1" applyFont="1" applyFill="1"/>
    <xf numFmtId="0" fontId="4" fillId="12" borderId="0" xfId="0" applyFont="1" applyFill="1" applyAlignment="1">
      <alignment horizontal="center"/>
    </xf>
    <xf numFmtId="2" fontId="4" fillId="3" borderId="0" xfId="0" applyNumberFormat="1" applyFont="1" applyFill="1"/>
    <xf numFmtId="43" fontId="13" fillId="15" borderId="0" xfId="0" applyNumberFormat="1" applyFont="1" applyFill="1"/>
    <xf numFmtId="43" fontId="13" fillId="12" borderId="0" xfId="0" applyNumberFormat="1" applyFont="1" applyFill="1"/>
    <xf numFmtId="9" fontId="21" fillId="3" borderId="0" xfId="0" applyNumberFormat="1" applyFont="1" applyFill="1"/>
    <xf numFmtId="9" fontId="36" fillId="3" borderId="0" xfId="0" applyNumberFormat="1" applyFont="1" applyFill="1" applyAlignment="1">
      <alignment horizontal="center"/>
    </xf>
    <xf numFmtId="9" fontId="36" fillId="3" borderId="1" xfId="0" applyNumberFormat="1" applyFont="1" applyFill="1" applyBorder="1" applyAlignment="1">
      <alignment horizontal="center"/>
    </xf>
    <xf numFmtId="9" fontId="0" fillId="12" borderId="1" xfId="0" applyNumberFormat="1" applyFill="1" applyBorder="1" applyAlignment="1">
      <alignment horizontal="left" vertical="center" wrapText="1"/>
    </xf>
    <xf numFmtId="171" fontId="48" fillId="13" borderId="1" xfId="0" applyNumberFormat="1" applyFont="1" applyFill="1" applyBorder="1" applyAlignment="1">
      <alignment vertical="center" wrapText="1"/>
    </xf>
    <xf numFmtId="171" fontId="13" fillId="13" borderId="1" xfId="0" applyNumberFormat="1" applyFont="1" applyFill="1" applyBorder="1" applyAlignment="1">
      <alignment vertical="center" wrapText="1"/>
    </xf>
    <xf numFmtId="9" fontId="4" fillId="12" borderId="0" xfId="0" applyNumberFormat="1" applyFont="1" applyFill="1" applyAlignment="1">
      <alignment horizontal="center"/>
    </xf>
    <xf numFmtId="9" fontId="40" fillId="12" borderId="0" xfId="0" applyNumberFormat="1" applyFont="1" applyFill="1" applyAlignment="1">
      <alignment horizontal="center"/>
    </xf>
    <xf numFmtId="9" fontId="40" fillId="2" borderId="0" xfId="0" applyNumberFormat="1" applyFont="1" applyFill="1" applyAlignment="1">
      <alignment horizontal="center"/>
    </xf>
    <xf numFmtId="9" fontId="40" fillId="12" borderId="1" xfId="0" applyNumberFormat="1" applyFont="1" applyFill="1" applyBorder="1" applyAlignment="1">
      <alignment horizontal="center"/>
    </xf>
    <xf numFmtId="2" fontId="0" fillId="3" borderId="0" xfId="0" applyNumberFormat="1" applyFill="1" applyAlignment="1">
      <alignment vertical="center" wrapText="1"/>
    </xf>
    <xf numFmtId="2" fontId="0" fillId="3" borderId="1" xfId="0" applyNumberFormat="1" applyFill="1" applyBorder="1" applyAlignment="1">
      <alignment vertical="center" wrapText="1"/>
    </xf>
    <xf numFmtId="2" fontId="0" fillId="3" borderId="9" xfId="0" applyNumberFormat="1" applyFill="1" applyBorder="1" applyAlignment="1">
      <alignment vertical="center" wrapText="1"/>
    </xf>
    <xf numFmtId="9" fontId="0" fillId="3" borderId="0" xfId="0" applyNumberFormat="1" applyFill="1" applyAlignment="1">
      <alignment horizontal="center"/>
    </xf>
    <xf numFmtId="9" fontId="37" fillId="3" borderId="0" xfId="0" applyNumberFormat="1" applyFont="1" applyFill="1" applyAlignment="1">
      <alignment horizontal="center"/>
    </xf>
    <xf numFmtId="9" fontId="36" fillId="4" borderId="0" xfId="2" applyFont="1" applyFill="1"/>
    <xf numFmtId="43" fontId="36" fillId="4" borderId="0" xfId="0" applyNumberFormat="1" applyFont="1" applyFill="1"/>
    <xf numFmtId="0" fontId="18" fillId="3" borderId="0" xfId="0" applyFont="1" applyFill="1"/>
    <xf numFmtId="2" fontId="4" fillId="3" borderId="2" xfId="0" applyNumberFormat="1" applyFont="1" applyFill="1" applyBorder="1"/>
    <xf numFmtId="43" fontId="4" fillId="3" borderId="2" xfId="0" applyNumberFormat="1" applyFont="1" applyFill="1" applyBorder="1"/>
    <xf numFmtId="0" fontId="0" fillId="5" borderId="0" xfId="0" applyFill="1"/>
    <xf numFmtId="9" fontId="37" fillId="3" borderId="0" xfId="2" applyFont="1" applyFill="1" applyAlignment="1">
      <alignment horizontal="center"/>
    </xf>
    <xf numFmtId="9" fontId="21" fillId="3" borderId="0" xfId="2" applyFont="1" applyFill="1" applyBorder="1" applyAlignment="1" applyProtection="1">
      <alignment horizontal="left" indent="1"/>
      <protection hidden="1"/>
    </xf>
    <xf numFmtId="9" fontId="13" fillId="3" borderId="0" xfId="2" applyFont="1" applyFill="1" applyBorder="1" applyAlignment="1" applyProtection="1">
      <alignment horizontal="left" indent="1"/>
      <protection hidden="1"/>
    </xf>
    <xf numFmtId="167" fontId="13" fillId="3" borderId="0" xfId="0" applyNumberFormat="1" applyFont="1" applyFill="1" applyAlignment="1" applyProtection="1">
      <alignment horizontal="left" indent="1"/>
      <protection hidden="1"/>
    </xf>
    <xf numFmtId="167" fontId="21" fillId="3" borderId="0" xfId="0" applyNumberFormat="1" applyFont="1" applyFill="1" applyAlignment="1" applyProtection="1">
      <alignment horizontal="left" indent="1"/>
      <protection hidden="1"/>
    </xf>
    <xf numFmtId="2" fontId="13" fillId="2" borderId="0" xfId="0" applyNumberFormat="1" applyFont="1" applyFill="1" applyAlignment="1" applyProtection="1">
      <alignment horizontal="center" vertical="center"/>
      <protection hidden="1"/>
    </xf>
    <xf numFmtId="49" fontId="13" fillId="2" borderId="0" xfId="0" applyNumberFormat="1" applyFont="1" applyFill="1" applyAlignment="1" applyProtection="1">
      <alignment horizontal="center" vertical="center" wrapText="1"/>
      <protection hidden="1"/>
    </xf>
    <xf numFmtId="49" fontId="46" fillId="2" borderId="0" xfId="0" applyNumberFormat="1" applyFont="1" applyFill="1" applyAlignment="1" applyProtection="1">
      <alignment horizontal="center" vertical="center" wrapText="1"/>
      <protection hidden="1"/>
    </xf>
    <xf numFmtId="2" fontId="46" fillId="2" borderId="0" xfId="0" applyNumberFormat="1" applyFont="1" applyFill="1" applyAlignment="1" applyProtection="1">
      <alignment horizontal="center" vertical="center" wrapText="1"/>
      <protection hidden="1"/>
    </xf>
    <xf numFmtId="49" fontId="13" fillId="2" borderId="0" xfId="0" applyNumberFormat="1" applyFont="1" applyFill="1" applyAlignment="1" applyProtection="1">
      <alignment horizontal="center" vertical="center"/>
      <protection hidden="1"/>
    </xf>
    <xf numFmtId="2" fontId="21" fillId="2" borderId="0" xfId="0" quotePrefix="1" applyNumberFormat="1" applyFont="1" applyFill="1" applyAlignment="1" applyProtection="1">
      <alignment horizontal="center" vertical="top"/>
      <protection hidden="1"/>
    </xf>
    <xf numFmtId="0" fontId="47" fillId="2" borderId="0" xfId="0" applyFont="1" applyFill="1" applyAlignment="1" applyProtection="1">
      <alignment horizontal="center" vertical="top"/>
      <protection hidden="1"/>
    </xf>
    <xf numFmtId="167" fontId="47" fillId="2" borderId="0" xfId="0" applyNumberFormat="1" applyFont="1" applyFill="1" applyAlignment="1" applyProtection="1">
      <alignment horizontal="center" vertical="top"/>
      <protection hidden="1"/>
    </xf>
    <xf numFmtId="167" fontId="13" fillId="2" borderId="0" xfId="0" applyNumberFormat="1" applyFont="1" applyFill="1" applyAlignment="1" applyProtection="1">
      <alignment horizontal="left" indent="1"/>
      <protection hidden="1"/>
    </xf>
    <xf numFmtId="9" fontId="13" fillId="2" borderId="0" xfId="2" applyFont="1" applyFill="1" applyBorder="1" applyAlignment="1" applyProtection="1">
      <alignment horizontal="left" indent="1"/>
      <protection hidden="1"/>
    </xf>
    <xf numFmtId="0" fontId="47" fillId="3" borderId="0" xfId="4" applyFont="1" applyFill="1" applyProtection="1">
      <protection locked="0"/>
    </xf>
    <xf numFmtId="171" fontId="48" fillId="2" borderId="0" xfId="0" applyNumberFormat="1" applyFont="1" applyFill="1" applyAlignment="1">
      <alignment horizontal="center" vertical="center"/>
    </xf>
    <xf numFmtId="171" fontId="48" fillId="2" borderId="0" xfId="0" applyNumberFormat="1" applyFont="1" applyFill="1" applyAlignment="1">
      <alignment horizontal="center" vertical="center" wrapText="1"/>
    </xf>
    <xf numFmtId="171" fontId="13" fillId="2" borderId="0" xfId="0" applyNumberFormat="1" applyFont="1" applyFill="1" applyAlignment="1">
      <alignment horizontal="center" vertical="center" wrapText="1"/>
    </xf>
    <xf numFmtId="171" fontId="13" fillId="2" borderId="1" xfId="0" applyNumberFormat="1" applyFont="1" applyFill="1" applyBorder="1" applyAlignment="1">
      <alignment horizontal="center" vertical="center" wrapText="1"/>
    </xf>
    <xf numFmtId="2" fontId="37" fillId="3" borderId="1" xfId="0" applyNumberFormat="1" applyFont="1" applyFill="1" applyBorder="1"/>
    <xf numFmtId="0" fontId="13" fillId="2" borderId="0" xfId="0" applyFont="1" applyFill="1" applyAlignment="1">
      <alignment vertical="center" wrapText="1"/>
    </xf>
    <xf numFmtId="171" fontId="48" fillId="2" borderId="0" xfId="0" applyNumberFormat="1" applyFont="1" applyFill="1" applyAlignment="1">
      <alignment vertical="center"/>
    </xf>
    <xf numFmtId="9" fontId="51" fillId="3" borderId="0" xfId="2" applyFont="1" applyFill="1" applyBorder="1" applyAlignment="1" applyProtection="1">
      <alignment horizontal="left" indent="1"/>
      <protection hidden="1"/>
    </xf>
    <xf numFmtId="171" fontId="51" fillId="3" borderId="0" xfId="0" applyNumberFormat="1" applyFont="1" applyFill="1" applyAlignment="1" applyProtection="1">
      <alignment horizontal="right"/>
      <protection hidden="1"/>
    </xf>
    <xf numFmtId="168" fontId="51" fillId="3" borderId="0" xfId="0" applyNumberFormat="1" applyFont="1" applyFill="1" applyAlignment="1" applyProtection="1">
      <alignment horizontal="right"/>
      <protection hidden="1"/>
    </xf>
    <xf numFmtId="9" fontId="37" fillId="3" borderId="0" xfId="2" applyFont="1" applyFill="1" applyBorder="1" applyAlignment="1" applyProtection="1">
      <alignment horizontal="left" indent="1"/>
      <protection hidden="1"/>
    </xf>
    <xf numFmtId="171" fontId="37" fillId="3" borderId="0" xfId="0" applyNumberFormat="1" applyFont="1" applyFill="1" applyAlignment="1" applyProtection="1">
      <alignment horizontal="right"/>
      <protection hidden="1"/>
    </xf>
    <xf numFmtId="168" fontId="37" fillId="3" borderId="0" xfId="0" applyNumberFormat="1" applyFont="1" applyFill="1" applyAlignment="1" applyProtection="1">
      <alignment horizontal="right"/>
      <protection hidden="1"/>
    </xf>
    <xf numFmtId="9" fontId="51" fillId="2" borderId="0" xfId="2" applyFont="1" applyFill="1" applyBorder="1" applyAlignment="1" applyProtection="1">
      <alignment horizontal="left" indent="1"/>
      <protection hidden="1"/>
    </xf>
    <xf numFmtId="171" fontId="51" fillId="2" borderId="0" xfId="0" applyNumberFormat="1" applyFont="1" applyFill="1" applyAlignment="1" applyProtection="1">
      <alignment horizontal="right"/>
      <protection hidden="1"/>
    </xf>
    <xf numFmtId="168" fontId="51" fillId="2" borderId="0" xfId="0" applyNumberFormat="1" applyFont="1" applyFill="1" applyAlignment="1" applyProtection="1">
      <alignment horizontal="right"/>
      <protection hidden="1"/>
    </xf>
    <xf numFmtId="3" fontId="37" fillId="3" borderId="0" xfId="0" applyNumberFormat="1" applyFont="1" applyFill="1"/>
    <xf numFmtId="166" fontId="37" fillId="3" borderId="0" xfId="1" applyNumberFormat="1" applyFont="1" applyFill="1"/>
    <xf numFmtId="0" fontId="52" fillId="3" borderId="0" xfId="4" applyFont="1" applyFill="1" applyProtection="1">
      <protection locked="0"/>
    </xf>
    <xf numFmtId="0" fontId="52" fillId="3" borderId="1" xfId="4" applyFont="1" applyFill="1" applyBorder="1" applyProtection="1">
      <protection locked="0"/>
    </xf>
    <xf numFmtId="2" fontId="37" fillId="3" borderId="0" xfId="0" applyNumberFormat="1" applyFont="1" applyFill="1" applyProtection="1">
      <protection locked="0"/>
    </xf>
    <xf numFmtId="2" fontId="37" fillId="3" borderId="1" xfId="0" applyNumberFormat="1" applyFont="1" applyFill="1" applyBorder="1" applyProtection="1">
      <protection locked="0"/>
    </xf>
    <xf numFmtId="10" fontId="0" fillId="3" borderId="0" xfId="2" applyNumberFormat="1" applyFont="1" applyFill="1" applyBorder="1"/>
    <xf numFmtId="10" fontId="4" fillId="2" borderId="0" xfId="0" applyNumberFormat="1" applyFont="1" applyFill="1"/>
    <xf numFmtId="10" fontId="0" fillId="3" borderId="2" xfId="2" applyNumberFormat="1" applyFont="1" applyFill="1" applyBorder="1"/>
    <xf numFmtId="9" fontId="21" fillId="3" borderId="8" xfId="0" applyNumberFormat="1" applyFont="1" applyFill="1" applyBorder="1"/>
    <xf numFmtId="10" fontId="0" fillId="3" borderId="8" xfId="2" applyNumberFormat="1" applyFont="1" applyFill="1" applyBorder="1"/>
    <xf numFmtId="171" fontId="13" fillId="2" borderId="0" xfId="0" applyNumberFormat="1" applyFont="1" applyFill="1" applyAlignment="1">
      <alignment horizontal="center" vertical="center"/>
    </xf>
    <xf numFmtId="2" fontId="37" fillId="3" borderId="2" xfId="0" applyNumberFormat="1" applyFont="1" applyFill="1" applyBorder="1"/>
    <xf numFmtId="171" fontId="13" fillId="2" borderId="12" xfId="0" applyNumberFormat="1" applyFont="1" applyFill="1" applyBorder="1" applyAlignment="1">
      <alignment horizontal="center" vertical="center" wrapText="1"/>
    </xf>
    <xf numFmtId="9" fontId="0" fillId="3" borderId="12" xfId="2" applyFont="1" applyFill="1" applyBorder="1"/>
    <xf numFmtId="0" fontId="0" fillId="3" borderId="12" xfId="0" applyFill="1" applyBorder="1"/>
    <xf numFmtId="43" fontId="14" fillId="3" borderId="0" xfId="1" applyFont="1" applyFill="1" applyBorder="1"/>
    <xf numFmtId="43" fontId="12" fillId="3" borderId="0" xfId="1" applyFont="1" applyFill="1" applyBorder="1"/>
    <xf numFmtId="43" fontId="16" fillId="3" borderId="0" xfId="1" applyFont="1" applyFill="1" applyBorder="1"/>
    <xf numFmtId="43" fontId="4" fillId="3" borderId="0" xfId="1" applyFont="1" applyFill="1" applyBorder="1"/>
    <xf numFmtId="43" fontId="1" fillId="3" borderId="0" xfId="1" applyFont="1" applyFill="1" applyBorder="1"/>
    <xf numFmtId="9" fontId="1" fillId="3" borderId="0" xfId="2" applyFont="1" applyFill="1" applyBorder="1"/>
    <xf numFmtId="43" fontId="13" fillId="3" borderId="0" xfId="1" applyFont="1" applyFill="1" applyBorder="1"/>
    <xf numFmtId="166" fontId="1" fillId="3" borderId="0" xfId="1" applyNumberFormat="1" applyFont="1" applyFill="1" applyBorder="1"/>
    <xf numFmtId="43" fontId="14" fillId="3" borderId="1" xfId="1" applyFont="1" applyFill="1" applyBorder="1"/>
    <xf numFmtId="43" fontId="21" fillId="3" borderId="0" xfId="1" applyFont="1" applyFill="1" applyBorder="1"/>
    <xf numFmtId="43" fontId="0" fillId="3" borderId="1" xfId="0" applyNumberFormat="1" applyFill="1" applyBorder="1"/>
    <xf numFmtId="43" fontId="4" fillId="3" borderId="1" xfId="0" applyNumberFormat="1" applyFont="1" applyFill="1" applyBorder="1"/>
    <xf numFmtId="43" fontId="36" fillId="3" borderId="0" xfId="1" applyFont="1" applyFill="1" applyBorder="1"/>
    <xf numFmtId="8" fontId="0" fillId="3" borderId="0" xfId="0" applyNumberFormat="1" applyFill="1"/>
    <xf numFmtId="0" fontId="4" fillId="3" borderId="1" xfId="0" applyFont="1" applyFill="1" applyBorder="1"/>
    <xf numFmtId="8" fontId="21" fillId="3" borderId="0" xfId="1" applyNumberFormat="1" applyFont="1" applyFill="1"/>
    <xf numFmtId="8" fontId="13" fillId="3" borderId="0" xfId="1" applyNumberFormat="1" applyFont="1" applyFill="1"/>
    <xf numFmtId="0" fontId="13" fillId="0" borderId="0" xfId="0" applyFont="1"/>
    <xf numFmtId="0" fontId="4" fillId="0" borderId="0" xfId="0" applyFont="1" applyAlignment="1">
      <alignment horizontal="left" indent="1"/>
    </xf>
    <xf numFmtId="0" fontId="40" fillId="4" borderId="0" xfId="0" applyFont="1" applyFill="1"/>
    <xf numFmtId="43" fontId="13" fillId="8" borderId="0" xfId="1" applyFont="1" applyFill="1"/>
    <xf numFmtId="169" fontId="4" fillId="3" borderId="0" xfId="0" applyNumberFormat="1" applyFont="1" applyFill="1"/>
    <xf numFmtId="43" fontId="4" fillId="8" borderId="0" xfId="1" applyFont="1" applyFill="1"/>
    <xf numFmtId="0" fontId="0" fillId="3" borderId="10" xfId="0" applyFill="1" applyBorder="1" applyAlignment="1">
      <alignment horizontal="right" indent="1"/>
    </xf>
    <xf numFmtId="0" fontId="0" fillId="3" borderId="10" xfId="0" applyFill="1" applyBorder="1" applyAlignment="1">
      <alignment horizontal="center"/>
    </xf>
    <xf numFmtId="43" fontId="13" fillId="3" borderId="10" xfId="1" applyFont="1" applyFill="1" applyBorder="1"/>
    <xf numFmtId="43" fontId="55" fillId="3" borderId="0" xfId="1" applyFont="1" applyFill="1"/>
    <xf numFmtId="3" fontId="51" fillId="3" borderId="0" xfId="0" applyNumberFormat="1" applyFont="1" applyFill="1"/>
    <xf numFmtId="3" fontId="4" fillId="3" borderId="0" xfId="0" applyNumberFormat="1" applyFont="1" applyFill="1"/>
    <xf numFmtId="170" fontId="4" fillId="3" borderId="0" xfId="1" applyNumberFormat="1" applyFont="1" applyFill="1"/>
    <xf numFmtId="166" fontId="36" fillId="4" borderId="0" xfId="1" applyNumberFormat="1" applyFont="1" applyFill="1"/>
    <xf numFmtId="0" fontId="7" fillId="8" borderId="0" xfId="3" applyFont="1" applyFill="1" applyBorder="1" applyAlignment="1">
      <alignment horizontal="left" vertical="center"/>
    </xf>
    <xf numFmtId="0" fontId="28" fillId="8" borderId="0" xfId="3" applyFont="1" applyFill="1" applyBorder="1" applyAlignment="1">
      <alignment horizontal="left" vertical="center"/>
    </xf>
    <xf numFmtId="0" fontId="26" fillId="3" borderId="0" xfId="0" applyFont="1" applyFill="1" applyAlignment="1">
      <alignment horizontal="left"/>
    </xf>
    <xf numFmtId="0" fontId="11" fillId="2" borderId="5" xfId="0" applyFont="1" applyFill="1" applyBorder="1" applyAlignment="1">
      <alignment horizontal="center"/>
    </xf>
    <xf numFmtId="9" fontId="11" fillId="2" borderId="5" xfId="2" applyFont="1" applyFill="1" applyBorder="1" applyAlignment="1">
      <alignment horizontal="center"/>
    </xf>
    <xf numFmtId="9" fontId="37" fillId="4" borderId="0" xfId="2" applyFont="1" applyFill="1" applyAlignment="1">
      <alignment horizontal="right"/>
    </xf>
    <xf numFmtId="164" fontId="0" fillId="4" borderId="0" xfId="2" applyNumberFormat="1" applyFont="1" applyFill="1"/>
    <xf numFmtId="9" fontId="11" fillId="2" borderId="14" xfId="2" applyFont="1" applyFill="1" applyBorder="1" applyAlignment="1">
      <alignment horizontal="center"/>
    </xf>
    <xf numFmtId="0" fontId="56" fillId="3" borderId="11" xfId="0" applyFont="1" applyFill="1" applyBorder="1" applyAlignment="1">
      <alignment vertical="center"/>
    </xf>
    <xf numFmtId="43" fontId="1" fillId="0" borderId="0" xfId="1" applyFont="1" applyFill="1"/>
    <xf numFmtId="10" fontId="17" fillId="3" borderId="0" xfId="0" applyNumberFormat="1" applyFont="1" applyFill="1"/>
    <xf numFmtId="10" fontId="0" fillId="3" borderId="0" xfId="1" applyNumberFormat="1" applyFont="1" applyFill="1"/>
    <xf numFmtId="0" fontId="10" fillId="3" borderId="0" xfId="0" applyFont="1" applyFill="1" applyAlignment="1">
      <alignment horizontal="left" indent="1"/>
    </xf>
    <xf numFmtId="43" fontId="3" fillId="3" borderId="0" xfId="0" applyNumberFormat="1" applyFont="1" applyFill="1"/>
    <xf numFmtId="0" fontId="3" fillId="3" borderId="1" xfId="0" applyFont="1" applyFill="1" applyBorder="1"/>
    <xf numFmtId="0" fontId="0" fillId="4" borderId="0" xfId="0" applyFill="1" applyAlignment="1">
      <alignment horizontal="right"/>
    </xf>
    <xf numFmtId="0" fontId="27" fillId="3" borderId="7" xfId="0" applyFont="1" applyFill="1" applyBorder="1"/>
    <xf numFmtId="0" fontId="27" fillId="3" borderId="0" xfId="0" applyFont="1" applyFill="1"/>
    <xf numFmtId="0" fontId="4" fillId="2" borderId="5" xfId="0" applyFont="1" applyFill="1" applyBorder="1"/>
    <xf numFmtId="0" fontId="6" fillId="0" borderId="0" xfId="3" applyAlignment="1"/>
    <xf numFmtId="0" fontId="6" fillId="3" borderId="0" xfId="3" applyFill="1" applyAlignment="1"/>
    <xf numFmtId="15" fontId="0" fillId="3" borderId="0" xfId="0" applyNumberFormat="1" applyFill="1" applyAlignment="1">
      <alignment horizontal="center"/>
    </xf>
    <xf numFmtId="0" fontId="27" fillId="3" borderId="2" xfId="0" applyFont="1" applyFill="1" applyBorder="1" applyAlignment="1">
      <alignment horizontal="left" vertical="top"/>
    </xf>
    <xf numFmtId="0" fontId="13" fillId="3" borderId="0" xfId="0" applyFont="1" applyFill="1" applyAlignment="1">
      <alignment horizontal="left" vertical="top"/>
    </xf>
    <xf numFmtId="0" fontId="21" fillId="3" borderId="0" xfId="0" applyFont="1" applyFill="1" applyAlignment="1">
      <alignment horizontal="left" vertical="top"/>
    </xf>
    <xf numFmtId="0" fontId="0" fillId="3" borderId="0" xfId="0" applyFill="1" applyAlignment="1">
      <alignment horizontal="left" vertical="top"/>
    </xf>
    <xf numFmtId="8" fontId="4" fillId="3" borderId="0" xfId="1" applyNumberFormat="1" applyFont="1" applyFill="1"/>
    <xf numFmtId="0" fontId="13" fillId="3" borderId="10" xfId="0" applyFont="1" applyFill="1" applyBorder="1"/>
    <xf numFmtId="0" fontId="4" fillId="0" borderId="10" xfId="0" applyFont="1" applyBorder="1"/>
    <xf numFmtId="0" fontId="4" fillId="3" borderId="10" xfId="0" applyFont="1" applyFill="1" applyBorder="1"/>
    <xf numFmtId="43" fontId="0" fillId="0" borderId="10" xfId="0" applyNumberFormat="1" applyBorder="1"/>
    <xf numFmtId="0" fontId="0" fillId="3" borderId="10" xfId="0" applyFill="1" applyBorder="1"/>
    <xf numFmtId="9" fontId="16" fillId="3" borderId="0" xfId="0" applyNumberFormat="1" applyFont="1" applyFill="1"/>
    <xf numFmtId="9" fontId="11" fillId="2" borderId="5" xfId="0" applyNumberFormat="1" applyFont="1" applyFill="1" applyBorder="1" applyAlignment="1">
      <alignment horizontal="center"/>
    </xf>
    <xf numFmtId="0" fontId="12" fillId="3" borderId="0" xfId="0" applyFont="1" applyFill="1" applyAlignment="1">
      <alignment horizontal="center"/>
    </xf>
    <xf numFmtId="167" fontId="0" fillId="3" borderId="0" xfId="0" applyNumberFormat="1" applyFill="1"/>
    <xf numFmtId="170" fontId="0" fillId="3" borderId="0" xfId="1" applyNumberFormat="1" applyFont="1" applyFill="1" applyBorder="1"/>
    <xf numFmtId="3" fontId="37" fillId="3" borderId="2" xfId="0" applyNumberFormat="1" applyFont="1" applyFill="1" applyBorder="1"/>
    <xf numFmtId="3" fontId="0" fillId="3" borderId="2" xfId="0" applyNumberFormat="1" applyFill="1" applyBorder="1"/>
    <xf numFmtId="170" fontId="0" fillId="3" borderId="2" xfId="1" applyNumberFormat="1" applyFont="1" applyFill="1" applyBorder="1"/>
    <xf numFmtId="170" fontId="37" fillId="3" borderId="0" xfId="1" applyNumberFormat="1" applyFont="1" applyFill="1"/>
    <xf numFmtId="166" fontId="51" fillId="3" borderId="0" xfId="1" applyNumberFormat="1" applyFont="1" applyFill="1"/>
    <xf numFmtId="166" fontId="4" fillId="3" borderId="0" xfId="1" applyNumberFormat="1" applyFont="1" applyFill="1"/>
    <xf numFmtId="170" fontId="13" fillId="3" borderId="0" xfId="1" applyNumberFormat="1" applyFont="1" applyFill="1"/>
    <xf numFmtId="167" fontId="36" fillId="4" borderId="0" xfId="0" applyNumberFormat="1" applyFont="1" applyFill="1"/>
    <xf numFmtId="0" fontId="13" fillId="10" borderId="0" xfId="0" applyFont="1" applyFill="1"/>
    <xf numFmtId="9" fontId="36" fillId="3" borderId="0" xfId="0" applyNumberFormat="1" applyFont="1" applyFill="1"/>
    <xf numFmtId="9" fontId="36" fillId="3" borderId="0" xfId="2" applyFont="1" applyFill="1" applyBorder="1" applyAlignment="1" applyProtection="1">
      <alignment horizontal="left" indent="1"/>
      <protection hidden="1"/>
    </xf>
    <xf numFmtId="171" fontId="48" fillId="2" borderId="9" xfId="0" applyNumberFormat="1" applyFont="1" applyFill="1" applyBorder="1" applyAlignment="1">
      <alignment vertical="center"/>
    </xf>
    <xf numFmtId="171" fontId="48" fillId="2" borderId="9" xfId="0" applyNumberFormat="1" applyFont="1" applyFill="1" applyBorder="1" applyAlignment="1">
      <alignment horizontal="center" vertical="center" wrapText="1"/>
    </xf>
    <xf numFmtId="10" fontId="0" fillId="3" borderId="9" xfId="2" applyNumberFormat="1" applyFont="1" applyFill="1" applyBorder="1"/>
    <xf numFmtId="10" fontId="0" fillId="3" borderId="15" xfId="2" applyNumberFormat="1" applyFont="1" applyFill="1" applyBorder="1"/>
    <xf numFmtId="10" fontId="0" fillId="3" borderId="16" xfId="2" applyNumberFormat="1" applyFont="1" applyFill="1" applyBorder="1"/>
    <xf numFmtId="10" fontId="4" fillId="2" borderId="9" xfId="0" applyNumberFormat="1" applyFont="1" applyFill="1" applyBorder="1"/>
    <xf numFmtId="2" fontId="0" fillId="3" borderId="9" xfId="0" applyNumberFormat="1" applyFill="1" applyBorder="1"/>
    <xf numFmtId="2" fontId="0" fillId="3" borderId="1" xfId="0" applyNumberFormat="1" applyFill="1" applyBorder="1"/>
    <xf numFmtId="2" fontId="0" fillId="3" borderId="15" xfId="0" applyNumberFormat="1" applyFill="1" applyBorder="1"/>
    <xf numFmtId="2" fontId="0" fillId="3" borderId="3" xfId="0" applyNumberFormat="1" applyFill="1" applyBorder="1"/>
    <xf numFmtId="2" fontId="0" fillId="3" borderId="16" xfId="0" applyNumberFormat="1" applyFill="1" applyBorder="1"/>
    <xf numFmtId="2" fontId="0" fillId="3" borderId="17" xfId="0" applyNumberFormat="1" applyFill="1" applyBorder="1"/>
    <xf numFmtId="0" fontId="0" fillId="2" borderId="9" xfId="0" applyFill="1" applyBorder="1"/>
    <xf numFmtId="167" fontId="21" fillId="16" borderId="0" xfId="0" applyNumberFormat="1" applyFont="1" applyFill="1" applyAlignment="1" applyProtection="1">
      <alignment horizontal="left" indent="1"/>
      <protection hidden="1"/>
    </xf>
    <xf numFmtId="9" fontId="37" fillId="16" borderId="0" xfId="2" applyFont="1" applyFill="1" applyBorder="1" applyAlignment="1" applyProtection="1">
      <alignment horizontal="left" indent="1"/>
      <protection hidden="1"/>
    </xf>
    <xf numFmtId="171" fontId="37" fillId="16" borderId="0" xfId="0" applyNumberFormat="1" applyFont="1" applyFill="1" applyAlignment="1" applyProtection="1">
      <alignment horizontal="right"/>
      <protection hidden="1"/>
    </xf>
    <xf numFmtId="168" fontId="37" fillId="16" borderId="0" xfId="0" applyNumberFormat="1" applyFont="1" applyFill="1" applyAlignment="1" applyProtection="1">
      <alignment horizontal="right"/>
      <protection hidden="1"/>
    </xf>
    <xf numFmtId="9" fontId="21" fillId="16" borderId="0" xfId="2" applyFont="1" applyFill="1" applyBorder="1" applyAlignment="1" applyProtection="1">
      <alignment horizontal="left" indent="1"/>
      <protection hidden="1"/>
    </xf>
    <xf numFmtId="167" fontId="21" fillId="17" borderId="0" xfId="0" applyNumberFormat="1" applyFont="1" applyFill="1" applyAlignment="1" applyProtection="1">
      <alignment horizontal="left" indent="1"/>
      <protection hidden="1"/>
    </xf>
    <xf numFmtId="9" fontId="37" fillId="17" borderId="0" xfId="2" applyFont="1" applyFill="1" applyBorder="1" applyAlignment="1" applyProtection="1">
      <alignment horizontal="left" indent="1"/>
      <protection hidden="1"/>
    </xf>
    <xf numFmtId="171" fontId="37" fillId="17" borderId="0" xfId="0" applyNumberFormat="1" applyFont="1" applyFill="1" applyAlignment="1" applyProtection="1">
      <alignment horizontal="right"/>
      <protection hidden="1"/>
    </xf>
    <xf numFmtId="168" fontId="37" fillId="17" borderId="0" xfId="0" applyNumberFormat="1" applyFont="1" applyFill="1" applyAlignment="1" applyProtection="1">
      <alignment horizontal="right"/>
      <protection hidden="1"/>
    </xf>
    <xf numFmtId="9" fontId="21" fillId="17" borderId="0" xfId="2" applyFont="1" applyFill="1" applyBorder="1" applyAlignment="1" applyProtection="1">
      <alignment horizontal="left" indent="1"/>
      <protection hidden="1"/>
    </xf>
    <xf numFmtId="167" fontId="13" fillId="16" borderId="0" xfId="0" applyNumberFormat="1" applyFont="1" applyFill="1" applyAlignment="1" applyProtection="1">
      <alignment horizontal="left" indent="1"/>
      <protection hidden="1"/>
    </xf>
    <xf numFmtId="9" fontId="51" fillId="16" borderId="0" xfId="2" applyFont="1" applyFill="1" applyBorder="1" applyAlignment="1" applyProtection="1">
      <alignment horizontal="left" indent="1"/>
      <protection hidden="1"/>
    </xf>
    <xf numFmtId="171" fontId="51" fillId="16" borderId="0" xfId="0" applyNumberFormat="1" applyFont="1" applyFill="1" applyAlignment="1" applyProtection="1">
      <alignment horizontal="right"/>
      <protection hidden="1"/>
    </xf>
    <xf numFmtId="168" fontId="51" fillId="16" borderId="0" xfId="0" applyNumberFormat="1" applyFont="1" applyFill="1" applyAlignment="1" applyProtection="1">
      <alignment horizontal="right"/>
      <protection hidden="1"/>
    </xf>
    <xf numFmtId="9" fontId="13" fillId="16" borderId="0" xfId="2" applyFont="1" applyFill="1" applyBorder="1" applyAlignment="1" applyProtection="1">
      <alignment horizontal="left" indent="1"/>
      <protection hidden="1"/>
    </xf>
    <xf numFmtId="0" fontId="4" fillId="8" borderId="0" xfId="0" applyFont="1" applyFill="1"/>
    <xf numFmtId="167" fontId="13" fillId="17" borderId="0" xfId="0" applyNumberFormat="1" applyFont="1" applyFill="1" applyAlignment="1" applyProtection="1">
      <alignment horizontal="left" indent="1"/>
      <protection hidden="1"/>
    </xf>
    <xf numFmtId="9" fontId="51" fillId="17" borderId="0" xfId="2" applyFont="1" applyFill="1" applyBorder="1" applyAlignment="1" applyProtection="1">
      <alignment horizontal="left" indent="1"/>
      <protection hidden="1"/>
    </xf>
    <xf numFmtId="171" fontId="51" fillId="17" borderId="0" xfId="0" applyNumberFormat="1" applyFont="1" applyFill="1" applyAlignment="1" applyProtection="1">
      <alignment horizontal="right"/>
      <protection hidden="1"/>
    </xf>
    <xf numFmtId="168" fontId="51" fillId="17" borderId="0" xfId="0" applyNumberFormat="1" applyFont="1" applyFill="1" applyAlignment="1" applyProtection="1">
      <alignment horizontal="right"/>
      <protection hidden="1"/>
    </xf>
    <xf numFmtId="9" fontId="13" fillId="17" borderId="0" xfId="2" applyFont="1" applyFill="1" applyBorder="1" applyAlignment="1" applyProtection="1">
      <alignment horizontal="left" indent="1"/>
      <protection hidden="1"/>
    </xf>
    <xf numFmtId="0" fontId="35" fillId="3" borderId="0" xfId="0" applyFont="1" applyFill="1"/>
    <xf numFmtId="0" fontId="51" fillId="2" borderId="0" xfId="0" applyFont="1" applyFill="1"/>
    <xf numFmtId="2" fontId="4" fillId="2" borderId="0" xfId="0" applyNumberFormat="1" applyFont="1" applyFill="1"/>
    <xf numFmtId="43" fontId="4" fillId="2" borderId="0" xfId="0" applyNumberFormat="1" applyFont="1" applyFill="1"/>
    <xf numFmtId="0" fontId="2" fillId="14" borderId="0" xfId="0" applyFont="1" applyFill="1" applyAlignment="1">
      <alignment vertical="center"/>
    </xf>
    <xf numFmtId="0" fontId="2" fillId="14" borderId="0" xfId="0" applyFont="1" applyFill="1" applyAlignment="1">
      <alignment vertical="center" wrapText="1"/>
    </xf>
    <xf numFmtId="9" fontId="2" fillId="14" borderId="0" xfId="0" applyNumberFormat="1" applyFont="1" applyFill="1" applyAlignment="1">
      <alignment vertical="center"/>
    </xf>
    <xf numFmtId="164" fontId="0" fillId="3" borderId="0" xfId="2" applyNumberFormat="1" applyFont="1" applyFill="1"/>
    <xf numFmtId="0" fontId="16" fillId="3" borderId="11" xfId="0" applyFont="1" applyFill="1" applyBorder="1"/>
    <xf numFmtId="0" fontId="12" fillId="3" borderId="11" xfId="0" applyFont="1" applyFill="1" applyBorder="1"/>
    <xf numFmtId="2" fontId="9" fillId="3" borderId="11" xfId="0" applyNumberFormat="1" applyFont="1" applyFill="1" applyBorder="1" applyAlignment="1">
      <alignment horizontal="right" vertical="center"/>
    </xf>
    <xf numFmtId="9" fontId="11" fillId="2" borderId="18" xfId="2" applyFont="1" applyFill="1" applyBorder="1" applyAlignment="1">
      <alignment horizontal="center"/>
    </xf>
    <xf numFmtId="43" fontId="0" fillId="3" borderId="11" xfId="1" applyFont="1" applyFill="1" applyBorder="1"/>
    <xf numFmtId="9" fontId="2" fillId="14" borderId="0" xfId="0" applyNumberFormat="1" applyFont="1" applyFill="1" applyAlignment="1">
      <alignment vertical="center" wrapText="1"/>
    </xf>
    <xf numFmtId="0" fontId="31" fillId="9" borderId="4" xfId="0" applyFont="1" applyFill="1" applyBorder="1"/>
    <xf numFmtId="0" fontId="21" fillId="9" borderId="4" xfId="0" applyFont="1" applyFill="1" applyBorder="1"/>
    <xf numFmtId="0" fontId="21" fillId="9" borderId="4" xfId="0" applyFont="1" applyFill="1" applyBorder="1" applyAlignment="1">
      <alignment horizontal="left"/>
    </xf>
    <xf numFmtId="0" fontId="31" fillId="9" borderId="4" xfId="0" applyFont="1" applyFill="1" applyBorder="1" applyAlignment="1">
      <alignment horizontal="left"/>
    </xf>
    <xf numFmtId="168" fontId="0" fillId="3" borderId="0" xfId="0" applyNumberFormat="1" applyFill="1"/>
    <xf numFmtId="166" fontId="11" fillId="2" borderId="5" xfId="1" applyNumberFormat="1" applyFont="1" applyFill="1" applyBorder="1" applyAlignment="1">
      <alignment horizontal="center"/>
    </xf>
    <xf numFmtId="43" fontId="0" fillId="3" borderId="0" xfId="0" applyNumberFormat="1" applyFill="1" applyAlignment="1">
      <alignment horizontal="center"/>
    </xf>
    <xf numFmtId="0" fontId="11" fillId="3" borderId="11" xfId="0" applyFont="1" applyFill="1" applyBorder="1"/>
    <xf numFmtId="43" fontId="11" fillId="3" borderId="11" xfId="1" applyFont="1" applyFill="1" applyBorder="1"/>
    <xf numFmtId="0" fontId="11" fillId="3" borderId="20" xfId="0" applyFont="1" applyFill="1" applyBorder="1"/>
    <xf numFmtId="43" fontId="21" fillId="3" borderId="19" xfId="0" applyNumberFormat="1" applyFont="1" applyFill="1" applyBorder="1"/>
    <xf numFmtId="0" fontId="11" fillId="3" borderId="0" xfId="0" applyFont="1" applyFill="1" applyAlignment="1">
      <alignment wrapText="1"/>
    </xf>
    <xf numFmtId="0" fontId="57" fillId="3" borderId="11" xfId="0" applyFont="1" applyFill="1" applyBorder="1" applyAlignment="1">
      <alignment wrapText="1"/>
    </xf>
    <xf numFmtId="0" fontId="57" fillId="3" borderId="11" xfId="0" applyFont="1" applyFill="1" applyBorder="1" applyAlignment="1">
      <alignment horizontal="center" wrapText="1"/>
    </xf>
    <xf numFmtId="0" fontId="57" fillId="3" borderId="11" xfId="0" applyFont="1" applyFill="1" applyBorder="1" applyAlignment="1">
      <alignment horizontal="center"/>
    </xf>
    <xf numFmtId="43" fontId="21" fillId="2" borderId="0" xfId="1" applyFont="1" applyFill="1"/>
    <xf numFmtId="43" fontId="21" fillId="2" borderId="0" xfId="0" applyNumberFormat="1" applyFont="1" applyFill="1"/>
    <xf numFmtId="43" fontId="21" fillId="2" borderId="19" xfId="0" applyNumberFormat="1" applyFont="1" applyFill="1" applyBorder="1"/>
    <xf numFmtId="0" fontId="4" fillId="3" borderId="0" xfId="0" applyFont="1" applyFill="1" applyAlignment="1">
      <alignment wrapText="1"/>
    </xf>
    <xf numFmtId="0" fontId="4" fillId="3" borderId="0" xfId="0" applyFont="1" applyFill="1" applyAlignment="1">
      <alignment horizontal="left" wrapText="1"/>
    </xf>
    <xf numFmtId="2" fontId="21" fillId="3" borderId="0" xfId="0" applyNumberFormat="1" applyFont="1" applyFill="1"/>
    <xf numFmtId="43" fontId="21" fillId="9" borderId="0" xfId="1" applyFont="1" applyFill="1"/>
    <xf numFmtId="43" fontId="21" fillId="9" borderId="0" xfId="0" applyNumberFormat="1" applyFont="1" applyFill="1"/>
    <xf numFmtId="43" fontId="21" fillId="9" borderId="19" xfId="0" applyNumberFormat="1" applyFont="1" applyFill="1" applyBorder="1"/>
    <xf numFmtId="0" fontId="11" fillId="3" borderId="13" xfId="0" applyFont="1" applyFill="1" applyBorder="1" applyAlignment="1">
      <alignment horizontal="left" vertical="center" wrapText="1"/>
    </xf>
    <xf numFmtId="9" fontId="37" fillId="3" borderId="0" xfId="0" applyNumberFormat="1" applyFont="1" applyFill="1"/>
    <xf numFmtId="164" fontId="37" fillId="3" borderId="0" xfId="2" applyNumberFormat="1" applyFont="1" applyFill="1"/>
    <xf numFmtId="9" fontId="37" fillId="2" borderId="0" xfId="0" applyNumberFormat="1" applyFont="1" applyFill="1"/>
    <xf numFmtId="43" fontId="37" fillId="2" borderId="0" xfId="0" applyNumberFormat="1" applyFont="1" applyFill="1"/>
    <xf numFmtId="164" fontId="37" fillId="2" borderId="0" xfId="2" applyNumberFormat="1" applyFont="1" applyFill="1"/>
    <xf numFmtId="0" fontId="13" fillId="3" borderId="0" xfId="0" applyFont="1" applyFill="1" applyAlignment="1">
      <alignment horizontal="left" indent="1"/>
    </xf>
    <xf numFmtId="0" fontId="21" fillId="3" borderId="1" xfId="0" applyFont="1" applyFill="1" applyBorder="1"/>
    <xf numFmtId="164" fontId="37" fillId="4" borderId="0" xfId="1" applyNumberFormat="1" applyFont="1" applyFill="1" applyAlignment="1">
      <alignment horizontal="right"/>
    </xf>
    <xf numFmtId="164" fontId="37" fillId="4" borderId="0" xfId="2" applyNumberFormat="1" applyFont="1" applyFill="1" applyAlignment="1">
      <alignment horizontal="right"/>
    </xf>
    <xf numFmtId="43" fontId="21" fillId="4" borderId="0" xfId="1" applyFont="1" applyFill="1" applyAlignment="1">
      <alignment horizontal="right"/>
    </xf>
    <xf numFmtId="43" fontId="58" fillId="4" borderId="0" xfId="1" applyFont="1" applyFill="1" applyAlignment="1">
      <alignment horizontal="right"/>
    </xf>
    <xf numFmtId="0" fontId="57" fillId="3" borderId="0" xfId="0" applyFont="1" applyFill="1" applyBorder="1" applyAlignment="1">
      <alignment wrapText="1"/>
    </xf>
    <xf numFmtId="0" fontId="4" fillId="3" borderId="0" xfId="0" applyFont="1" applyFill="1" applyAlignment="1">
      <alignment horizontal="left" vertical="top" wrapText="1"/>
    </xf>
    <xf numFmtId="0" fontId="0" fillId="3" borderId="0" xfId="0" applyFill="1" applyAlignment="1">
      <alignment horizontal="left" vertical="top" wrapText="1"/>
    </xf>
    <xf numFmtId="0" fontId="29" fillId="3" borderId="0" xfId="0" applyFont="1" applyFill="1" applyAlignment="1">
      <alignment horizontal="center" vertical="center"/>
    </xf>
    <xf numFmtId="0" fontId="35" fillId="3" borderId="0" xfId="0" applyFont="1" applyFill="1" applyAlignment="1">
      <alignment horizontal="center"/>
    </xf>
    <xf numFmtId="0" fontId="0" fillId="3" borderId="0" xfId="0" applyFill="1" applyAlignment="1">
      <alignment horizontal="center"/>
    </xf>
    <xf numFmtId="0" fontId="4" fillId="12" borderId="9" xfId="0" applyFont="1" applyFill="1" applyBorder="1" applyAlignment="1">
      <alignment horizontal="center" vertical="center" wrapText="1"/>
    </xf>
    <xf numFmtId="0" fontId="4" fillId="12" borderId="0" xfId="0" applyFont="1" applyFill="1" applyAlignment="1">
      <alignment horizontal="center" vertical="center" wrapText="1"/>
    </xf>
    <xf numFmtId="0" fontId="4" fillId="12" borderId="1" xfId="0" applyFont="1" applyFill="1" applyBorder="1" applyAlignment="1">
      <alignment horizontal="center" vertical="center" wrapText="1"/>
    </xf>
    <xf numFmtId="2" fontId="43" fillId="2" borderId="0" xfId="0" applyNumberFormat="1" applyFont="1" applyFill="1" applyAlignment="1" applyProtection="1">
      <alignment horizontal="center" vertical="center"/>
      <protection hidden="1"/>
    </xf>
    <xf numFmtId="0" fontId="13" fillId="2" borderId="0" xfId="0" applyFont="1" applyFill="1" applyAlignment="1">
      <alignment horizontal="center" vertical="center" wrapText="1"/>
    </xf>
    <xf numFmtId="0" fontId="13" fillId="2" borderId="1" xfId="0" applyFont="1" applyFill="1" applyBorder="1" applyAlignment="1">
      <alignment horizontal="center" vertical="center" wrapText="1"/>
    </xf>
    <xf numFmtId="171" fontId="48" fillId="2" borderId="0" xfId="0" applyNumberFormat="1" applyFont="1" applyFill="1" applyAlignment="1">
      <alignment horizontal="center" vertical="center"/>
    </xf>
    <xf numFmtId="171" fontId="48" fillId="2" borderId="9" xfId="0" applyNumberFormat="1" applyFont="1" applyFill="1" applyBorder="1" applyAlignment="1">
      <alignment horizontal="center" vertical="center"/>
    </xf>
    <xf numFmtId="171" fontId="48" fillId="2" borderId="1" xfId="0" applyNumberFormat="1" applyFont="1" applyFill="1" applyBorder="1" applyAlignment="1">
      <alignment horizontal="center" vertical="center"/>
    </xf>
    <xf numFmtId="0" fontId="60" fillId="0" borderId="0" xfId="5" applyFont="1" applyAlignment="1">
      <alignment wrapText="1"/>
    </xf>
    <xf numFmtId="0" fontId="61" fillId="0" borderId="0" xfId="5" applyFont="1" applyAlignment="1"/>
    <xf numFmtId="0" fontId="62" fillId="0" borderId="0" xfId="5" applyFont="1" applyAlignment="1"/>
    <xf numFmtId="17" fontId="63" fillId="0" borderId="0" xfId="5" quotePrefix="1" applyNumberFormat="1" applyFont="1" applyAlignment="1"/>
    <xf numFmtId="0" fontId="64" fillId="0" borderId="0" xfId="5" applyFont="1" applyAlignment="1"/>
    <xf numFmtId="0" fontId="65" fillId="0" borderId="0" xfId="5" applyFont="1" applyAlignment="1"/>
  </cellXfs>
  <cellStyles count="8">
    <cellStyle name="Comma" xfId="1" builtinId="3"/>
    <cellStyle name="Heading 3 2" xfId="6" xr:uid="{56F425E3-69D3-4844-B415-A5B443877854}"/>
    <cellStyle name="Hyperlink" xfId="3" builtinId="8"/>
    <cellStyle name="Normal" xfId="0" builtinId="0"/>
    <cellStyle name="Normal 2" xfId="5" xr:uid="{C90BFC9D-9F23-4A51-B64B-B99283669E2F}"/>
    <cellStyle name="Normal 2 4" xfId="4" xr:uid="{C101F58E-3722-425D-B631-08DE300E9A26}"/>
    <cellStyle name="Normal 3" xfId="7" xr:uid="{E3F08A05-97EC-4E1E-997C-73107C9854AF}"/>
    <cellStyle name="Percent" xfId="2" builtinId="5"/>
  </cellStyles>
  <dxfs count="1015">
    <dxf>
      <fill>
        <patternFill>
          <bgColor theme="4" tint="0.79998168889431442"/>
        </patternFill>
      </fill>
    </dxf>
    <dxf>
      <font>
        <color theme="3"/>
      </font>
    </dxf>
    <dxf>
      <font>
        <b/>
        <i val="0"/>
        <color theme="4" tint="-0.24994659260841701"/>
      </font>
    </dxf>
    <dxf>
      <font>
        <b/>
        <i val="0"/>
        <color rgb="FFFF0000"/>
      </font>
    </dxf>
    <dxf>
      <font>
        <b/>
        <i val="0"/>
        <color rgb="FFFF0000"/>
      </font>
    </dxf>
    <dxf>
      <font>
        <color theme="3"/>
      </font>
    </dxf>
    <dxf>
      <font>
        <b/>
        <i val="0"/>
        <color rgb="FFFF0000"/>
      </font>
      <numFmt numFmtId="0" formatCode="Genera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b/>
        <i val="0"/>
        <color theme="4" tint="-0.24994659260841701"/>
      </font>
    </dxf>
    <dxf>
      <font>
        <b/>
        <i val="0"/>
        <color rgb="FFFF0000"/>
      </font>
    </dxf>
    <dxf>
      <font>
        <b/>
        <i val="0"/>
        <color rgb="FFFF0000"/>
      </font>
    </dxf>
    <dxf>
      <font>
        <color theme="3"/>
      </font>
    </dxf>
    <dxf>
      <font>
        <b/>
        <i val="0"/>
        <color rgb="FFFF0000"/>
      </font>
      <numFmt numFmtId="0" formatCode="Genera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ont>
        <color theme="3"/>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3"/>
      </font>
    </dxf>
    <dxf>
      <font>
        <b/>
        <i val="0"/>
        <color theme="4" tint="-0.24994659260841701"/>
      </font>
    </dxf>
    <dxf>
      <font>
        <b/>
        <i val="0"/>
        <color rgb="FFFF000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ont>
        <b/>
        <i val="0"/>
        <color rgb="FFFF0000"/>
      </font>
    </dxf>
    <dxf>
      <font>
        <color theme="3"/>
      </font>
    </dxf>
    <dxf>
      <font>
        <b/>
        <i val="0"/>
        <color rgb="FFFF0000"/>
      </font>
      <numFmt numFmtId="0" formatCode="Genera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ont>
        <b/>
        <i val="0"/>
        <color rgb="FFFF0000"/>
      </font>
    </dxf>
    <dxf>
      <font>
        <color theme="3"/>
      </font>
    </dxf>
    <dxf>
      <font>
        <b/>
        <i val="0"/>
        <color rgb="FFFF0000"/>
      </font>
      <numFmt numFmtId="0" formatCode="Genera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ont>
        <b/>
        <i val="0"/>
        <color rgb="FFFF0000"/>
      </font>
    </dxf>
    <dxf>
      <font>
        <color theme="3"/>
      </font>
    </dxf>
    <dxf>
      <font>
        <b/>
        <i val="0"/>
        <color rgb="FFFF0000"/>
      </font>
      <numFmt numFmtId="0" formatCode="Genera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ont>
        <b/>
        <i val="0"/>
        <color rgb="FFFF0000"/>
      </font>
    </dxf>
    <dxf>
      <font>
        <color theme="3"/>
      </font>
    </dxf>
    <dxf>
      <font>
        <b/>
        <i val="0"/>
        <color rgb="FFFF0000"/>
      </font>
      <numFmt numFmtId="0" formatCode="Genera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color theme="3"/>
      </font>
    </dxf>
    <dxf>
      <font>
        <b/>
        <i val="0"/>
        <color theme="4" tint="-0.24994659260841701"/>
      </font>
    </dxf>
    <dxf>
      <font>
        <b/>
        <i val="0"/>
        <color rgb="FFFF0000"/>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b/>
        <i val="0"/>
        <color theme="4" tint="-0.24994659260841701"/>
      </font>
    </dxf>
    <dxf>
      <font>
        <b/>
        <i val="0"/>
        <color rgb="FFFF0000"/>
      </font>
    </dxf>
    <dxf>
      <font>
        <b/>
        <i val="0"/>
        <color rgb="FFFF0000"/>
      </font>
    </dxf>
    <dxf>
      <font>
        <color theme="3"/>
      </font>
    </dxf>
    <dxf>
      <font>
        <b/>
        <i val="0"/>
        <color rgb="FFFF0000"/>
      </font>
      <numFmt numFmtId="0" formatCode="Genera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ont>
        <b/>
        <i val="0"/>
        <color rgb="FFFF0000"/>
      </font>
    </dxf>
    <dxf>
      <font>
        <color theme="3"/>
      </font>
    </dxf>
    <dxf>
      <font>
        <b/>
        <i val="0"/>
        <color rgb="FFFF0000"/>
      </font>
      <numFmt numFmtId="0" formatCode="General"/>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rgb="FFFF0000"/>
      </font>
    </dxf>
    <dxf>
      <font>
        <color theme="3"/>
      </font>
    </dxf>
    <dxf>
      <font>
        <b/>
        <i val="0"/>
        <color rgb="FFFF0000"/>
      </font>
      <numFmt numFmtId="0" formatCode="General"/>
    </dxf>
    <dxf>
      <font>
        <b/>
        <i val="0"/>
        <color theme="4" tint="-0.24994659260841701"/>
      </font>
    </dxf>
    <dxf>
      <font>
        <b/>
        <i val="0"/>
        <color rgb="FFFF0000"/>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ill>
        <patternFill>
          <bgColor theme="4" tint="0.79998168889431442"/>
        </patternFill>
      </fill>
    </dxf>
    <dxf>
      <font>
        <color theme="3"/>
      </font>
    </dxf>
    <dxf>
      <font>
        <b/>
        <i val="0"/>
        <color theme="4" tint="-0.24994659260841701"/>
      </font>
    </dxf>
    <dxf>
      <font>
        <b/>
        <i val="0"/>
        <color rgb="FFFF0000"/>
      </font>
    </dxf>
    <dxf>
      <font>
        <b/>
        <i val="0"/>
        <color rgb="FFFF0000"/>
      </font>
    </dxf>
    <dxf>
      <font>
        <color theme="3"/>
      </font>
    </dxf>
    <dxf>
      <font>
        <b/>
        <i val="0"/>
        <color rgb="FFFF0000"/>
      </font>
      <numFmt numFmtId="0" formatCode="General"/>
    </dxf>
    <dxf>
      <font>
        <color theme="6"/>
      </font>
    </dxf>
    <dxf>
      <font>
        <color rgb="FFFF0000"/>
      </font>
      <fill>
        <patternFill patternType="none">
          <bgColor auto="1"/>
        </patternFill>
      </fill>
    </dxf>
    <dxf>
      <font>
        <color theme="6"/>
      </font>
    </dxf>
    <dxf>
      <font>
        <color rgb="FFFF0000"/>
      </font>
      <fill>
        <patternFill patternType="none">
          <bgColor auto="1"/>
        </patternFill>
      </fill>
    </dxf>
    <dxf>
      <font>
        <color rgb="FF00B050"/>
      </font>
    </dxf>
    <dxf>
      <font>
        <color rgb="FFFF0000"/>
      </font>
    </dxf>
    <dxf>
      <font>
        <color rgb="FFFF0000"/>
      </font>
    </dxf>
    <dxf>
      <font>
        <color rgb="FFFF0000"/>
      </font>
    </dxf>
  </dxfs>
  <tableStyles count="0" defaultTableStyle="TableStyleMedium2" defaultPivotStyle="PivotStyleLight16"/>
  <colors>
    <mruColors>
      <color rgb="FF0F14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Results!$L$10</c:f>
              <c:strCache>
                <c:ptCount val="1"/>
                <c:pt idx="0">
                  <c:v>MAC</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Results!$J$11:$J$15</c:f>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f>Results!$L$11:$L$15</c:f>
              <c:numCache>
                <c:formatCode>_(* #,##0.00_);_(* \(#,##0.00\);_(* "-"??_);_(@_)</c:formatCode>
                <c:ptCount val="5"/>
                <c:pt idx="0">
                  <c:v>2.0168140214966792</c:v>
                </c:pt>
                <c:pt idx="1">
                  <c:v>-37.100487167743005</c:v>
                </c:pt>
                <c:pt idx="2">
                  <c:v>-0.26788537757585146</c:v>
                </c:pt>
                <c:pt idx="3">
                  <c:v>-0.3305678765072454</c:v>
                </c:pt>
                <c:pt idx="4">
                  <c:v>-8.9061225596086521E-2</c:v>
                </c:pt>
              </c:numCache>
            </c:numRef>
          </c:val>
          <c:extLst>
            <c:ext xmlns:c16="http://schemas.microsoft.com/office/drawing/2014/chart" uri="{C3380CC4-5D6E-409C-BE32-E72D297353CC}">
              <c16:uniqueId val="{00000001-F219-42A0-9EAA-813013925725}"/>
            </c:ext>
          </c:extLst>
        </c:ser>
        <c:dLbls>
          <c:showLegendKey val="0"/>
          <c:showVal val="0"/>
          <c:showCatName val="0"/>
          <c:showSerName val="0"/>
          <c:showPercent val="0"/>
          <c:showBubbleSize val="0"/>
        </c:dLbls>
        <c:gapWidth val="219"/>
        <c:overlap val="-27"/>
        <c:axId val="363584920"/>
        <c:axId val="609192056"/>
        <c:extLst>
          <c:ext xmlns:c15="http://schemas.microsoft.com/office/drawing/2012/chart" uri="{02D57815-91ED-43cb-92C2-25804820EDAC}">
            <c15:filteredBarSeries>
              <c15:ser>
                <c:idx val="0"/>
                <c:order val="0"/>
                <c:tx>
                  <c:strRef>
                    <c:extLst>
                      <c:ext uri="{02D57815-91ED-43cb-92C2-25804820EDAC}">
                        <c15:formulaRef>
                          <c15:sqref>Results!$K$10</c15:sqref>
                        </c15:formulaRef>
                      </c:ext>
                    </c:extLst>
                    <c:strCache>
                      <c:ptCount val="1"/>
                      <c:pt idx="0">
                        <c:v>Unit</c:v>
                      </c:pt>
                    </c:strCache>
                  </c:strRef>
                </c:tx>
                <c:spPr>
                  <a:solidFill>
                    <a:schemeClr val="accent1"/>
                  </a:solidFill>
                  <a:ln>
                    <a:noFill/>
                  </a:ln>
                  <a:effectLst/>
                </c:spPr>
                <c:invertIfNegative val="0"/>
                <c:cat>
                  <c:strRef>
                    <c:extLst>
                      <c:ext uri="{02D57815-91ED-43cb-92C2-25804820EDAC}">
                        <c15:formulaRef>
                          <c15:sqref>Results!$J$11:$J$15</c15:sqref>
                        </c15:formulaRef>
                      </c:ext>
                    </c:extLst>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extLst>
                      <c:ext uri="{02D57815-91ED-43cb-92C2-25804820EDAC}">
                        <c15:formulaRef>
                          <c15:sqref>Results!$K$11:$K$15</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F219-42A0-9EAA-813013925725}"/>
                  </c:ext>
                </c:extLst>
              </c15:ser>
            </c15:filteredBarSeries>
          </c:ext>
        </c:extLst>
      </c:barChart>
      <c:catAx>
        <c:axId val="363584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192056"/>
        <c:crosses val="autoZero"/>
        <c:auto val="1"/>
        <c:lblAlgn val="ctr"/>
        <c:lblOffset val="100"/>
        <c:noMultiLvlLbl val="0"/>
      </c:catAx>
      <c:valAx>
        <c:axId val="609192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AU"/>
              </a:p>
              <a:p>
                <a:pPr>
                  <a:defRPr/>
                </a:pPr>
                <a:r>
                  <a:rPr lang="en-AU"/>
                  <a:t> $/kgCO2e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3584920"/>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Results!$K$47</c:f>
              <c:strCache>
                <c:ptCount val="1"/>
                <c:pt idx="0">
                  <c:v>Unit</c:v>
                </c:pt>
              </c:strCache>
            </c:strRef>
          </c:tx>
          <c:spPr>
            <a:solidFill>
              <a:schemeClr val="accent1"/>
            </a:solidFill>
            <a:ln>
              <a:noFill/>
            </a:ln>
            <a:effectLst/>
          </c:spPr>
          <c:invertIfNegative val="0"/>
          <c:cat>
            <c:strRef>
              <c:f>Results!$J$48:$J$52</c:f>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f>Results!$K$48:$K$52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80B-477E-BC3A-788B6497D5C4}"/>
            </c:ext>
          </c:extLst>
        </c:ser>
        <c:ser>
          <c:idx val="1"/>
          <c:order val="1"/>
          <c:tx>
            <c:strRef>
              <c:f>Results!$L$47</c:f>
              <c:strCache>
                <c:ptCount val="1"/>
                <c:pt idx="0">
                  <c:v>MAC</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Results!$J$48:$J$52</c:f>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f>Results!$L$48:$L$52</c:f>
              <c:numCache>
                <c:formatCode>_(* #,##0.00_);_(* \(#,##0.00\);_(* "-"??_);_(@_)</c:formatCode>
                <c:ptCount val="5"/>
                <c:pt idx="0">
                  <c:v>2.2988099517527729</c:v>
                </c:pt>
                <c:pt idx="1">
                  <c:v>-40.627879105797334</c:v>
                </c:pt>
                <c:pt idx="2">
                  <c:v>-0.5232886997574705</c:v>
                </c:pt>
                <c:pt idx="3">
                  <c:v>-0.53089301929864752</c:v>
                </c:pt>
                <c:pt idx="4">
                  <c:v>-0.40350619875711008</c:v>
                </c:pt>
              </c:numCache>
            </c:numRef>
          </c:val>
          <c:extLst>
            <c:ext xmlns:c16="http://schemas.microsoft.com/office/drawing/2014/chart" uri="{C3380CC4-5D6E-409C-BE32-E72D297353CC}">
              <c16:uniqueId val="{00000001-B80B-477E-BC3A-788B6497D5C4}"/>
            </c:ext>
          </c:extLst>
        </c:ser>
        <c:dLbls>
          <c:showLegendKey val="0"/>
          <c:showVal val="0"/>
          <c:showCatName val="0"/>
          <c:showSerName val="0"/>
          <c:showPercent val="0"/>
          <c:showBubbleSize val="0"/>
        </c:dLbls>
        <c:gapWidth val="219"/>
        <c:overlap val="-27"/>
        <c:axId val="592618376"/>
        <c:axId val="592617656"/>
      </c:barChart>
      <c:catAx>
        <c:axId val="592618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617656"/>
        <c:crosses val="autoZero"/>
        <c:auto val="1"/>
        <c:lblAlgn val="ctr"/>
        <c:lblOffset val="100"/>
        <c:noMultiLvlLbl val="0"/>
      </c:catAx>
      <c:valAx>
        <c:axId val="592617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618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Results!$F$28</c:f>
              <c:strCache>
                <c:ptCount val="1"/>
                <c:pt idx="0">
                  <c:v>TCO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Results!$B$29:$E$38</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Results!$F$29:$F$38</c:f>
              <c:numCache>
                <c:formatCode>0.00</c:formatCode>
                <c:ptCount val="10"/>
                <c:pt idx="0">
                  <c:v>2.6464591800502228</c:v>
                </c:pt>
                <c:pt idx="1">
                  <c:v>5.0923334812800594</c:v>
                </c:pt>
                <c:pt idx="2">
                  <c:v>3.6273570677146982</c:v>
                </c:pt>
                <c:pt idx="3">
                  <c:v>1.5102529858047551</c:v>
                </c:pt>
                <c:pt idx="4">
                  <c:v>1.5651192789906694</c:v>
                </c:pt>
                <c:pt idx="5">
                  <c:v>1.4364619753052057</c:v>
                </c:pt>
                <c:pt idx="6">
                  <c:v>1.4168478463971743</c:v>
                </c:pt>
                <c:pt idx="7">
                  <c:v>1.7881606736667173</c:v>
                </c:pt>
                <c:pt idx="8">
                  <c:v>1.6787643402851398</c:v>
                </c:pt>
                <c:pt idx="9">
                  <c:v>1.6506483740093914</c:v>
                </c:pt>
              </c:numCache>
            </c:numRef>
          </c:val>
          <c:extLst>
            <c:ext xmlns:c16="http://schemas.microsoft.com/office/drawing/2014/chart" uri="{C3380CC4-5D6E-409C-BE32-E72D297353CC}">
              <c16:uniqueId val="{00000000-B977-4324-89C4-F5DACA9614A0}"/>
            </c:ext>
          </c:extLst>
        </c:ser>
        <c:ser>
          <c:idx val="1"/>
          <c:order val="1"/>
          <c:tx>
            <c:strRef>
              <c:f>Results!$G$28</c:f>
              <c:strCache>
                <c:ptCount val="1"/>
                <c:pt idx="0">
                  <c:v>TCO Inc. Emissions</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Results!$B$29:$E$38</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Results!$G$29:$G$38</c:f>
              <c:numCache>
                <c:formatCode>_(* #,##0.00_);_(* \(#,##0.00\);_(* "-"??_);_(@_)</c:formatCode>
                <c:ptCount val="10"/>
                <c:pt idx="0">
                  <c:v>7.0282470345810744</c:v>
                </c:pt>
                <c:pt idx="1">
                  <c:v>9.8849097853391186</c:v>
                </c:pt>
                <c:pt idx="2">
                  <c:v>8.5537896902051092</c:v>
                </c:pt>
                <c:pt idx="3" formatCode="0.00">
                  <c:v>-3.4499294090488934</c:v>
                </c:pt>
                <c:pt idx="4">
                  <c:v>6.5875164804568431</c:v>
                </c:pt>
                <c:pt idx="5">
                  <c:v>-3.5125449257608308</c:v>
                </c:pt>
                <c:pt idx="6" formatCode="0.00">
                  <c:v>1.5475695244334107</c:v>
                </c:pt>
                <c:pt idx="7">
                  <c:v>6.783763840194367</c:v>
                </c:pt>
                <c:pt idx="8">
                  <c:v>-3.2989926723963556</c:v>
                </c:pt>
                <c:pt idx="9">
                  <c:v>1.7450187381340596</c:v>
                </c:pt>
              </c:numCache>
            </c:numRef>
          </c:val>
          <c:extLst>
            <c:ext xmlns:c16="http://schemas.microsoft.com/office/drawing/2014/chart" uri="{C3380CC4-5D6E-409C-BE32-E72D297353CC}">
              <c16:uniqueId val="{00000001-B977-4324-89C4-F5DACA9614A0}"/>
            </c:ext>
          </c:extLst>
        </c:ser>
        <c:dLbls>
          <c:showLegendKey val="0"/>
          <c:showVal val="0"/>
          <c:showCatName val="0"/>
          <c:showSerName val="0"/>
          <c:showPercent val="0"/>
          <c:showBubbleSize val="0"/>
        </c:dLbls>
        <c:gapWidth val="150"/>
        <c:axId val="925944768"/>
        <c:axId val="925935048"/>
      </c:barChart>
      <c:catAx>
        <c:axId val="925944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35048"/>
        <c:crosses val="autoZero"/>
        <c:auto val="1"/>
        <c:lblAlgn val="ctr"/>
        <c:lblOffset val="100"/>
        <c:noMultiLvlLbl val="0"/>
      </c:catAx>
      <c:valAx>
        <c:axId val="925935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4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Results!$F$47</c:f>
              <c:strCache>
                <c:ptCount val="1"/>
                <c:pt idx="0">
                  <c:v>TCO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Results!$B$48:$E$57</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Results!$F$48:$F$57</c:f>
              <c:numCache>
                <c:formatCode>0.00</c:formatCode>
                <c:ptCount val="10"/>
                <c:pt idx="0">
                  <c:v>3.5967722341335588</c:v>
                </c:pt>
                <c:pt idx="1">
                  <c:v>6.8647528602285375</c:v>
                </c:pt>
                <c:pt idx="2">
                  <c:v>3.4592568565254895</c:v>
                </c:pt>
                <c:pt idx="3">
                  <c:v>1.3113526071209884</c:v>
                </c:pt>
                <c:pt idx="4">
                  <c:v>1.9202596150590976</c:v>
                </c:pt>
                <c:pt idx="5">
                  <c:v>1.2781413775692403</c:v>
                </c:pt>
                <c:pt idx="6">
                  <c:v>1.2702848662723201</c:v>
                </c:pt>
                <c:pt idx="7">
                  <c:v>2.0939602675166786</c:v>
                </c:pt>
                <c:pt idx="8">
                  <c:v>1.7757465899846316</c:v>
                </c:pt>
                <c:pt idx="9">
                  <c:v>1.75813311373839</c:v>
                </c:pt>
              </c:numCache>
            </c:numRef>
          </c:val>
          <c:extLst>
            <c:ext xmlns:c16="http://schemas.microsoft.com/office/drawing/2014/chart" uri="{C3380CC4-5D6E-409C-BE32-E72D297353CC}">
              <c16:uniqueId val="{00000000-6438-407A-BB84-AA101FFABB28}"/>
            </c:ext>
          </c:extLst>
        </c:ser>
        <c:ser>
          <c:idx val="1"/>
          <c:order val="1"/>
          <c:tx>
            <c:strRef>
              <c:f>Results!$G$47</c:f>
              <c:strCache>
                <c:ptCount val="1"/>
                <c:pt idx="0">
                  <c:v>TCO Inc. Emissions</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Results!$B$48:$E$57</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Results!$G$48:$G$57</c:f>
              <c:numCache>
                <c:formatCode>_(* #,##0.00_);_(* \(#,##0.00\);_(* "-"??_);_(@_)</c:formatCode>
                <c:ptCount val="10"/>
                <c:pt idx="0">
                  <c:v>6.5898747034966441</c:v>
                </c:pt>
                <c:pt idx="1">
                  <c:v>10.108225309193534</c:v>
                </c:pt>
                <c:pt idx="2">
                  <c:v>6.8152011773395031</c:v>
                </c:pt>
                <c:pt idx="3" formatCode="0.00">
                  <c:v>-2.0702865293263208</c:v>
                </c:pt>
                <c:pt idx="4">
                  <c:v>5.3462377425327556</c:v>
                </c:pt>
                <c:pt idx="5">
                  <c:v>-2.0973467038432614</c:v>
                </c:pt>
                <c:pt idx="6" formatCode="0.00">
                  <c:v>1.3484833605375708</c:v>
                </c:pt>
                <c:pt idx="7">
                  <c:v>5.5003274026029683</c:v>
                </c:pt>
                <c:pt idx="8">
                  <c:v>-1.6208051604862734</c:v>
                </c:pt>
                <c:pt idx="9">
                  <c:v>1.8108694915874983</c:v>
                </c:pt>
              </c:numCache>
            </c:numRef>
          </c:val>
          <c:extLst>
            <c:ext xmlns:c16="http://schemas.microsoft.com/office/drawing/2014/chart" uri="{C3380CC4-5D6E-409C-BE32-E72D297353CC}">
              <c16:uniqueId val="{00000001-6438-407A-BB84-AA101FFABB28}"/>
            </c:ext>
          </c:extLst>
        </c:ser>
        <c:dLbls>
          <c:showLegendKey val="0"/>
          <c:showVal val="0"/>
          <c:showCatName val="0"/>
          <c:showSerName val="0"/>
          <c:showPercent val="0"/>
          <c:showBubbleSize val="0"/>
        </c:dLbls>
        <c:gapWidth val="150"/>
        <c:axId val="925944768"/>
        <c:axId val="925935048"/>
      </c:barChart>
      <c:catAx>
        <c:axId val="925944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35048"/>
        <c:crosses val="autoZero"/>
        <c:auto val="1"/>
        <c:lblAlgn val="ctr"/>
        <c:lblOffset val="100"/>
        <c:noMultiLvlLbl val="0"/>
      </c:catAx>
      <c:valAx>
        <c:axId val="925935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4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Diesel</a:t>
            </a:r>
            <a:r>
              <a:rPr lang="en-AU" baseline="0"/>
              <a:t> (BAU)</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Sensitivity!$F$66</c:f>
              <c:strCache>
                <c:ptCount val="1"/>
                <c:pt idx="0">
                  <c:v>TCO excl. emissions change: Fuel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Sensitivity!$C$67:$C$75</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Sensitivity!$F$67:$F$75</c:f>
              <c:numCache>
                <c:formatCode>0.0%</c:formatCode>
                <c:ptCount val="9"/>
                <c:pt idx="0">
                  <c:v>-8.8249764677914566E-2</c:v>
                </c:pt>
                <c:pt idx="1">
                  <c:v>-6.6187323508436036E-2</c:v>
                </c:pt>
                <c:pt idx="2">
                  <c:v>-4.4124882338957172E-2</c:v>
                </c:pt>
                <c:pt idx="3">
                  <c:v>-2.2062441169478419E-2</c:v>
                </c:pt>
                <c:pt idx="4">
                  <c:v>0</c:v>
                </c:pt>
                <c:pt idx="5">
                  <c:v>2.2062441169479197E-2</c:v>
                </c:pt>
                <c:pt idx="6">
                  <c:v>4.4124882338957505E-2</c:v>
                </c:pt>
                <c:pt idx="7">
                  <c:v>6.6187323508436258E-2</c:v>
                </c:pt>
                <c:pt idx="8">
                  <c:v>8.8249764677914788E-2</c:v>
                </c:pt>
              </c:numCache>
            </c:numRef>
          </c:yVal>
          <c:smooth val="0"/>
          <c:extLst>
            <c:ext xmlns:c16="http://schemas.microsoft.com/office/drawing/2014/chart" uri="{C3380CC4-5D6E-409C-BE32-E72D297353CC}">
              <c16:uniqueId val="{00000000-D288-49C3-8627-B66B76C1DB17}"/>
            </c:ext>
          </c:extLst>
        </c:ser>
        <c:ser>
          <c:idx val="1"/>
          <c:order val="1"/>
          <c:tx>
            <c:strRef>
              <c:f>Sensitivity!$M$66</c:f>
              <c:strCache>
                <c:ptCount val="1"/>
                <c:pt idx="0">
                  <c:v>TCO excl.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Sensitivity!$C$67:$C$75</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Sensitivity!$M$67:$M$75</c:f>
              <c:numCache>
                <c:formatCode>0.0%</c:formatCode>
                <c:ptCount val="9"/>
                <c:pt idx="0">
                  <c:v>-2.1005480106901397E-2</c:v>
                </c:pt>
                <c:pt idx="1">
                  <c:v>-1.5754110080175909E-2</c:v>
                </c:pt>
                <c:pt idx="2">
                  <c:v>-1.0502740053450421E-2</c:v>
                </c:pt>
                <c:pt idx="3">
                  <c:v>-5.251370026724933E-3</c:v>
                </c:pt>
                <c:pt idx="4">
                  <c:v>0</c:v>
                </c:pt>
                <c:pt idx="5">
                  <c:v>5.2513700267255992E-3</c:v>
                </c:pt>
                <c:pt idx="6">
                  <c:v>1.0502740053450976E-2</c:v>
                </c:pt>
                <c:pt idx="7">
                  <c:v>1.5754110080176131E-2</c:v>
                </c:pt>
                <c:pt idx="8">
                  <c:v>2.1005480106901731E-2</c:v>
                </c:pt>
              </c:numCache>
            </c:numRef>
          </c:yVal>
          <c:smooth val="0"/>
          <c:extLst>
            <c:ext xmlns:c16="http://schemas.microsoft.com/office/drawing/2014/chart" uri="{C3380CC4-5D6E-409C-BE32-E72D297353CC}">
              <c16:uniqueId val="{00000001-D288-49C3-8627-B66B76C1DB17}"/>
            </c:ext>
          </c:extLst>
        </c:ser>
        <c:dLbls>
          <c:showLegendKey val="0"/>
          <c:showVal val="0"/>
          <c:showCatName val="0"/>
          <c:showSerName val="0"/>
          <c:showPercent val="0"/>
          <c:showBubbleSize val="0"/>
        </c:dLbls>
        <c:axId val="1053859296"/>
        <c:axId val="1053855696"/>
      </c:scatterChart>
      <c:valAx>
        <c:axId val="10538592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855696"/>
        <c:crosses val="autoZero"/>
        <c:crossBetween val="midCat"/>
      </c:valAx>
      <c:valAx>
        <c:axId val="1053855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859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H2 Blending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Sensitivity!$F$91</c:f>
              <c:strCache>
                <c:ptCount val="1"/>
                <c:pt idx="0">
                  <c:v>TCO excl. emissions change: Fuel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Sensitivity!$C$92:$C$100</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Sensitivity!$F$92:$F$100</c:f>
              <c:numCache>
                <c:formatCode>0.0%</c:formatCode>
                <c:ptCount val="9"/>
                <c:pt idx="0">
                  <c:v>-9.3259469464646805E-2</c:v>
                </c:pt>
                <c:pt idx="1">
                  <c:v>-6.9944602098484965E-2</c:v>
                </c:pt>
                <c:pt idx="2">
                  <c:v>-4.6629734732323347E-2</c:v>
                </c:pt>
                <c:pt idx="3">
                  <c:v>-2.3314867366161507E-2</c:v>
                </c:pt>
                <c:pt idx="4">
                  <c:v>0</c:v>
                </c:pt>
                <c:pt idx="5">
                  <c:v>2.3314867366162062E-2</c:v>
                </c:pt>
                <c:pt idx="6">
                  <c:v>4.662973473232368E-2</c:v>
                </c:pt>
                <c:pt idx="7">
                  <c:v>6.9944602098485298E-2</c:v>
                </c:pt>
                <c:pt idx="8">
                  <c:v>9.3259469464646694E-2</c:v>
                </c:pt>
              </c:numCache>
            </c:numRef>
          </c:yVal>
          <c:smooth val="0"/>
          <c:extLst>
            <c:ext xmlns:c16="http://schemas.microsoft.com/office/drawing/2014/chart" uri="{C3380CC4-5D6E-409C-BE32-E72D297353CC}">
              <c16:uniqueId val="{00000000-6E69-47ED-8FBD-0DF214AF184F}"/>
            </c:ext>
          </c:extLst>
        </c:ser>
        <c:ser>
          <c:idx val="1"/>
          <c:order val="1"/>
          <c:tx>
            <c:strRef>
              <c:f>Sensitivity!$M$91</c:f>
              <c:strCache>
                <c:ptCount val="1"/>
                <c:pt idx="0">
                  <c:v>TCO excl.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Sensitivity!$C$92:$C$100</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Sensitivity!$M$92:$M$100</c:f>
              <c:numCache>
                <c:formatCode>0.0%</c:formatCode>
                <c:ptCount val="9"/>
                <c:pt idx="0">
                  <c:v>-2.1107464406288079E-3</c:v>
                </c:pt>
                <c:pt idx="1">
                  <c:v>-1.5830598304714671E-3</c:v>
                </c:pt>
                <c:pt idx="2">
                  <c:v>-1.0553732203142374E-3</c:v>
                </c:pt>
                <c:pt idx="3">
                  <c:v>-5.2768661015722973E-4</c:v>
                </c:pt>
                <c:pt idx="4">
                  <c:v>0</c:v>
                </c:pt>
                <c:pt idx="5">
                  <c:v>5.276866101575628E-4</c:v>
                </c:pt>
                <c:pt idx="6">
                  <c:v>1.0553732203146815E-3</c:v>
                </c:pt>
                <c:pt idx="7">
                  <c:v>1.5830598304718002E-3</c:v>
                </c:pt>
                <c:pt idx="8">
                  <c:v>2.110746440629141E-3</c:v>
                </c:pt>
              </c:numCache>
            </c:numRef>
          </c:yVal>
          <c:smooth val="0"/>
          <c:extLst>
            <c:ext xmlns:c16="http://schemas.microsoft.com/office/drawing/2014/chart" uri="{C3380CC4-5D6E-409C-BE32-E72D297353CC}">
              <c16:uniqueId val="{00000001-6E69-47ED-8FBD-0DF214AF184F}"/>
            </c:ext>
          </c:extLst>
        </c:ser>
        <c:dLbls>
          <c:showLegendKey val="0"/>
          <c:showVal val="0"/>
          <c:showCatName val="0"/>
          <c:showSerName val="0"/>
          <c:showPercent val="0"/>
          <c:showBubbleSize val="0"/>
        </c:dLbls>
        <c:axId val="1058397760"/>
        <c:axId val="1058397040"/>
      </c:scatterChart>
      <c:valAx>
        <c:axId val="1058397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397040"/>
        <c:crosses val="autoZero"/>
        <c:crossBetween val="midCat"/>
      </c:valAx>
      <c:valAx>
        <c:axId val="1058397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3977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 Diesel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Sensitivity!$F$78</c:f>
              <c:strCache>
                <c:ptCount val="1"/>
                <c:pt idx="0">
                  <c:v>TCO excl. emissions change: Fuel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Sensitivity!$C$79:$C$87</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Sensitivity!$F$79:$F$87</c:f>
              <c:numCache>
                <c:formatCode>0.0%</c:formatCode>
                <c:ptCount val="9"/>
                <c:pt idx="0">
                  <c:v>-0.14314193979976797</c:v>
                </c:pt>
                <c:pt idx="1">
                  <c:v>-0.10735645484982614</c:v>
                </c:pt>
                <c:pt idx="2">
                  <c:v>-7.1570969899883874E-2</c:v>
                </c:pt>
                <c:pt idx="3">
                  <c:v>-3.5785484949941937E-2</c:v>
                </c:pt>
                <c:pt idx="4">
                  <c:v>0</c:v>
                </c:pt>
                <c:pt idx="5">
                  <c:v>3.5785484949941937E-2</c:v>
                </c:pt>
                <c:pt idx="6">
                  <c:v>7.1570969899884096E-2</c:v>
                </c:pt>
                <c:pt idx="7">
                  <c:v>0.10735645484982581</c:v>
                </c:pt>
                <c:pt idx="8">
                  <c:v>0.14314193979976775</c:v>
                </c:pt>
              </c:numCache>
            </c:numRef>
          </c:yVal>
          <c:smooth val="0"/>
          <c:extLst>
            <c:ext xmlns:c16="http://schemas.microsoft.com/office/drawing/2014/chart" uri="{C3380CC4-5D6E-409C-BE32-E72D297353CC}">
              <c16:uniqueId val="{00000000-E280-48AE-8FEB-89393A83BCA8}"/>
            </c:ext>
          </c:extLst>
        </c:ser>
        <c:ser>
          <c:idx val="1"/>
          <c:order val="1"/>
          <c:tx>
            <c:strRef>
              <c:f>Sensitivity!$M$78</c:f>
              <c:strCache>
                <c:ptCount val="1"/>
                <c:pt idx="0">
                  <c:v>TCO excl.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Sensitivity!$C$79:$C$87</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Sensitivity!$M$79:$M$87</c:f>
              <c:numCache>
                <c:formatCode>0.0%</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1-E280-48AE-8FEB-89393A83BCA8}"/>
            </c:ext>
          </c:extLst>
        </c:ser>
        <c:dLbls>
          <c:showLegendKey val="0"/>
          <c:showVal val="0"/>
          <c:showCatName val="0"/>
          <c:showSerName val="0"/>
          <c:showPercent val="0"/>
          <c:showBubbleSize val="0"/>
        </c:dLbls>
        <c:axId val="1017693688"/>
        <c:axId val="1017696568"/>
      </c:scatterChart>
      <c:valAx>
        <c:axId val="10176936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696568"/>
        <c:crosses val="autoZero"/>
        <c:crossBetween val="midCat"/>
      </c:valAx>
      <c:valAx>
        <c:axId val="1017696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6936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Repowered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Sensitivity!$AG$66</c:f>
              <c:strCache>
                <c:ptCount val="1"/>
                <c:pt idx="0">
                  <c:v>TCO excl. emissions change: Energy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Sensitivity!$AD$67:$AD$75</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Sensitivity!$AG$67:$AG$75</c:f>
              <c:numCache>
                <c:formatCode>0.0%</c:formatCode>
                <c:ptCount val="9"/>
                <c:pt idx="0">
                  <c:v>-2.3104253527028051E-2</c:v>
                </c:pt>
                <c:pt idx="1">
                  <c:v>-1.7328190145270872E-2</c:v>
                </c:pt>
                <c:pt idx="2">
                  <c:v>-1.1552126763514026E-2</c:v>
                </c:pt>
                <c:pt idx="3">
                  <c:v>-5.7760633817571794E-3</c:v>
                </c:pt>
                <c:pt idx="4">
                  <c:v>0</c:v>
                </c:pt>
                <c:pt idx="5">
                  <c:v>5.7760633817567353E-3</c:v>
                </c:pt>
                <c:pt idx="6">
                  <c:v>1.1552126763513915E-2</c:v>
                </c:pt>
                <c:pt idx="7">
                  <c:v>1.7328190145270872E-2</c:v>
                </c:pt>
                <c:pt idx="8">
                  <c:v>2.3104253527027829E-2</c:v>
                </c:pt>
              </c:numCache>
            </c:numRef>
          </c:yVal>
          <c:smooth val="0"/>
          <c:extLst>
            <c:ext xmlns:c16="http://schemas.microsoft.com/office/drawing/2014/chart" uri="{C3380CC4-5D6E-409C-BE32-E72D297353CC}">
              <c16:uniqueId val="{00000000-2266-45A8-814D-1359484EB373}"/>
            </c:ext>
          </c:extLst>
        </c:ser>
        <c:ser>
          <c:idx val="1"/>
          <c:order val="1"/>
          <c:tx>
            <c:strRef>
              <c:f>Sensitivity!$AN$66</c:f>
              <c:strCache>
                <c:ptCount val="1"/>
                <c:pt idx="0">
                  <c:v>TCO excl.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Sensitivity!$AD$67:$AD$75</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Sensitivity!$AN$67:$AN$75</c:f>
              <c:numCache>
                <c:formatCode>0.0%</c:formatCode>
                <c:ptCount val="9"/>
                <c:pt idx="0">
                  <c:v>-7.7525829207816144E-2</c:v>
                </c:pt>
                <c:pt idx="1">
                  <c:v>-5.8144371905861969E-2</c:v>
                </c:pt>
                <c:pt idx="2">
                  <c:v>-3.8762914603908238E-2</c:v>
                </c:pt>
                <c:pt idx="3">
                  <c:v>-1.9381457301954064E-2</c:v>
                </c:pt>
                <c:pt idx="4">
                  <c:v>0</c:v>
                </c:pt>
                <c:pt idx="5">
                  <c:v>1.9381457301953953E-2</c:v>
                </c:pt>
                <c:pt idx="6">
                  <c:v>3.8762914603908127E-2</c:v>
                </c:pt>
                <c:pt idx="7">
                  <c:v>5.8144371905861858E-2</c:v>
                </c:pt>
                <c:pt idx="8">
                  <c:v>7.7525829207816033E-2</c:v>
                </c:pt>
              </c:numCache>
            </c:numRef>
          </c:yVal>
          <c:smooth val="0"/>
          <c:extLst>
            <c:ext xmlns:c16="http://schemas.microsoft.com/office/drawing/2014/chart" uri="{C3380CC4-5D6E-409C-BE32-E72D297353CC}">
              <c16:uniqueId val="{00000001-2266-45A8-814D-1359484EB373}"/>
            </c:ext>
          </c:extLst>
        </c:ser>
        <c:dLbls>
          <c:showLegendKey val="0"/>
          <c:showVal val="0"/>
          <c:showCatName val="0"/>
          <c:showSerName val="0"/>
          <c:showPercent val="0"/>
          <c:showBubbleSize val="0"/>
        </c:dLbls>
        <c:axId val="1032735880"/>
        <c:axId val="1032729400"/>
      </c:scatterChart>
      <c:valAx>
        <c:axId val="10327358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2729400"/>
        <c:crosses val="autoZero"/>
        <c:crossBetween val="midCat"/>
      </c:valAx>
      <c:valAx>
        <c:axId val="1032729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27358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HFCB (TCO 2)</a:t>
            </a:r>
          </a:p>
        </c:rich>
      </c:tx>
      <c:layout>
        <c:manualLayout>
          <c:xMode val="edge"/>
          <c:yMode val="edge"/>
          <c:x val="0.41504855643044625"/>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Sensitivity!$AG$91</c:f>
              <c:strCache>
                <c:ptCount val="1"/>
                <c:pt idx="0">
                  <c:v>TCO excl. emissions change: Energy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Sensitivity!$AD$92:$AD$100</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Sensitivity!$AG$92:$AG$100</c:f>
              <c:numCache>
                <c:formatCode>0.0%</c:formatCode>
                <c:ptCount val="9"/>
                <c:pt idx="0">
                  <c:v>-9.6121826176657321E-2</c:v>
                </c:pt>
                <c:pt idx="1">
                  <c:v>-7.2091369632492963E-2</c:v>
                </c:pt>
                <c:pt idx="2">
                  <c:v>-4.8060913088328383E-2</c:v>
                </c:pt>
                <c:pt idx="3">
                  <c:v>-2.4030456544164247E-2</c:v>
                </c:pt>
                <c:pt idx="4">
                  <c:v>0</c:v>
                </c:pt>
                <c:pt idx="5">
                  <c:v>2.4030456544164691E-2</c:v>
                </c:pt>
                <c:pt idx="6">
                  <c:v>4.8060913088329382E-2</c:v>
                </c:pt>
                <c:pt idx="7">
                  <c:v>7.2091369632493629E-2</c:v>
                </c:pt>
                <c:pt idx="8">
                  <c:v>9.6121826176658098E-2</c:v>
                </c:pt>
              </c:numCache>
            </c:numRef>
          </c:yVal>
          <c:smooth val="0"/>
          <c:extLst>
            <c:ext xmlns:c16="http://schemas.microsoft.com/office/drawing/2014/chart" uri="{C3380CC4-5D6E-409C-BE32-E72D297353CC}">
              <c16:uniqueId val="{00000000-0DEE-4357-B3B7-A7813D7C93E0}"/>
            </c:ext>
          </c:extLst>
        </c:ser>
        <c:ser>
          <c:idx val="1"/>
          <c:order val="1"/>
          <c:tx>
            <c:strRef>
              <c:f>Sensitivity!$AN$91</c:f>
              <c:strCache>
                <c:ptCount val="1"/>
                <c:pt idx="0">
                  <c:v>TCO excl.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Sensitivity!$AD$92:$AD$100</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Sensitivity!$AN$92:$AN$100</c:f>
              <c:numCache>
                <c:formatCode>0.0%</c:formatCode>
                <c:ptCount val="9"/>
                <c:pt idx="0">
                  <c:v>-5.5233268383664047E-2</c:v>
                </c:pt>
                <c:pt idx="1">
                  <c:v>-4.1424951287748035E-2</c:v>
                </c:pt>
                <c:pt idx="2">
                  <c:v>-2.761663419183169E-2</c:v>
                </c:pt>
                <c:pt idx="3">
                  <c:v>-1.380831709591579E-2</c:v>
                </c:pt>
                <c:pt idx="4">
                  <c:v>0</c:v>
                </c:pt>
                <c:pt idx="5">
                  <c:v>1.3808317095916678E-2</c:v>
                </c:pt>
                <c:pt idx="6">
                  <c:v>2.7616634191832468E-2</c:v>
                </c:pt>
                <c:pt idx="7">
                  <c:v>4.1424951287748923E-2</c:v>
                </c:pt>
                <c:pt idx="8">
                  <c:v>5.5233268383664713E-2</c:v>
                </c:pt>
              </c:numCache>
            </c:numRef>
          </c:yVal>
          <c:smooth val="0"/>
          <c:extLst>
            <c:ext xmlns:c16="http://schemas.microsoft.com/office/drawing/2014/chart" uri="{C3380CC4-5D6E-409C-BE32-E72D297353CC}">
              <c16:uniqueId val="{00000001-0DEE-4357-B3B7-A7813D7C93E0}"/>
            </c:ext>
          </c:extLst>
        </c:ser>
        <c:dLbls>
          <c:showLegendKey val="0"/>
          <c:showVal val="0"/>
          <c:showCatName val="0"/>
          <c:showSerName val="0"/>
          <c:showPercent val="0"/>
          <c:showBubbleSize val="0"/>
        </c:dLbls>
        <c:axId val="434201679"/>
        <c:axId val="434208519"/>
      </c:scatterChart>
      <c:valAx>
        <c:axId val="4342016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208519"/>
        <c:crosses val="autoZero"/>
        <c:crossBetween val="midCat"/>
      </c:valAx>
      <c:valAx>
        <c:axId val="4342085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201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BEB (TCO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Sensitivity!$AG$78</c:f>
              <c:strCache>
                <c:ptCount val="1"/>
                <c:pt idx="0">
                  <c:v>TCO excl. emissions change: Energy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Sensitivity!$AD$79:$AD$87</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Sensitivity!$AG$79:$AG$87</c:f>
              <c:numCache>
                <c:formatCode>0.0%</c:formatCode>
                <c:ptCount val="9"/>
                <c:pt idx="0">
                  <c:v>-2.2014265970824898E-2</c:v>
                </c:pt>
                <c:pt idx="1">
                  <c:v>-1.6510699478118451E-2</c:v>
                </c:pt>
                <c:pt idx="2">
                  <c:v>-1.1007132985412449E-2</c:v>
                </c:pt>
                <c:pt idx="3">
                  <c:v>-5.5035664927062244E-3</c:v>
                </c:pt>
                <c:pt idx="4">
                  <c:v>0</c:v>
                </c:pt>
                <c:pt idx="5">
                  <c:v>5.5035664927061134E-3</c:v>
                </c:pt>
                <c:pt idx="6">
                  <c:v>1.1007132985412227E-2</c:v>
                </c:pt>
                <c:pt idx="7">
                  <c:v>1.651069947811834E-2</c:v>
                </c:pt>
                <c:pt idx="8">
                  <c:v>2.2014265970824676E-2</c:v>
                </c:pt>
              </c:numCache>
            </c:numRef>
          </c:yVal>
          <c:smooth val="0"/>
          <c:extLst>
            <c:ext xmlns:c16="http://schemas.microsoft.com/office/drawing/2014/chart" uri="{C3380CC4-5D6E-409C-BE32-E72D297353CC}">
              <c16:uniqueId val="{00000000-B25C-4A05-A9F9-1470C2084A3F}"/>
            </c:ext>
          </c:extLst>
        </c:ser>
        <c:ser>
          <c:idx val="1"/>
          <c:order val="1"/>
          <c:tx>
            <c:strRef>
              <c:f>Sensitivity!$AN$78</c:f>
              <c:strCache>
                <c:ptCount val="1"/>
                <c:pt idx="0">
                  <c:v>TCO excl.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Sensitivity!$AD$79:$AD$87</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Sensitivity!$AN$79:$AN$87</c:f>
              <c:numCache>
                <c:formatCode>0.0%</c:formatCode>
                <c:ptCount val="9"/>
                <c:pt idx="0">
                  <c:v>-7.1495885796313496E-2</c:v>
                </c:pt>
                <c:pt idx="1">
                  <c:v>-5.3621914347235067E-2</c:v>
                </c:pt>
                <c:pt idx="2">
                  <c:v>-3.574794289815697E-2</c:v>
                </c:pt>
                <c:pt idx="3">
                  <c:v>-1.787397144907843E-2</c:v>
                </c:pt>
                <c:pt idx="4">
                  <c:v>0</c:v>
                </c:pt>
                <c:pt idx="5">
                  <c:v>1.7873971449078097E-2</c:v>
                </c:pt>
                <c:pt idx="6">
                  <c:v>3.5747942898156859E-2</c:v>
                </c:pt>
                <c:pt idx="7">
                  <c:v>5.3621914347235178E-2</c:v>
                </c:pt>
                <c:pt idx="8">
                  <c:v>7.149588579631394E-2</c:v>
                </c:pt>
              </c:numCache>
            </c:numRef>
          </c:yVal>
          <c:smooth val="0"/>
          <c:extLst>
            <c:ext xmlns:c16="http://schemas.microsoft.com/office/drawing/2014/chart" uri="{C3380CC4-5D6E-409C-BE32-E72D297353CC}">
              <c16:uniqueId val="{00000001-B25C-4A05-A9F9-1470C2084A3F}"/>
            </c:ext>
          </c:extLst>
        </c:ser>
        <c:dLbls>
          <c:showLegendKey val="0"/>
          <c:showVal val="0"/>
          <c:showCatName val="0"/>
          <c:showSerName val="0"/>
          <c:showPercent val="0"/>
          <c:showBubbleSize val="0"/>
        </c:dLbls>
        <c:axId val="434217519"/>
        <c:axId val="434213559"/>
      </c:scatterChart>
      <c:valAx>
        <c:axId val="43421751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213559"/>
        <c:crosses val="autoZero"/>
        <c:crossBetween val="midCat"/>
      </c:valAx>
      <c:valAx>
        <c:axId val="4342135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21751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Sensitivity!$H$11</c:f>
              <c:strCache>
                <c:ptCount val="1"/>
                <c:pt idx="0">
                  <c:v>Capex</c:v>
                </c:pt>
              </c:strCache>
            </c:strRef>
          </c:tx>
          <c:spPr>
            <a:solidFill>
              <a:schemeClr val="accent2"/>
            </a:solidFill>
            <a:ln>
              <a:noFill/>
            </a:ln>
            <a:effectLst/>
          </c:spPr>
          <c:invertIfNegative val="0"/>
          <c:cat>
            <c:strRef>
              <c:f>Sensitivity!$E$12:$E$21</c:f>
              <c:strCache>
                <c:ptCount val="10"/>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strCache>
            </c:strRef>
          </c:cat>
          <c:val>
            <c:numRef>
              <c:f>Sensitivity!$H$12:$H$21</c:f>
              <c:numCache>
                <c:formatCode>_(* #,##0.00_);_(* \(#,##0.00\);_(* "-"??_);_(@_)</c:formatCode>
                <c:ptCount val="10"/>
                <c:pt idx="0">
                  <c:v>350000</c:v>
                </c:pt>
                <c:pt idx="1">
                  <c:v>0</c:v>
                </c:pt>
                <c:pt idx="2">
                  <c:v>19041.599999999999</c:v>
                </c:pt>
                <c:pt idx="3">
                  <c:v>505279.86888888886</c:v>
                </c:pt>
                <c:pt idx="4">
                  <c:v>510601.50316115329</c:v>
                </c:pt>
                <c:pt idx="5">
                  <c:v>762402.36709250323</c:v>
                </c:pt>
                <c:pt idx="6">
                  <c:v>762402.36709250323</c:v>
                </c:pt>
                <c:pt idx="7">
                  <c:v>532656.36388187995</c:v>
                </c:pt>
                <c:pt idx="8">
                  <c:v>767499.99999999907</c:v>
                </c:pt>
                <c:pt idx="9">
                  <c:v>767499.99999999907</c:v>
                </c:pt>
              </c:numCache>
            </c:numRef>
          </c:val>
          <c:extLst>
            <c:ext xmlns:c16="http://schemas.microsoft.com/office/drawing/2014/chart" uri="{C3380CC4-5D6E-409C-BE32-E72D297353CC}">
              <c16:uniqueId val="{00000000-16CB-4876-B0A6-3132C3733C9E}"/>
            </c:ext>
          </c:extLst>
        </c:ser>
        <c:ser>
          <c:idx val="1"/>
          <c:order val="1"/>
          <c:tx>
            <c:strRef>
              <c:f>Sensitivity!$I$11</c:f>
              <c:strCache>
                <c:ptCount val="1"/>
                <c:pt idx="0">
                  <c:v>Opex</c:v>
                </c:pt>
              </c:strCache>
            </c:strRef>
          </c:tx>
          <c:spPr>
            <a:solidFill>
              <a:schemeClr val="accent1"/>
            </a:solidFill>
            <a:ln>
              <a:noFill/>
            </a:ln>
            <a:effectLst/>
          </c:spPr>
          <c:invertIfNegative val="0"/>
          <c:cat>
            <c:strRef>
              <c:f>Sensitivity!$E$12:$E$21</c:f>
              <c:strCache>
                <c:ptCount val="10"/>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strCache>
            </c:strRef>
          </c:cat>
          <c:val>
            <c:numRef>
              <c:f>Sensitivity!$I$12:$I$21</c:f>
              <c:numCache>
                <c:formatCode>_(* #,##0.00_);_(* \(#,##0.00\);_(* "-"??_);_(@_)</c:formatCode>
                <c:ptCount val="10"/>
                <c:pt idx="0">
                  <c:v>2763104.1444889465</c:v>
                </c:pt>
                <c:pt idx="1">
                  <c:v>3320172.5761879091</c:v>
                </c:pt>
                <c:pt idx="2">
                  <c:v>1785211.1168090634</c:v>
                </c:pt>
                <c:pt idx="3">
                  <c:v>798233.74470802664</c:v>
                </c:pt>
                <c:pt idx="4">
                  <c:v>2677471.1056749411</c:v>
                </c:pt>
                <c:pt idx="5">
                  <c:v>1190033.6695354723</c:v>
                </c:pt>
                <c:pt idx="6">
                  <c:v>1222885.7457808733</c:v>
                </c:pt>
                <c:pt idx="7">
                  <c:v>3077765.5782782659</c:v>
                </c:pt>
                <c:pt idx="8">
                  <c:v>2006275.622397196</c:v>
                </c:pt>
                <c:pt idx="9">
                  <c:v>2039127.6986425971</c:v>
                </c:pt>
              </c:numCache>
            </c:numRef>
          </c:val>
          <c:extLst>
            <c:ext xmlns:c16="http://schemas.microsoft.com/office/drawing/2014/chart" uri="{C3380CC4-5D6E-409C-BE32-E72D297353CC}">
              <c16:uniqueId val="{00000001-16CB-4876-B0A6-3132C3733C9E}"/>
            </c:ext>
          </c:extLst>
        </c:ser>
        <c:ser>
          <c:idx val="2"/>
          <c:order val="2"/>
          <c:tx>
            <c:strRef>
              <c:f>Sensitivity!$J$11</c:f>
              <c:strCache>
                <c:ptCount val="1"/>
                <c:pt idx="0">
                  <c:v>Emissions</c:v>
                </c:pt>
              </c:strCache>
            </c:strRef>
          </c:tx>
          <c:spPr>
            <a:solidFill>
              <a:schemeClr val="accent3"/>
            </a:solidFill>
            <a:ln>
              <a:noFill/>
            </a:ln>
            <a:effectLst/>
          </c:spPr>
          <c:invertIfNegative val="0"/>
          <c:cat>
            <c:strRef>
              <c:f>Sensitivity!$E$12:$E$21</c:f>
              <c:strCache>
                <c:ptCount val="10"/>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strCache>
            </c:strRef>
          </c:cat>
          <c:val>
            <c:numRef>
              <c:f>Sensitivity!$J$12:$J$21</c:f>
              <c:numCache>
                <c:formatCode>_(* #,##0.00_);_(* \(#,##0.00\);_(* "-"??_);_(@_)</c:formatCode>
                <c:ptCount val="10"/>
                <c:pt idx="0">
                  <c:v>5273453.2189695034</c:v>
                </c:pt>
                <c:pt idx="1">
                  <c:v>3542360.8834559657</c:v>
                </c:pt>
                <c:pt idx="2">
                  <c:v>3580743.2634027675</c:v>
                </c:pt>
                <c:pt idx="3">
                  <c:v>-3602455.8878545277</c:v>
                </c:pt>
                <c:pt idx="4">
                  <c:v>3666040.4498494752</c:v>
                </c:pt>
                <c:pt idx="5">
                  <c:v>-3576349.9526159661</c:v>
                </c:pt>
                <c:pt idx="6">
                  <c:v>152249.82802278598</c:v>
                </c:pt>
                <c:pt idx="7">
                  <c:v>3631575.4329386847</c:v>
                </c:pt>
                <c:pt idx="8">
                  <c:v>-3613201.0329386843</c:v>
                </c:pt>
                <c:pt idx="9">
                  <c:v>100696.94932020151</c:v>
                </c:pt>
              </c:numCache>
            </c:numRef>
          </c:val>
          <c:extLst>
            <c:ext xmlns:c16="http://schemas.microsoft.com/office/drawing/2014/chart" uri="{C3380CC4-5D6E-409C-BE32-E72D297353CC}">
              <c16:uniqueId val="{00000002-16CB-4876-B0A6-3132C3733C9E}"/>
            </c:ext>
          </c:extLst>
        </c:ser>
        <c:dLbls>
          <c:showLegendKey val="0"/>
          <c:showVal val="0"/>
          <c:showCatName val="0"/>
          <c:showSerName val="0"/>
          <c:showPercent val="0"/>
          <c:showBubbleSize val="0"/>
        </c:dLbls>
        <c:gapWidth val="219"/>
        <c:overlap val="100"/>
        <c:axId val="1404959656"/>
        <c:axId val="1404956056"/>
      </c:barChart>
      <c:catAx>
        <c:axId val="14049596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4956056"/>
        <c:crosses val="autoZero"/>
        <c:auto val="1"/>
        <c:lblAlgn val="ctr"/>
        <c:lblOffset val="100"/>
        <c:tickLblSkip val="1"/>
        <c:noMultiLvlLbl val="0"/>
      </c:catAx>
      <c:valAx>
        <c:axId val="140495605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4959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Results!$L$28</c:f>
              <c:strCache>
                <c:ptCount val="1"/>
                <c:pt idx="0">
                  <c:v>MAC</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Results!$J$29:$J$33</c:f>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f>Results!$L$29:$L$33</c:f>
              <c:numCache>
                <c:formatCode>_(* #,##0.00_);_(* \(#,##0.00\);_(* "-"??_);_(@_)</c:formatCode>
                <c:ptCount val="5"/>
                <c:pt idx="0">
                  <c:v>1.4003772904741361</c:v>
                </c:pt>
                <c:pt idx="1">
                  <c:v>235.87614158949046</c:v>
                </c:pt>
                <c:pt idx="2">
                  <c:v>-0.21174827753135883</c:v>
                </c:pt>
                <c:pt idx="3">
                  <c:v>-0.22550028790563276</c:v>
                </c:pt>
                <c:pt idx="4">
                  <c:v>-0.17452590726592584</c:v>
                </c:pt>
              </c:numCache>
            </c:numRef>
          </c:val>
          <c:extLst>
            <c:ext xmlns:c16="http://schemas.microsoft.com/office/drawing/2014/chart" uri="{C3380CC4-5D6E-409C-BE32-E72D297353CC}">
              <c16:uniqueId val="{00000001-8225-4EDB-BCFE-F27E105947D0}"/>
            </c:ext>
          </c:extLst>
        </c:ser>
        <c:dLbls>
          <c:showLegendKey val="0"/>
          <c:showVal val="0"/>
          <c:showCatName val="0"/>
          <c:showSerName val="0"/>
          <c:showPercent val="0"/>
          <c:showBubbleSize val="0"/>
        </c:dLbls>
        <c:gapWidth val="219"/>
        <c:overlap val="-27"/>
        <c:axId val="1018678032"/>
        <c:axId val="1018676232"/>
        <c:extLst>
          <c:ext xmlns:c15="http://schemas.microsoft.com/office/drawing/2012/chart" uri="{02D57815-91ED-43cb-92C2-25804820EDAC}">
            <c15:filteredBarSeries>
              <c15:ser>
                <c:idx val="0"/>
                <c:order val="0"/>
                <c:tx>
                  <c:strRef>
                    <c:extLst>
                      <c:ext uri="{02D57815-91ED-43cb-92C2-25804820EDAC}">
                        <c15:formulaRef>
                          <c15:sqref>Results!$K$28</c15:sqref>
                        </c15:formulaRef>
                      </c:ext>
                    </c:extLst>
                    <c:strCache>
                      <c:ptCount val="1"/>
                      <c:pt idx="0">
                        <c:v>Unit</c:v>
                      </c:pt>
                    </c:strCache>
                  </c:strRef>
                </c:tx>
                <c:spPr>
                  <a:solidFill>
                    <a:schemeClr val="accent1"/>
                  </a:solidFill>
                  <a:ln>
                    <a:noFill/>
                  </a:ln>
                  <a:effectLst/>
                </c:spPr>
                <c:invertIfNegative val="0"/>
                <c:cat>
                  <c:strRef>
                    <c:extLst>
                      <c:ext uri="{02D57815-91ED-43cb-92C2-25804820EDAC}">
                        <c15:formulaRef>
                          <c15:sqref>Results!$J$29:$J$33</c15:sqref>
                        </c15:formulaRef>
                      </c:ext>
                    </c:extLst>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extLst>
                      <c:ext uri="{02D57815-91ED-43cb-92C2-25804820EDAC}">
                        <c15:formulaRef>
                          <c15:sqref>Results!$K$29:$K$33</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8225-4EDB-BCFE-F27E105947D0}"/>
                  </c:ext>
                </c:extLst>
              </c15:ser>
            </c15:filteredBarSeries>
          </c:ext>
        </c:extLst>
      </c:barChart>
      <c:catAx>
        <c:axId val="10186780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8676232"/>
        <c:crosses val="autoZero"/>
        <c:auto val="1"/>
        <c:lblAlgn val="ctr"/>
        <c:lblOffset val="100"/>
        <c:noMultiLvlLbl val="0"/>
      </c:catAx>
      <c:valAx>
        <c:axId val="101867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AU" sz="800" b="0" i="0" u="none" strike="noStrike" kern="1200" baseline="0">
                  <a:solidFill>
                    <a:sysClr val="windowText" lastClr="000000">
                      <a:lumMod val="65000"/>
                      <a:lumOff val="35000"/>
                    </a:sysClr>
                  </a:solidFill>
                </a:endParaRPr>
              </a:p>
              <a:p>
                <a:pPr>
                  <a:defRPr/>
                </a:pPr>
                <a:r>
                  <a:rPr lang="en-AU" sz="800" b="0" i="0" u="none" strike="noStrike" kern="1200" baseline="0">
                    <a:solidFill>
                      <a:sysClr val="windowText" lastClr="000000">
                        <a:lumMod val="65000"/>
                        <a:lumOff val="35000"/>
                      </a:sysClr>
                    </a:solidFill>
                  </a:rPr>
                  <a:t> $/kgCO2e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8678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Payback</a:t>
            </a:r>
            <a:r>
              <a:rPr lang="en-AU" baseline="0"/>
              <a:t> Period</a:t>
            </a:r>
            <a:endParaRPr lang="en-AU"/>
          </a:p>
        </c:rich>
      </c:tx>
      <c:layout>
        <c:manualLayout>
          <c:xMode val="edge"/>
          <c:yMode val="edge"/>
          <c:x val="0.45434317069434238"/>
          <c:y val="2.08333390292374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Sensitivity!$E$47:$E$54</c:f>
              <c:strCache>
                <c:ptCount val="6"/>
                <c:pt idx="0">
                  <c:v>H2 Blending</c:v>
                </c:pt>
                <c:pt idx="1">
                  <c:v>Repowered</c:v>
                </c:pt>
                <c:pt idx="2">
                  <c:v>Immediate diesel to BEB bus replacement</c:v>
                </c:pt>
                <c:pt idx="3">
                  <c:v>Immediate diesel to BEB bus replacement with diesel bus used for mode shift</c:v>
                </c:pt>
                <c:pt idx="4">
                  <c:v>Immediate diesel to HFCB bus replacement</c:v>
                </c:pt>
                <c:pt idx="5">
                  <c:v>Immediate diesel to HFCB bus replacement with diesel bus used for mode shift</c:v>
                </c:pt>
              </c:strCache>
            </c:strRef>
          </c:cat>
          <c:val>
            <c:numRef>
              <c:f>Sensitivity!$J$47:$J$54</c:f>
              <c:numCache>
                <c:formatCode>0.00</c:formatCode>
                <c:ptCount val="6"/>
                <c:pt idx="0">
                  <c:v>-0.65690597350227331</c:v>
                </c:pt>
                <c:pt idx="1">
                  <c:v>0.25414027164963837</c:v>
                </c:pt>
                <c:pt idx="2">
                  <c:v>0.66363541975207785</c:v>
                </c:pt>
                <c:pt idx="3">
                  <c:v>1.3092903572652606</c:v>
                </c:pt>
                <c:pt idx="4">
                  <c:v>0.71676229893398635</c:v>
                </c:pt>
                <c:pt idx="5">
                  <c:v>1.5058776801349989</c:v>
                </c:pt>
              </c:numCache>
            </c:numRef>
          </c:val>
          <c:extLst>
            <c:ext xmlns:c16="http://schemas.microsoft.com/office/drawing/2014/chart" uri="{C3380CC4-5D6E-409C-BE32-E72D297353CC}">
              <c16:uniqueId val="{00000000-7FE4-406C-84D9-4A5368A77094}"/>
            </c:ext>
          </c:extLst>
        </c:ser>
        <c:dLbls>
          <c:showLegendKey val="0"/>
          <c:showVal val="0"/>
          <c:showCatName val="0"/>
          <c:showSerName val="0"/>
          <c:showPercent val="0"/>
          <c:showBubbleSize val="0"/>
        </c:dLbls>
        <c:gapWidth val="219"/>
        <c:overlap val="-27"/>
        <c:axId val="1356768184"/>
        <c:axId val="1356769984"/>
      </c:barChart>
      <c:catAx>
        <c:axId val="135676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769984"/>
        <c:crosses val="autoZero"/>
        <c:auto val="1"/>
        <c:lblAlgn val="ctr"/>
        <c:lblOffset val="100"/>
        <c:noMultiLvlLbl val="0"/>
      </c:catAx>
      <c:valAx>
        <c:axId val="1356769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768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Diesel</a:t>
            </a:r>
            <a:r>
              <a:rPr lang="en-AU" baseline="0"/>
              <a:t> (BAU)</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Sensitivity!$G$66</c:f>
              <c:strCache>
                <c:ptCount val="1"/>
                <c:pt idx="0">
                  <c:v>TCO incl. emissions change: Fuel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Sensitivity!$C$67:$C$75</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Sensitivity!$G$67:$G$75</c:f>
              <c:numCache>
                <c:formatCode>0.0%</c:formatCode>
                <c:ptCount val="9"/>
                <c:pt idx="0">
                  <c:v>-3.2724512933313465E-2</c:v>
                </c:pt>
                <c:pt idx="1">
                  <c:v>-2.4543384699985071E-2</c:v>
                </c:pt>
                <c:pt idx="2">
                  <c:v>-1.6362256466656677E-2</c:v>
                </c:pt>
                <c:pt idx="3">
                  <c:v>-8.1811282333281721E-3</c:v>
                </c:pt>
                <c:pt idx="4">
                  <c:v>0</c:v>
                </c:pt>
                <c:pt idx="5">
                  <c:v>8.1811282333283941E-3</c:v>
                </c:pt>
                <c:pt idx="6">
                  <c:v>1.6362256466656788E-2</c:v>
                </c:pt>
                <c:pt idx="7">
                  <c:v>2.4543384699985182E-2</c:v>
                </c:pt>
                <c:pt idx="8">
                  <c:v>3.2724512933313354E-2</c:v>
                </c:pt>
              </c:numCache>
            </c:numRef>
          </c:yVal>
          <c:smooth val="0"/>
          <c:extLst>
            <c:ext xmlns:c16="http://schemas.microsoft.com/office/drawing/2014/chart" uri="{C3380CC4-5D6E-409C-BE32-E72D297353CC}">
              <c16:uniqueId val="{00000000-4D86-47C8-8C9D-AA04894BC9F1}"/>
            </c:ext>
          </c:extLst>
        </c:ser>
        <c:ser>
          <c:idx val="1"/>
          <c:order val="1"/>
          <c:tx>
            <c:strRef>
              <c:f>Sensitivity!$N$66</c:f>
              <c:strCache>
                <c:ptCount val="1"/>
                <c:pt idx="0">
                  <c:v>TCO incl.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Sensitivity!$C$67:$C$75</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Sensitivity!$N$67:$N$75</c:f>
              <c:numCache>
                <c:formatCode>0.0%</c:formatCode>
                <c:ptCount val="9"/>
                <c:pt idx="0">
                  <c:v>-7.7891891036484528E-3</c:v>
                </c:pt>
                <c:pt idx="1">
                  <c:v>-5.8418918277363119E-3</c:v>
                </c:pt>
                <c:pt idx="2">
                  <c:v>-3.8945945518240599E-3</c:v>
                </c:pt>
                <c:pt idx="3">
                  <c:v>-1.9472972759119189E-3</c:v>
                </c:pt>
                <c:pt idx="4">
                  <c:v>0</c:v>
                </c:pt>
                <c:pt idx="5">
                  <c:v>1.9472972759120299E-3</c:v>
                </c:pt>
                <c:pt idx="6">
                  <c:v>3.894594551824504E-3</c:v>
                </c:pt>
                <c:pt idx="7">
                  <c:v>5.8418918277363119E-3</c:v>
                </c:pt>
                <c:pt idx="8">
                  <c:v>7.7891891036485639E-3</c:v>
                </c:pt>
              </c:numCache>
            </c:numRef>
          </c:yVal>
          <c:smooth val="0"/>
          <c:extLst>
            <c:ext xmlns:c16="http://schemas.microsoft.com/office/drawing/2014/chart" uri="{C3380CC4-5D6E-409C-BE32-E72D297353CC}">
              <c16:uniqueId val="{00000001-4D86-47C8-8C9D-AA04894BC9F1}"/>
            </c:ext>
          </c:extLst>
        </c:ser>
        <c:dLbls>
          <c:showLegendKey val="0"/>
          <c:showVal val="0"/>
          <c:showCatName val="0"/>
          <c:showSerName val="0"/>
          <c:showPercent val="0"/>
          <c:showBubbleSize val="0"/>
        </c:dLbls>
        <c:axId val="1053859296"/>
        <c:axId val="1053855696"/>
      </c:scatterChart>
      <c:valAx>
        <c:axId val="10538592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855696"/>
        <c:crosses val="autoZero"/>
        <c:crossBetween val="midCat"/>
      </c:valAx>
      <c:valAx>
        <c:axId val="1053855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859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 Diesel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Sensitivity!$G$78</c:f>
              <c:strCache>
                <c:ptCount val="1"/>
                <c:pt idx="0">
                  <c:v>TCO incl. emissions change: Fuel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Sensitivity!$C$79:$C$87</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Sensitivity!$G$79:$G$87</c:f>
              <c:numCache>
                <c:formatCode>0.0%</c:formatCode>
                <c:ptCount val="9"/>
                <c:pt idx="0">
                  <c:v>-6.9253715966609231E-2</c:v>
                </c:pt>
                <c:pt idx="1">
                  <c:v>-5.1940286974957006E-2</c:v>
                </c:pt>
                <c:pt idx="2">
                  <c:v>-3.4626857983304671E-2</c:v>
                </c:pt>
                <c:pt idx="3">
                  <c:v>-1.7313428991652335E-2</c:v>
                </c:pt>
                <c:pt idx="4">
                  <c:v>0</c:v>
                </c:pt>
                <c:pt idx="5">
                  <c:v>1.7313428991652335E-2</c:v>
                </c:pt>
                <c:pt idx="6">
                  <c:v>3.4626857983304893E-2</c:v>
                </c:pt>
                <c:pt idx="7">
                  <c:v>5.1940286974957006E-2</c:v>
                </c:pt>
                <c:pt idx="8">
                  <c:v>6.9253715966609342E-2</c:v>
                </c:pt>
              </c:numCache>
            </c:numRef>
          </c:yVal>
          <c:smooth val="0"/>
          <c:extLst>
            <c:ext xmlns:c16="http://schemas.microsoft.com/office/drawing/2014/chart" uri="{C3380CC4-5D6E-409C-BE32-E72D297353CC}">
              <c16:uniqueId val="{00000000-3E47-44C7-B6F5-D296F825323E}"/>
            </c:ext>
          </c:extLst>
        </c:ser>
        <c:ser>
          <c:idx val="1"/>
          <c:order val="1"/>
          <c:tx>
            <c:strRef>
              <c:f>Sensitivity!$N$78</c:f>
              <c:strCache>
                <c:ptCount val="1"/>
                <c:pt idx="0">
                  <c:v>TCO incl.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Sensitivity!$C$79:$C$87</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Sensitivity!$N$79:$N$87</c:f>
              <c:numCache>
                <c:formatCode>0.0%</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1-3E47-44C7-B6F5-D296F825323E}"/>
            </c:ext>
          </c:extLst>
        </c:ser>
        <c:dLbls>
          <c:showLegendKey val="0"/>
          <c:showVal val="0"/>
          <c:showCatName val="0"/>
          <c:showSerName val="0"/>
          <c:showPercent val="0"/>
          <c:showBubbleSize val="0"/>
        </c:dLbls>
        <c:axId val="1017693688"/>
        <c:axId val="1017696568"/>
      </c:scatterChart>
      <c:valAx>
        <c:axId val="10176936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696568"/>
        <c:crosses val="autoZero"/>
        <c:crossBetween val="midCat"/>
      </c:valAx>
      <c:valAx>
        <c:axId val="1017696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6936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H2 Blending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Sensitivity!$F$91</c:f>
              <c:strCache>
                <c:ptCount val="1"/>
                <c:pt idx="0">
                  <c:v>TCO excl. emissions change: Fuel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Sensitivity!$C$92:$C$100</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Sensitivity!$F$92:$F$100</c:f>
              <c:numCache>
                <c:formatCode>0.0%</c:formatCode>
                <c:ptCount val="9"/>
                <c:pt idx="0">
                  <c:v>-9.3259469464646805E-2</c:v>
                </c:pt>
                <c:pt idx="1">
                  <c:v>-6.9944602098484965E-2</c:v>
                </c:pt>
                <c:pt idx="2">
                  <c:v>-4.6629734732323347E-2</c:v>
                </c:pt>
                <c:pt idx="3">
                  <c:v>-2.3314867366161507E-2</c:v>
                </c:pt>
                <c:pt idx="4">
                  <c:v>0</c:v>
                </c:pt>
                <c:pt idx="5">
                  <c:v>2.3314867366162062E-2</c:v>
                </c:pt>
                <c:pt idx="6">
                  <c:v>4.662973473232368E-2</c:v>
                </c:pt>
                <c:pt idx="7">
                  <c:v>6.9944602098485298E-2</c:v>
                </c:pt>
                <c:pt idx="8">
                  <c:v>9.3259469464646694E-2</c:v>
                </c:pt>
              </c:numCache>
            </c:numRef>
          </c:yVal>
          <c:smooth val="0"/>
          <c:extLst>
            <c:ext xmlns:c16="http://schemas.microsoft.com/office/drawing/2014/chart" uri="{C3380CC4-5D6E-409C-BE32-E72D297353CC}">
              <c16:uniqueId val="{00000000-F9CD-48F0-8F45-41434010109D}"/>
            </c:ext>
          </c:extLst>
        </c:ser>
        <c:ser>
          <c:idx val="1"/>
          <c:order val="1"/>
          <c:tx>
            <c:strRef>
              <c:f>Sensitivity!$M$91</c:f>
              <c:strCache>
                <c:ptCount val="1"/>
                <c:pt idx="0">
                  <c:v>TCO excl.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Sensitivity!$C$92:$C$100</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Sensitivity!$M$92:$M$100</c:f>
              <c:numCache>
                <c:formatCode>0.0%</c:formatCode>
                <c:ptCount val="9"/>
                <c:pt idx="0">
                  <c:v>-2.1107464406288079E-3</c:v>
                </c:pt>
                <c:pt idx="1">
                  <c:v>-1.5830598304714671E-3</c:v>
                </c:pt>
                <c:pt idx="2">
                  <c:v>-1.0553732203142374E-3</c:v>
                </c:pt>
                <c:pt idx="3">
                  <c:v>-5.2768661015722973E-4</c:v>
                </c:pt>
                <c:pt idx="4">
                  <c:v>0</c:v>
                </c:pt>
                <c:pt idx="5">
                  <c:v>5.276866101575628E-4</c:v>
                </c:pt>
                <c:pt idx="6">
                  <c:v>1.0553732203146815E-3</c:v>
                </c:pt>
                <c:pt idx="7">
                  <c:v>1.5830598304718002E-3</c:v>
                </c:pt>
                <c:pt idx="8">
                  <c:v>2.110746440629141E-3</c:v>
                </c:pt>
              </c:numCache>
            </c:numRef>
          </c:yVal>
          <c:smooth val="0"/>
          <c:extLst>
            <c:ext xmlns:c16="http://schemas.microsoft.com/office/drawing/2014/chart" uri="{C3380CC4-5D6E-409C-BE32-E72D297353CC}">
              <c16:uniqueId val="{00000001-F9CD-48F0-8F45-41434010109D}"/>
            </c:ext>
          </c:extLst>
        </c:ser>
        <c:dLbls>
          <c:showLegendKey val="0"/>
          <c:showVal val="0"/>
          <c:showCatName val="0"/>
          <c:showSerName val="0"/>
          <c:showPercent val="0"/>
          <c:showBubbleSize val="0"/>
        </c:dLbls>
        <c:axId val="1058397760"/>
        <c:axId val="1058397040"/>
      </c:scatterChart>
      <c:valAx>
        <c:axId val="1058397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397040"/>
        <c:crosses val="autoZero"/>
        <c:crossBetween val="midCat"/>
      </c:valAx>
      <c:valAx>
        <c:axId val="1058397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3977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Repowered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Sensitivity!$AH$66</c:f>
              <c:strCache>
                <c:ptCount val="1"/>
                <c:pt idx="0">
                  <c:v>TCO incl. emissions change: Energy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Sensitivity!$AD$67:$AD$75</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Sensitivity!$AH$67:$AH$75</c:f>
              <c:numCache>
                <c:formatCode>0.0%</c:formatCode>
                <c:ptCount val="9"/>
                <c:pt idx="0">
                  <c:v>1.3123588049095858E-2</c:v>
                </c:pt>
                <c:pt idx="1">
                  <c:v>9.8426910368216713E-3</c:v>
                </c:pt>
                <c:pt idx="2">
                  <c:v>6.5617940245479289E-3</c:v>
                </c:pt>
                <c:pt idx="3">
                  <c:v>3.2808970122739645E-3</c:v>
                </c:pt>
                <c:pt idx="4">
                  <c:v>0</c:v>
                </c:pt>
                <c:pt idx="5">
                  <c:v>-3.2808970122738534E-3</c:v>
                </c:pt>
                <c:pt idx="6">
                  <c:v>-6.5617940245477069E-3</c:v>
                </c:pt>
                <c:pt idx="7">
                  <c:v>-9.8426910368217824E-3</c:v>
                </c:pt>
                <c:pt idx="8">
                  <c:v>-1.3123588049095858E-2</c:v>
                </c:pt>
              </c:numCache>
            </c:numRef>
          </c:yVal>
          <c:smooth val="0"/>
          <c:extLst>
            <c:ext xmlns:c16="http://schemas.microsoft.com/office/drawing/2014/chart" uri="{C3380CC4-5D6E-409C-BE32-E72D297353CC}">
              <c16:uniqueId val="{00000000-D027-4D5A-A93F-710FA1F0D234}"/>
            </c:ext>
          </c:extLst>
        </c:ser>
        <c:ser>
          <c:idx val="1"/>
          <c:order val="1"/>
          <c:tx>
            <c:strRef>
              <c:f>Sensitivity!$AO$66</c:f>
              <c:strCache>
                <c:ptCount val="1"/>
                <c:pt idx="0">
                  <c:v>TCO incl.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Sensitivity!$AD$67:$AD$75</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Sensitivity!$AO$67:$AO$75</c:f>
              <c:numCache>
                <c:formatCode>0.0%</c:formatCode>
                <c:ptCount val="9"/>
                <c:pt idx="0">
                  <c:v>4.4035919381586464E-2</c:v>
                </c:pt>
                <c:pt idx="1">
                  <c:v>3.3026939536189737E-2</c:v>
                </c:pt>
                <c:pt idx="2">
                  <c:v>2.2017959690793454E-2</c:v>
                </c:pt>
                <c:pt idx="3">
                  <c:v>1.1008979845396727E-2</c:v>
                </c:pt>
                <c:pt idx="4">
                  <c:v>0</c:v>
                </c:pt>
                <c:pt idx="5">
                  <c:v>-1.1008979845396727E-2</c:v>
                </c:pt>
                <c:pt idx="6">
                  <c:v>-2.2017959690793232E-2</c:v>
                </c:pt>
                <c:pt idx="7">
                  <c:v>-3.3026939536189626E-2</c:v>
                </c:pt>
                <c:pt idx="8">
                  <c:v>-4.4035919381586242E-2</c:v>
                </c:pt>
              </c:numCache>
            </c:numRef>
          </c:yVal>
          <c:smooth val="0"/>
          <c:extLst>
            <c:ext xmlns:c16="http://schemas.microsoft.com/office/drawing/2014/chart" uri="{C3380CC4-5D6E-409C-BE32-E72D297353CC}">
              <c16:uniqueId val="{00000001-D027-4D5A-A93F-710FA1F0D234}"/>
            </c:ext>
          </c:extLst>
        </c:ser>
        <c:dLbls>
          <c:showLegendKey val="0"/>
          <c:showVal val="0"/>
          <c:showCatName val="0"/>
          <c:showSerName val="0"/>
          <c:showPercent val="0"/>
          <c:showBubbleSize val="0"/>
        </c:dLbls>
        <c:axId val="1032735880"/>
        <c:axId val="1032729400"/>
      </c:scatterChart>
      <c:valAx>
        <c:axId val="10327358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2729400"/>
        <c:crosses val="autoZero"/>
        <c:crossBetween val="midCat"/>
      </c:valAx>
      <c:valAx>
        <c:axId val="1032729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27358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BEB (TCO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Sensitivity!$AH$78</c:f>
              <c:strCache>
                <c:ptCount val="1"/>
                <c:pt idx="0">
                  <c:v>TCO incl. emissions change: Energy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Sensitivity!$AD$79:$AD$87</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Sensitivity!$AH$79:$AH$87</c:f>
              <c:numCache>
                <c:formatCode>0.0%</c:formatCode>
                <c:ptCount val="9"/>
                <c:pt idx="0">
                  <c:v>1.0656579452073434E-2</c:v>
                </c:pt>
                <c:pt idx="1">
                  <c:v>7.9924345890549642E-3</c:v>
                </c:pt>
                <c:pt idx="2">
                  <c:v>5.3282897260367168E-3</c:v>
                </c:pt>
                <c:pt idx="3">
                  <c:v>2.6641448630184694E-3</c:v>
                </c:pt>
                <c:pt idx="4">
                  <c:v>0</c:v>
                </c:pt>
                <c:pt idx="5">
                  <c:v>-2.6641448630181364E-3</c:v>
                </c:pt>
                <c:pt idx="6">
                  <c:v>-5.3282897260364948E-3</c:v>
                </c:pt>
                <c:pt idx="7">
                  <c:v>-7.9924345890549642E-3</c:v>
                </c:pt>
                <c:pt idx="8">
                  <c:v>-1.0656579452073323E-2</c:v>
                </c:pt>
              </c:numCache>
            </c:numRef>
          </c:yVal>
          <c:smooth val="0"/>
          <c:extLst>
            <c:ext xmlns:c16="http://schemas.microsoft.com/office/drawing/2014/chart" uri="{C3380CC4-5D6E-409C-BE32-E72D297353CC}">
              <c16:uniqueId val="{00000000-08AB-44B6-B569-A4CACAF0F5E9}"/>
            </c:ext>
          </c:extLst>
        </c:ser>
        <c:ser>
          <c:idx val="1"/>
          <c:order val="1"/>
          <c:tx>
            <c:strRef>
              <c:f>Sensitivity!$AO$78</c:f>
              <c:strCache>
                <c:ptCount val="1"/>
                <c:pt idx="0">
                  <c:v>TCO incl.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Sensitivity!$AD$79:$AD$87</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Sensitivity!$AO$79:$AO$87</c:f>
              <c:numCache>
                <c:formatCode>0.0%</c:formatCode>
                <c:ptCount val="9"/>
                <c:pt idx="0">
                  <c:v>3.4609447732417031E-2</c:v>
                </c:pt>
                <c:pt idx="1">
                  <c:v>2.5957085799312551E-2</c:v>
                </c:pt>
                <c:pt idx="2">
                  <c:v>1.7304723866208516E-2</c:v>
                </c:pt>
                <c:pt idx="3">
                  <c:v>8.6523619331042578E-3</c:v>
                </c:pt>
                <c:pt idx="4">
                  <c:v>0</c:v>
                </c:pt>
                <c:pt idx="5">
                  <c:v>-8.6523619331041468E-3</c:v>
                </c:pt>
                <c:pt idx="6">
                  <c:v>-1.7304723866208516E-2</c:v>
                </c:pt>
                <c:pt idx="7">
                  <c:v>-2.5957085799312662E-2</c:v>
                </c:pt>
                <c:pt idx="8">
                  <c:v>-3.4609447732417142E-2</c:v>
                </c:pt>
              </c:numCache>
            </c:numRef>
          </c:yVal>
          <c:smooth val="0"/>
          <c:extLst>
            <c:ext xmlns:c16="http://schemas.microsoft.com/office/drawing/2014/chart" uri="{C3380CC4-5D6E-409C-BE32-E72D297353CC}">
              <c16:uniqueId val="{00000001-08AB-44B6-B569-A4CACAF0F5E9}"/>
            </c:ext>
          </c:extLst>
        </c:ser>
        <c:dLbls>
          <c:showLegendKey val="0"/>
          <c:showVal val="0"/>
          <c:showCatName val="0"/>
          <c:showSerName val="0"/>
          <c:showPercent val="0"/>
          <c:showBubbleSize val="0"/>
        </c:dLbls>
        <c:axId val="434217519"/>
        <c:axId val="434213559"/>
      </c:scatterChart>
      <c:valAx>
        <c:axId val="43421751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213559"/>
        <c:crosses val="autoZero"/>
        <c:crossBetween val="midCat"/>
      </c:valAx>
      <c:valAx>
        <c:axId val="4342135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21751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HFCB (TCO 2)</a:t>
            </a:r>
          </a:p>
        </c:rich>
      </c:tx>
      <c:layout>
        <c:manualLayout>
          <c:xMode val="edge"/>
          <c:yMode val="edge"/>
          <c:x val="0.41504855643044625"/>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Sensitivity!$AH$91</c:f>
              <c:strCache>
                <c:ptCount val="1"/>
                <c:pt idx="0">
                  <c:v>TCO incl. emissions change: Energy price change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Sensitivity!$AD$92:$AD$100</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Sensitivity!$AH$92:$AH$100</c:f>
              <c:numCache>
                <c:formatCode>0.0%</c:formatCode>
                <c:ptCount val="9"/>
                <c:pt idx="0">
                  <c:v>8.1927360167993957E-2</c:v>
                </c:pt>
                <c:pt idx="1">
                  <c:v>6.1445520125995357E-2</c:v>
                </c:pt>
                <c:pt idx="2">
                  <c:v>4.0963680083996756E-2</c:v>
                </c:pt>
                <c:pt idx="3">
                  <c:v>2.0481840041998378E-2</c:v>
                </c:pt>
                <c:pt idx="4">
                  <c:v>0</c:v>
                </c:pt>
                <c:pt idx="5">
                  <c:v>-2.0481840041998822E-2</c:v>
                </c:pt>
                <c:pt idx="6">
                  <c:v>-4.0963680083997533E-2</c:v>
                </c:pt>
                <c:pt idx="7">
                  <c:v>-6.1445520125996023E-2</c:v>
                </c:pt>
                <c:pt idx="8">
                  <c:v>-8.1927360167994623E-2</c:v>
                </c:pt>
              </c:numCache>
            </c:numRef>
          </c:yVal>
          <c:smooth val="0"/>
          <c:extLst>
            <c:ext xmlns:c16="http://schemas.microsoft.com/office/drawing/2014/chart" uri="{C3380CC4-5D6E-409C-BE32-E72D297353CC}">
              <c16:uniqueId val="{00000000-E42F-41A9-9BE8-F2D54546BA3F}"/>
            </c:ext>
          </c:extLst>
        </c:ser>
        <c:ser>
          <c:idx val="1"/>
          <c:order val="1"/>
          <c:tx>
            <c:strRef>
              <c:f>Sensitivity!$AO$91</c:f>
              <c:strCache>
                <c:ptCount val="1"/>
                <c:pt idx="0">
                  <c:v>TCO incl. emissions change: Capex  change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Sensitivity!$AD$92:$AD$100</c:f>
              <c:numCache>
                <c:formatCode>0%</c:formatCode>
                <c:ptCount val="9"/>
                <c:pt idx="0">
                  <c:v>-0.2</c:v>
                </c:pt>
                <c:pt idx="1">
                  <c:v>-0.15</c:v>
                </c:pt>
                <c:pt idx="2">
                  <c:v>-0.1</c:v>
                </c:pt>
                <c:pt idx="3">
                  <c:v>-0.05</c:v>
                </c:pt>
                <c:pt idx="4">
                  <c:v>0</c:v>
                </c:pt>
                <c:pt idx="5">
                  <c:v>0.05</c:v>
                </c:pt>
                <c:pt idx="6">
                  <c:v>0.1</c:v>
                </c:pt>
                <c:pt idx="7">
                  <c:v>0.15</c:v>
                </c:pt>
                <c:pt idx="8">
                  <c:v>0.2</c:v>
                </c:pt>
              </c:numCache>
            </c:numRef>
          </c:xVal>
          <c:yVal>
            <c:numRef>
              <c:f>Sensitivity!$AO$92:$AO$100</c:f>
              <c:numCache>
                <c:formatCode>0.0%</c:formatCode>
                <c:ptCount val="9"/>
                <c:pt idx="0">
                  <c:v>4.7076882037253798E-2</c:v>
                </c:pt>
                <c:pt idx="1">
                  <c:v>3.5307661527940404E-2</c:v>
                </c:pt>
                <c:pt idx="2">
                  <c:v>2.3538441018626566E-2</c:v>
                </c:pt>
                <c:pt idx="3">
                  <c:v>1.1769220509313394E-2</c:v>
                </c:pt>
                <c:pt idx="4">
                  <c:v>0</c:v>
                </c:pt>
                <c:pt idx="5">
                  <c:v>-1.1769220509313949E-2</c:v>
                </c:pt>
                <c:pt idx="6">
                  <c:v>-2.3538441018627343E-2</c:v>
                </c:pt>
                <c:pt idx="7">
                  <c:v>-3.530766152794107E-2</c:v>
                </c:pt>
                <c:pt idx="8">
                  <c:v>-4.7076882037254575E-2</c:v>
                </c:pt>
              </c:numCache>
            </c:numRef>
          </c:yVal>
          <c:smooth val="0"/>
          <c:extLst>
            <c:ext xmlns:c16="http://schemas.microsoft.com/office/drawing/2014/chart" uri="{C3380CC4-5D6E-409C-BE32-E72D297353CC}">
              <c16:uniqueId val="{00000001-E42F-41A9-9BE8-F2D54546BA3F}"/>
            </c:ext>
          </c:extLst>
        </c:ser>
        <c:dLbls>
          <c:showLegendKey val="0"/>
          <c:showVal val="0"/>
          <c:showCatName val="0"/>
          <c:showSerName val="0"/>
          <c:showPercent val="0"/>
          <c:showBubbleSize val="0"/>
        </c:dLbls>
        <c:axId val="434201679"/>
        <c:axId val="434208519"/>
      </c:scatterChart>
      <c:valAx>
        <c:axId val="4342016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208519"/>
        <c:crosses val="autoZero"/>
        <c:crossBetween val="midCat"/>
      </c:valAx>
      <c:valAx>
        <c:axId val="4342085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201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Energy</a:t>
            </a:r>
            <a:r>
              <a:rPr lang="en-AU" baseline="0"/>
              <a:t> cost</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Graphs!$C$13:$D$13</c:f>
              <c:strCache>
                <c:ptCount val="2"/>
                <c:pt idx="0">
                  <c:v>Weighted average electricity cost for electric buses</c:v>
                </c:pt>
                <c:pt idx="1">
                  <c:v>$/kWh</c:v>
                </c:pt>
              </c:strCache>
            </c:strRef>
          </c:tx>
          <c:spPr>
            <a:solidFill>
              <a:schemeClr val="accent5">
                <a:lumMod val="20000"/>
                <a:lumOff val="80000"/>
              </a:schemeClr>
            </a:solidFill>
            <a:ln>
              <a:noFill/>
            </a:ln>
            <a:effectLst/>
          </c:spPr>
          <c:invertIfNegative val="0"/>
          <c:cat>
            <c:numRef>
              <c:f>Graphs!$E$9:$AL$9</c:f>
              <c:numCache>
                <c:formatCode>General</c:formatCode>
                <c:ptCount val="3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numCache>
            </c:numRef>
          </c:cat>
          <c:val>
            <c:numRef>
              <c:f>Graphs!$E$13:$AL$13</c:f>
              <c:numCache>
                <c:formatCode>_(* #,##0.00_);_(* \(#,##0.00\);_(* "-"??_);_(@_)</c:formatCode>
                <c:ptCount val="34"/>
                <c:pt idx="0">
                  <c:v>0.14755094283744888</c:v>
                </c:pt>
                <c:pt idx="1">
                  <c:v>0.14622845315211994</c:v>
                </c:pt>
                <c:pt idx="2">
                  <c:v>0.14576678982717617</c:v>
                </c:pt>
                <c:pt idx="3">
                  <c:v>0.14489373632279459</c:v>
                </c:pt>
                <c:pt idx="4">
                  <c:v>0.14383008223192886</c:v>
                </c:pt>
                <c:pt idx="5">
                  <c:v>0.14264783000390788</c:v>
                </c:pt>
                <c:pt idx="6">
                  <c:v>0.14143709353586251</c:v>
                </c:pt>
                <c:pt idx="7">
                  <c:v>0.14023521514337361</c:v>
                </c:pt>
                <c:pt idx="8">
                  <c:v>0.13899092672111002</c:v>
                </c:pt>
                <c:pt idx="9">
                  <c:v>0.13832945799705504</c:v>
                </c:pt>
                <c:pt idx="10">
                  <c:v>0.13767900600675279</c:v>
                </c:pt>
                <c:pt idx="11">
                  <c:v>0.13703585226114479</c:v>
                </c:pt>
                <c:pt idx="12">
                  <c:v>0.13640984585805097</c:v>
                </c:pt>
                <c:pt idx="13">
                  <c:v>0.13604832693153598</c:v>
                </c:pt>
                <c:pt idx="14">
                  <c:v>0.13571099383851681</c:v>
                </c:pt>
                <c:pt idx="15">
                  <c:v>0.13535913537426603</c:v>
                </c:pt>
                <c:pt idx="16">
                  <c:v>0.13501830725032346</c:v>
                </c:pt>
                <c:pt idx="17">
                  <c:v>0.13469928623647126</c:v>
                </c:pt>
                <c:pt idx="18">
                  <c:v>0.13440205291832355</c:v>
                </c:pt>
                <c:pt idx="19">
                  <c:v>0.13412264737843618</c:v>
                </c:pt>
                <c:pt idx="20">
                  <c:v>0.13385718480205974</c:v>
                </c:pt>
                <c:pt idx="21">
                  <c:v>0.13358524813116526</c:v>
                </c:pt>
                <c:pt idx="22">
                  <c:v>0.13333068455360045</c:v>
                </c:pt>
                <c:pt idx="23">
                  <c:v>0.13307791321170145</c:v>
                </c:pt>
                <c:pt idx="24">
                  <c:v>0.13281514800078834</c:v>
                </c:pt>
                <c:pt idx="25">
                  <c:v>0.13268788083092928</c:v>
                </c:pt>
                <c:pt idx="26">
                  <c:v>0.13255329860665574</c:v>
                </c:pt>
                <c:pt idx="27">
                  <c:v>0.13239498758175705</c:v>
                </c:pt>
                <c:pt idx="28">
                  <c:v>0.13222197335834623</c:v>
                </c:pt>
                <c:pt idx="29">
                  <c:v>0.13222197335834623</c:v>
                </c:pt>
                <c:pt idx="30">
                  <c:v>0.13222197335834623</c:v>
                </c:pt>
                <c:pt idx="31">
                  <c:v>0.13222197335834623</c:v>
                </c:pt>
                <c:pt idx="32">
                  <c:v>0.13222197335834623</c:v>
                </c:pt>
                <c:pt idx="33">
                  <c:v>0.13222197335834623</c:v>
                </c:pt>
              </c:numCache>
            </c:numRef>
          </c:val>
          <c:extLst>
            <c:ext xmlns:c16="http://schemas.microsoft.com/office/drawing/2014/chart" uri="{C3380CC4-5D6E-409C-BE32-E72D297353CC}">
              <c16:uniqueId val="{00000003-8449-41B3-88EF-41904953E69E}"/>
            </c:ext>
          </c:extLst>
        </c:ser>
        <c:dLbls>
          <c:showLegendKey val="0"/>
          <c:showVal val="0"/>
          <c:showCatName val="0"/>
          <c:showSerName val="0"/>
          <c:showPercent val="0"/>
          <c:showBubbleSize val="0"/>
        </c:dLbls>
        <c:gapWidth val="150"/>
        <c:axId val="480683216"/>
        <c:axId val="648903752"/>
      </c:barChart>
      <c:lineChart>
        <c:grouping val="standard"/>
        <c:varyColors val="0"/>
        <c:ser>
          <c:idx val="0"/>
          <c:order val="0"/>
          <c:tx>
            <c:strRef>
              <c:f>Graphs!$C$10:$D$10</c:f>
              <c:strCache>
                <c:ptCount val="2"/>
                <c:pt idx="0">
                  <c:v>Diesel (Retail excluding ETS)</c:v>
                </c:pt>
                <c:pt idx="1">
                  <c:v>$/l</c:v>
                </c:pt>
              </c:strCache>
            </c:strRef>
          </c:tx>
          <c:spPr>
            <a:ln w="28575" cap="rnd">
              <a:solidFill>
                <a:schemeClr val="bg1">
                  <a:lumMod val="50000"/>
                </a:schemeClr>
              </a:solidFill>
              <a:round/>
            </a:ln>
            <a:effectLst/>
          </c:spPr>
          <c:marker>
            <c:symbol val="none"/>
          </c:marker>
          <c:cat>
            <c:numRef>
              <c:f>Graphs!$E$9:$AL$9</c:f>
              <c:numCache>
                <c:formatCode>General</c:formatCode>
                <c:ptCount val="3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numCache>
            </c:numRef>
          </c:cat>
          <c:val>
            <c:numRef>
              <c:f>Graphs!$E$10:$AL$10</c:f>
              <c:numCache>
                <c:formatCode>_(* #,##0.00_);_(* \(#,##0.00\);_(* "-"??_);_(@_)</c:formatCode>
                <c:ptCount val="34"/>
                <c:pt idx="0">
                  <c:v>1.95</c:v>
                </c:pt>
                <c:pt idx="1">
                  <c:v>1.95</c:v>
                </c:pt>
                <c:pt idx="2">
                  <c:v>1.5577780095040483</c:v>
                </c:pt>
                <c:pt idx="3">
                  <c:v>1.5577780095040483</c:v>
                </c:pt>
                <c:pt idx="4">
                  <c:v>1.5577780095040483</c:v>
                </c:pt>
                <c:pt idx="5">
                  <c:v>1.5577780095040483</c:v>
                </c:pt>
                <c:pt idx="6">
                  <c:v>1.5577780095040483</c:v>
                </c:pt>
                <c:pt idx="7">
                  <c:v>1.5577780095040483</c:v>
                </c:pt>
                <c:pt idx="8">
                  <c:v>1.5577780095040483</c:v>
                </c:pt>
                <c:pt idx="9">
                  <c:v>1.5577780095040483</c:v>
                </c:pt>
                <c:pt idx="10">
                  <c:v>1.5577780095040483</c:v>
                </c:pt>
                <c:pt idx="11">
                  <c:v>1.5577780095040483</c:v>
                </c:pt>
                <c:pt idx="12">
                  <c:v>1.5577780095040483</c:v>
                </c:pt>
                <c:pt idx="13">
                  <c:v>1.5577780095040483</c:v>
                </c:pt>
                <c:pt idx="14">
                  <c:v>1.5577780095040483</c:v>
                </c:pt>
                <c:pt idx="15">
                  <c:v>1.5577780095040483</c:v>
                </c:pt>
                <c:pt idx="16">
                  <c:v>1.5577780095040483</c:v>
                </c:pt>
                <c:pt idx="17">
                  <c:v>1.5577780095040483</c:v>
                </c:pt>
                <c:pt idx="18">
                  <c:v>1.5577780095040483</c:v>
                </c:pt>
                <c:pt idx="19">
                  <c:v>1.5577780095040483</c:v>
                </c:pt>
                <c:pt idx="20">
                  <c:v>1.5577780095040483</c:v>
                </c:pt>
                <c:pt idx="21">
                  <c:v>1.5577780095040483</c:v>
                </c:pt>
                <c:pt idx="22">
                  <c:v>1.5577780095040483</c:v>
                </c:pt>
                <c:pt idx="23">
                  <c:v>1.5577780095040483</c:v>
                </c:pt>
                <c:pt idx="24">
                  <c:v>1.5577780095040483</c:v>
                </c:pt>
                <c:pt idx="25">
                  <c:v>1.5577780095040483</c:v>
                </c:pt>
                <c:pt idx="26">
                  <c:v>1.5577780095040483</c:v>
                </c:pt>
                <c:pt idx="27">
                  <c:v>1.5577780095040483</c:v>
                </c:pt>
                <c:pt idx="28">
                  <c:v>1.5577780095040483</c:v>
                </c:pt>
                <c:pt idx="29">
                  <c:v>1.5577780095040483</c:v>
                </c:pt>
                <c:pt idx="30">
                  <c:v>1.5577780095040483</c:v>
                </c:pt>
                <c:pt idx="31">
                  <c:v>1.5577780095040483</c:v>
                </c:pt>
                <c:pt idx="32">
                  <c:v>1.5577780095040483</c:v>
                </c:pt>
                <c:pt idx="33">
                  <c:v>1.5577780095040483</c:v>
                </c:pt>
              </c:numCache>
            </c:numRef>
          </c:val>
          <c:smooth val="0"/>
          <c:extLst>
            <c:ext xmlns:c16="http://schemas.microsoft.com/office/drawing/2014/chart" uri="{C3380CC4-5D6E-409C-BE32-E72D297353CC}">
              <c16:uniqueId val="{00000000-8449-41B3-88EF-41904953E69E}"/>
            </c:ext>
          </c:extLst>
        </c:ser>
        <c:ser>
          <c:idx val="1"/>
          <c:order val="1"/>
          <c:tx>
            <c:strRef>
              <c:f>Graphs!$C$11:$D$11</c:f>
              <c:strCache>
                <c:ptCount val="2"/>
                <c:pt idx="0">
                  <c:v>Hydrogen</c:v>
                </c:pt>
                <c:pt idx="1">
                  <c:v>$/kg</c:v>
                </c:pt>
              </c:strCache>
            </c:strRef>
          </c:tx>
          <c:spPr>
            <a:ln w="28575" cap="rnd">
              <a:solidFill>
                <a:schemeClr val="accent1"/>
              </a:solidFill>
              <a:round/>
            </a:ln>
            <a:effectLst/>
          </c:spPr>
          <c:marker>
            <c:symbol val="none"/>
          </c:marker>
          <c:cat>
            <c:numRef>
              <c:f>Graphs!$E$9:$AL$9</c:f>
              <c:numCache>
                <c:formatCode>General</c:formatCode>
                <c:ptCount val="3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numCache>
            </c:numRef>
          </c:cat>
          <c:val>
            <c:numRef>
              <c:f>Graphs!$E$11:$AL$11</c:f>
              <c:numCache>
                <c:formatCode>_(* #,##0.00_);_(* \(#,##0.00\);_(* "-"??_);_(@_)</c:formatCode>
                <c:ptCount val="34"/>
                <c:pt idx="0">
                  <c:v>19.380431301305965</c:v>
                </c:pt>
                <c:pt idx="1">
                  <c:v>17.76086260261193</c:v>
                </c:pt>
                <c:pt idx="2">
                  <c:v>16.141293903917894</c:v>
                </c:pt>
                <c:pt idx="3">
                  <c:v>14.521725205223861</c:v>
                </c:pt>
                <c:pt idx="4">
                  <c:v>12.902156506529828</c:v>
                </c:pt>
                <c:pt idx="5">
                  <c:v>11.282587807835794</c:v>
                </c:pt>
                <c:pt idx="6">
                  <c:v>9.6630191091417608</c:v>
                </c:pt>
                <c:pt idx="7">
                  <c:v>8.0434504104477274</c:v>
                </c:pt>
                <c:pt idx="8">
                  <c:v>6.4238817117536939</c:v>
                </c:pt>
                <c:pt idx="9">
                  <c:v>6.3060671942407822</c:v>
                </c:pt>
                <c:pt idx="10">
                  <c:v>6.1910464206559706</c:v>
                </c:pt>
                <c:pt idx="11">
                  <c:v>6.0787420038775632</c:v>
                </c:pt>
                <c:pt idx="12">
                  <c:v>5.969078933904119</c:v>
                </c:pt>
                <c:pt idx="13">
                  <c:v>5.8619845007146703</c:v>
                </c:pt>
                <c:pt idx="14">
                  <c:v>5.7573882196984778</c:v>
                </c:pt>
                <c:pt idx="15">
                  <c:v>5.6552217595677359</c:v>
                </c:pt>
                <c:pt idx="16">
                  <c:v>5.5554188726695388</c:v>
                </c:pt>
                <c:pt idx="17">
                  <c:v>5.4579153276163108</c:v>
                </c:pt>
                <c:pt idx="18">
                  <c:v>5.3626488441565865</c:v>
                </c:pt>
                <c:pt idx="19">
                  <c:v>5.2695590302107282</c:v>
                </c:pt>
                <c:pt idx="20">
                  <c:v>5.1785873209986475</c:v>
                </c:pt>
                <c:pt idx="21">
                  <c:v>5.0896769201891541</c:v>
                </c:pt>
                <c:pt idx="22">
                  <c:v>5.0027727430028435</c:v>
                </c:pt>
                <c:pt idx="23">
                  <c:v>4.9178213612028356</c:v>
                </c:pt>
                <c:pt idx="24">
                  <c:v>4.834770949909827</c:v>
                </c:pt>
                <c:pt idx="25">
                  <c:v>4.7535712361800995</c:v>
                </c:pt>
                <c:pt idx="26">
                  <c:v>4.6741734492872036</c:v>
                </c:pt>
                <c:pt idx="27">
                  <c:v>4.5965302726500479</c:v>
                </c:pt>
                <c:pt idx="28">
                  <c:v>4.5205957973520334</c:v>
                </c:pt>
                <c:pt idx="29">
                  <c:v>4.5205957973520334</c:v>
                </c:pt>
                <c:pt idx="30">
                  <c:v>4.5205957973520334</c:v>
                </c:pt>
                <c:pt idx="31">
                  <c:v>4.5205957973520334</c:v>
                </c:pt>
                <c:pt idx="32">
                  <c:v>4.5205957973520334</c:v>
                </c:pt>
                <c:pt idx="33">
                  <c:v>4.5205957973520334</c:v>
                </c:pt>
              </c:numCache>
            </c:numRef>
          </c:val>
          <c:smooth val="0"/>
          <c:extLst>
            <c:ext xmlns:c16="http://schemas.microsoft.com/office/drawing/2014/chart" uri="{C3380CC4-5D6E-409C-BE32-E72D297353CC}">
              <c16:uniqueId val="{00000001-8449-41B3-88EF-41904953E69E}"/>
            </c:ext>
          </c:extLst>
        </c:ser>
        <c:ser>
          <c:idx val="2"/>
          <c:order val="2"/>
          <c:tx>
            <c:strRef>
              <c:f>Graphs!$C$12:$D$12</c:f>
              <c:strCache>
                <c:ptCount val="2"/>
                <c:pt idx="0">
                  <c:v>Renewable diesel price</c:v>
                </c:pt>
                <c:pt idx="1">
                  <c:v>$/l</c:v>
                </c:pt>
              </c:strCache>
            </c:strRef>
          </c:tx>
          <c:spPr>
            <a:ln w="28575" cap="rnd">
              <a:solidFill>
                <a:schemeClr val="accent6"/>
              </a:solidFill>
              <a:round/>
            </a:ln>
            <a:effectLst/>
          </c:spPr>
          <c:marker>
            <c:symbol val="none"/>
          </c:marker>
          <c:cat>
            <c:numRef>
              <c:f>Graphs!$E$9:$AL$9</c:f>
              <c:numCache>
                <c:formatCode>General</c:formatCode>
                <c:ptCount val="3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numCache>
            </c:numRef>
          </c:cat>
          <c:val>
            <c:numRef>
              <c:f>Graphs!$E$12:$AL$12</c:f>
              <c:numCache>
                <c:formatCode>_(* #,##0.00_);_(* \(#,##0.00\);_(* "-"??_);_(@_)</c:formatCode>
                <c:ptCount val="34"/>
                <c:pt idx="0">
                  <c:v>5.2650000000000006</c:v>
                </c:pt>
                <c:pt idx="1">
                  <c:v>5.2650000000000006</c:v>
                </c:pt>
                <c:pt idx="2">
                  <c:v>4.2356623706599841</c:v>
                </c:pt>
                <c:pt idx="3">
                  <c:v>4.0863618171503449</c:v>
                </c:pt>
                <c:pt idx="4">
                  <c:v>3.9370612636407056</c:v>
                </c:pt>
                <c:pt idx="5">
                  <c:v>3.8624109868858851</c:v>
                </c:pt>
                <c:pt idx="6">
                  <c:v>3.7877607101310655</c:v>
                </c:pt>
                <c:pt idx="7">
                  <c:v>3.7131104333762464</c:v>
                </c:pt>
                <c:pt idx="8">
                  <c:v>3.6384601566214263</c:v>
                </c:pt>
                <c:pt idx="9">
                  <c:v>3.6384601566214263</c:v>
                </c:pt>
                <c:pt idx="10">
                  <c:v>3.6384601566214263</c:v>
                </c:pt>
                <c:pt idx="11">
                  <c:v>3.6384601566214263</c:v>
                </c:pt>
                <c:pt idx="12">
                  <c:v>3.6384601566214263</c:v>
                </c:pt>
                <c:pt idx="13">
                  <c:v>3.6384601566214263</c:v>
                </c:pt>
                <c:pt idx="14">
                  <c:v>3.6384601566214263</c:v>
                </c:pt>
                <c:pt idx="15">
                  <c:v>3.6384601566214263</c:v>
                </c:pt>
                <c:pt idx="16">
                  <c:v>3.6384601566214263</c:v>
                </c:pt>
                <c:pt idx="17">
                  <c:v>3.6384601566214263</c:v>
                </c:pt>
                <c:pt idx="18">
                  <c:v>3.6384601566214263</c:v>
                </c:pt>
                <c:pt idx="19">
                  <c:v>3.6384601566214263</c:v>
                </c:pt>
                <c:pt idx="20">
                  <c:v>3.6384601566214263</c:v>
                </c:pt>
                <c:pt idx="21">
                  <c:v>3.6384601566214263</c:v>
                </c:pt>
                <c:pt idx="22">
                  <c:v>3.6384601566214263</c:v>
                </c:pt>
                <c:pt idx="23">
                  <c:v>3.6384601566214263</c:v>
                </c:pt>
                <c:pt idx="24">
                  <c:v>3.6384601566214263</c:v>
                </c:pt>
                <c:pt idx="25">
                  <c:v>3.6384601566214263</c:v>
                </c:pt>
                <c:pt idx="26">
                  <c:v>3.6384601566214263</c:v>
                </c:pt>
                <c:pt idx="27">
                  <c:v>3.6384601566214263</c:v>
                </c:pt>
                <c:pt idx="28">
                  <c:v>3.6384601566214263</c:v>
                </c:pt>
                <c:pt idx="29">
                  <c:v>3.6384601566214263</c:v>
                </c:pt>
                <c:pt idx="30">
                  <c:v>3.6384601566214263</c:v>
                </c:pt>
                <c:pt idx="31">
                  <c:v>3.6384601566214263</c:v>
                </c:pt>
                <c:pt idx="32">
                  <c:v>3.6384601566214263</c:v>
                </c:pt>
                <c:pt idx="33">
                  <c:v>3.6384601566214263</c:v>
                </c:pt>
              </c:numCache>
            </c:numRef>
          </c:val>
          <c:smooth val="0"/>
          <c:extLst>
            <c:ext xmlns:c16="http://schemas.microsoft.com/office/drawing/2014/chart" uri="{C3380CC4-5D6E-409C-BE32-E72D297353CC}">
              <c16:uniqueId val="{00000002-8449-41B3-88EF-41904953E69E}"/>
            </c:ext>
          </c:extLst>
        </c:ser>
        <c:dLbls>
          <c:showLegendKey val="0"/>
          <c:showVal val="0"/>
          <c:showCatName val="0"/>
          <c:showSerName val="0"/>
          <c:showPercent val="0"/>
          <c:showBubbleSize val="0"/>
        </c:dLbls>
        <c:marker val="1"/>
        <c:smooth val="0"/>
        <c:axId val="1105782616"/>
        <c:axId val="1105784416"/>
      </c:lineChart>
      <c:catAx>
        <c:axId val="110578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784416"/>
        <c:crosses val="autoZero"/>
        <c:auto val="1"/>
        <c:lblAlgn val="ctr"/>
        <c:lblOffset val="100"/>
        <c:noMultiLvlLbl val="0"/>
      </c:catAx>
      <c:valAx>
        <c:axId val="1105784416"/>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782616"/>
        <c:crosses val="autoZero"/>
        <c:crossBetween val="between"/>
      </c:valAx>
      <c:valAx>
        <c:axId val="64890375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683216"/>
        <c:crosses val="max"/>
        <c:crossBetween val="between"/>
      </c:valAx>
      <c:catAx>
        <c:axId val="480683216"/>
        <c:scaling>
          <c:orientation val="minMax"/>
        </c:scaling>
        <c:delete val="1"/>
        <c:axPos val="b"/>
        <c:numFmt formatCode="General" sourceLinked="1"/>
        <c:majorTickMark val="out"/>
        <c:minorTickMark val="none"/>
        <c:tickLblPos val="nextTo"/>
        <c:crossAx val="648903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Results!$L$47</c:f>
              <c:strCache>
                <c:ptCount val="1"/>
                <c:pt idx="0">
                  <c:v>MAC</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Results!$J$48:$J$52</c:f>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f>Results!$L$48:$L$52</c:f>
              <c:numCache>
                <c:formatCode>_(* #,##0.00_);_(* \(#,##0.00\);_(* "-"??_);_(@_)</c:formatCode>
                <c:ptCount val="5"/>
                <c:pt idx="0">
                  <c:v>2.2988099517527729</c:v>
                </c:pt>
                <c:pt idx="1">
                  <c:v>-40.627879105797334</c:v>
                </c:pt>
                <c:pt idx="2">
                  <c:v>-0.5232886997574705</c:v>
                </c:pt>
                <c:pt idx="3">
                  <c:v>-0.53089301929864752</c:v>
                </c:pt>
                <c:pt idx="4">
                  <c:v>-0.40350619875711008</c:v>
                </c:pt>
              </c:numCache>
            </c:numRef>
          </c:val>
          <c:extLst>
            <c:ext xmlns:c16="http://schemas.microsoft.com/office/drawing/2014/chart" uri="{C3380CC4-5D6E-409C-BE32-E72D297353CC}">
              <c16:uniqueId val="{00000001-1B9D-4C66-A11E-60A884624292}"/>
            </c:ext>
          </c:extLst>
        </c:ser>
        <c:dLbls>
          <c:showLegendKey val="0"/>
          <c:showVal val="0"/>
          <c:showCatName val="0"/>
          <c:showSerName val="0"/>
          <c:showPercent val="0"/>
          <c:showBubbleSize val="0"/>
        </c:dLbls>
        <c:gapWidth val="219"/>
        <c:overlap val="-27"/>
        <c:axId val="592618376"/>
        <c:axId val="592617656"/>
        <c:extLst>
          <c:ext xmlns:c15="http://schemas.microsoft.com/office/drawing/2012/chart" uri="{02D57815-91ED-43cb-92C2-25804820EDAC}">
            <c15:filteredBarSeries>
              <c15:ser>
                <c:idx val="0"/>
                <c:order val="0"/>
                <c:tx>
                  <c:strRef>
                    <c:extLst>
                      <c:ext uri="{02D57815-91ED-43cb-92C2-25804820EDAC}">
                        <c15:formulaRef>
                          <c15:sqref>Results!$K$47</c15:sqref>
                        </c15:formulaRef>
                      </c:ext>
                    </c:extLst>
                    <c:strCache>
                      <c:ptCount val="1"/>
                      <c:pt idx="0">
                        <c:v>Unit</c:v>
                      </c:pt>
                    </c:strCache>
                  </c:strRef>
                </c:tx>
                <c:spPr>
                  <a:solidFill>
                    <a:schemeClr val="accent1"/>
                  </a:solidFill>
                  <a:ln>
                    <a:noFill/>
                  </a:ln>
                  <a:effectLst/>
                </c:spPr>
                <c:invertIfNegative val="0"/>
                <c:cat>
                  <c:strRef>
                    <c:extLst>
                      <c:ext uri="{02D57815-91ED-43cb-92C2-25804820EDAC}">
                        <c15:formulaRef>
                          <c15:sqref>Results!$J$48:$J$52</c15:sqref>
                        </c15:formulaRef>
                      </c:ext>
                    </c:extLst>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extLst>
                      <c:ext uri="{02D57815-91ED-43cb-92C2-25804820EDAC}">
                        <c15:formulaRef>
                          <c15:sqref>Results!$K$48:$K$52</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1B9D-4C66-A11E-60A884624292}"/>
                  </c:ext>
                </c:extLst>
              </c15:ser>
            </c15:filteredBarSeries>
          </c:ext>
        </c:extLst>
      </c:barChart>
      <c:catAx>
        <c:axId val="592618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617656"/>
        <c:crosses val="autoZero"/>
        <c:auto val="1"/>
        <c:lblAlgn val="ctr"/>
        <c:lblOffset val="100"/>
        <c:noMultiLvlLbl val="0"/>
      </c:catAx>
      <c:valAx>
        <c:axId val="592617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AU" sz="800" b="0" i="0" u="none" strike="noStrike" kern="1200" baseline="0">
                  <a:solidFill>
                    <a:sysClr val="windowText" lastClr="000000">
                      <a:lumMod val="65000"/>
                      <a:lumOff val="35000"/>
                    </a:sysClr>
                  </a:solidFill>
                </a:endParaRPr>
              </a:p>
              <a:p>
                <a:pPr>
                  <a:defRPr/>
                </a:pPr>
                <a:r>
                  <a:rPr lang="en-AU" sz="800" b="0" i="0" u="none" strike="noStrike" kern="1200" baseline="0">
                    <a:solidFill>
                      <a:sysClr val="windowText" lastClr="000000">
                        <a:lumMod val="65000"/>
                        <a:lumOff val="35000"/>
                      </a:sysClr>
                    </a:solidFill>
                  </a:rPr>
                  <a:t> $/kgCO2e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618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Results!$F$28</c:f>
              <c:strCache>
                <c:ptCount val="1"/>
                <c:pt idx="0">
                  <c:v>TCO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Results!$B$29:$E$38</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Results!$F$29:$F$38</c:f>
              <c:numCache>
                <c:formatCode>0.00</c:formatCode>
                <c:ptCount val="10"/>
                <c:pt idx="0">
                  <c:v>2.6464591800502228</c:v>
                </c:pt>
                <c:pt idx="1">
                  <c:v>5.0923334812800594</c:v>
                </c:pt>
                <c:pt idx="2">
                  <c:v>3.6273570677146982</c:v>
                </c:pt>
                <c:pt idx="3">
                  <c:v>1.5102529858047551</c:v>
                </c:pt>
                <c:pt idx="4">
                  <c:v>1.5651192789906694</c:v>
                </c:pt>
                <c:pt idx="5">
                  <c:v>1.4364619753052057</c:v>
                </c:pt>
                <c:pt idx="6">
                  <c:v>1.4168478463971743</c:v>
                </c:pt>
                <c:pt idx="7">
                  <c:v>1.7881606736667173</c:v>
                </c:pt>
                <c:pt idx="8">
                  <c:v>1.6787643402851398</c:v>
                </c:pt>
                <c:pt idx="9">
                  <c:v>1.6506483740093914</c:v>
                </c:pt>
              </c:numCache>
            </c:numRef>
          </c:val>
          <c:extLst>
            <c:ext xmlns:c16="http://schemas.microsoft.com/office/drawing/2014/chart" uri="{C3380CC4-5D6E-409C-BE32-E72D297353CC}">
              <c16:uniqueId val="{00000000-CCC4-4AF6-8250-C8945465CA5F}"/>
            </c:ext>
          </c:extLst>
        </c:ser>
        <c:ser>
          <c:idx val="1"/>
          <c:order val="1"/>
          <c:tx>
            <c:strRef>
              <c:f>Results!$G$28</c:f>
              <c:strCache>
                <c:ptCount val="1"/>
                <c:pt idx="0">
                  <c:v>TCO Inc. Emissions</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Results!$B$29:$E$38</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Results!$G$29:$G$38</c:f>
              <c:numCache>
                <c:formatCode>_(* #,##0.00_);_(* \(#,##0.00\);_(* "-"??_);_(@_)</c:formatCode>
                <c:ptCount val="10"/>
                <c:pt idx="0">
                  <c:v>7.0282470345810744</c:v>
                </c:pt>
                <c:pt idx="1">
                  <c:v>9.8849097853391186</c:v>
                </c:pt>
                <c:pt idx="2">
                  <c:v>8.5537896902051092</c:v>
                </c:pt>
                <c:pt idx="3" formatCode="0.00">
                  <c:v>-3.4499294090488934</c:v>
                </c:pt>
                <c:pt idx="4">
                  <c:v>6.5875164804568431</c:v>
                </c:pt>
                <c:pt idx="5">
                  <c:v>-3.5125449257608308</c:v>
                </c:pt>
                <c:pt idx="6" formatCode="0.00">
                  <c:v>1.5475695244334107</c:v>
                </c:pt>
                <c:pt idx="7">
                  <c:v>6.783763840194367</c:v>
                </c:pt>
                <c:pt idx="8">
                  <c:v>-3.2989926723963556</c:v>
                </c:pt>
                <c:pt idx="9">
                  <c:v>1.7450187381340596</c:v>
                </c:pt>
              </c:numCache>
            </c:numRef>
          </c:val>
          <c:extLst>
            <c:ext xmlns:c16="http://schemas.microsoft.com/office/drawing/2014/chart" uri="{C3380CC4-5D6E-409C-BE32-E72D297353CC}">
              <c16:uniqueId val="{00000001-CCC4-4AF6-8250-C8945465CA5F}"/>
            </c:ext>
          </c:extLst>
        </c:ser>
        <c:dLbls>
          <c:showLegendKey val="0"/>
          <c:showVal val="0"/>
          <c:showCatName val="0"/>
          <c:showSerName val="0"/>
          <c:showPercent val="0"/>
          <c:showBubbleSize val="0"/>
        </c:dLbls>
        <c:gapWidth val="150"/>
        <c:axId val="925944768"/>
        <c:axId val="925935048"/>
      </c:barChart>
      <c:catAx>
        <c:axId val="925944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35048"/>
        <c:crosses val="autoZero"/>
        <c:auto val="1"/>
        <c:lblAlgn val="ctr"/>
        <c:lblOffset val="100"/>
        <c:noMultiLvlLbl val="0"/>
      </c:catAx>
      <c:valAx>
        <c:axId val="925935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4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Results!$F$47</c:f>
              <c:strCache>
                <c:ptCount val="1"/>
                <c:pt idx="0">
                  <c:v>TCO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Results!$B$48:$E$57</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Results!$F$48:$F$57</c:f>
              <c:numCache>
                <c:formatCode>0.00</c:formatCode>
                <c:ptCount val="10"/>
                <c:pt idx="0">
                  <c:v>3.5967722341335588</c:v>
                </c:pt>
                <c:pt idx="1">
                  <c:v>6.8647528602285375</c:v>
                </c:pt>
                <c:pt idx="2">
                  <c:v>3.4592568565254895</c:v>
                </c:pt>
                <c:pt idx="3">
                  <c:v>1.3113526071209884</c:v>
                </c:pt>
                <c:pt idx="4">
                  <c:v>1.9202596150590976</c:v>
                </c:pt>
                <c:pt idx="5">
                  <c:v>1.2781413775692403</c:v>
                </c:pt>
                <c:pt idx="6">
                  <c:v>1.2702848662723201</c:v>
                </c:pt>
                <c:pt idx="7">
                  <c:v>2.0939602675166786</c:v>
                </c:pt>
                <c:pt idx="8">
                  <c:v>1.7757465899846316</c:v>
                </c:pt>
                <c:pt idx="9">
                  <c:v>1.75813311373839</c:v>
                </c:pt>
              </c:numCache>
            </c:numRef>
          </c:val>
          <c:extLst>
            <c:ext xmlns:c16="http://schemas.microsoft.com/office/drawing/2014/chart" uri="{C3380CC4-5D6E-409C-BE32-E72D297353CC}">
              <c16:uniqueId val="{00000000-5441-4A40-8A3A-E14C8FB9A465}"/>
            </c:ext>
          </c:extLst>
        </c:ser>
        <c:ser>
          <c:idx val="1"/>
          <c:order val="1"/>
          <c:tx>
            <c:strRef>
              <c:f>Results!$G$47</c:f>
              <c:strCache>
                <c:ptCount val="1"/>
                <c:pt idx="0">
                  <c:v>TCO Inc. Emissions</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Results!$B$48:$E$57</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Results!$G$48:$G$57</c:f>
              <c:numCache>
                <c:formatCode>_(* #,##0.00_);_(* \(#,##0.00\);_(* "-"??_);_(@_)</c:formatCode>
                <c:ptCount val="10"/>
                <c:pt idx="0">
                  <c:v>6.5898747034966441</c:v>
                </c:pt>
                <c:pt idx="1">
                  <c:v>10.108225309193534</c:v>
                </c:pt>
                <c:pt idx="2">
                  <c:v>6.8152011773395031</c:v>
                </c:pt>
                <c:pt idx="3" formatCode="0.00">
                  <c:v>-2.0702865293263208</c:v>
                </c:pt>
                <c:pt idx="4">
                  <c:v>5.3462377425327556</c:v>
                </c:pt>
                <c:pt idx="5">
                  <c:v>-2.0973467038432614</c:v>
                </c:pt>
                <c:pt idx="6" formatCode="0.00">
                  <c:v>1.3484833605375708</c:v>
                </c:pt>
                <c:pt idx="7">
                  <c:v>5.5003274026029683</c:v>
                </c:pt>
                <c:pt idx="8">
                  <c:v>-1.6208051604862734</c:v>
                </c:pt>
                <c:pt idx="9">
                  <c:v>1.8108694915874983</c:v>
                </c:pt>
              </c:numCache>
            </c:numRef>
          </c:val>
          <c:extLst>
            <c:ext xmlns:c16="http://schemas.microsoft.com/office/drawing/2014/chart" uri="{C3380CC4-5D6E-409C-BE32-E72D297353CC}">
              <c16:uniqueId val="{00000001-5441-4A40-8A3A-E14C8FB9A465}"/>
            </c:ext>
          </c:extLst>
        </c:ser>
        <c:dLbls>
          <c:showLegendKey val="0"/>
          <c:showVal val="0"/>
          <c:showCatName val="0"/>
          <c:showSerName val="0"/>
          <c:showPercent val="0"/>
          <c:showBubbleSize val="0"/>
        </c:dLbls>
        <c:gapWidth val="150"/>
        <c:axId val="925944768"/>
        <c:axId val="925935048"/>
      </c:barChart>
      <c:catAx>
        <c:axId val="925944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35048"/>
        <c:crosses val="autoZero"/>
        <c:auto val="1"/>
        <c:lblAlgn val="ctr"/>
        <c:lblOffset val="100"/>
        <c:noMultiLvlLbl val="0"/>
      </c:catAx>
      <c:valAx>
        <c:axId val="925935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4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Results!$F$10</c:f>
              <c:strCache>
                <c:ptCount val="1"/>
                <c:pt idx="0">
                  <c:v>TCO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Results!$B$11:$E$20</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Results!$F$11:$F$20</c:f>
              <c:numCache>
                <c:formatCode>0.00</c:formatCode>
                <c:ptCount val="10"/>
                <c:pt idx="0">
                  <c:v>1.6629829831671723</c:v>
                </c:pt>
                <c:pt idx="1">
                  <c:v>2.9559941027314007</c:v>
                </c:pt>
                <c:pt idx="2">
                  <c:v>1.6063503532844225</c:v>
                </c:pt>
                <c:pt idx="3">
                  <c:v>1.1605356246411285</c:v>
                </c:pt>
                <c:pt idx="4">
                  <c:v>1.0643938998517943</c:v>
                </c:pt>
                <c:pt idx="5">
                  <c:v>1.042967968284175</c:v>
                </c:pt>
                <c:pt idx="6">
                  <c:v>1.0397227003065697</c:v>
                </c:pt>
                <c:pt idx="7">
                  <c:v>1.2054026249199206</c:v>
                </c:pt>
                <c:pt idx="8">
                  <c:v>1.4817177470070486</c:v>
                </c:pt>
                <c:pt idx="9">
                  <c:v>1.46986954219174</c:v>
                </c:pt>
              </c:numCache>
            </c:numRef>
          </c:val>
          <c:extLst>
            <c:ext xmlns:c16="http://schemas.microsoft.com/office/drawing/2014/chart" uri="{C3380CC4-5D6E-409C-BE32-E72D297353CC}">
              <c16:uniqueId val="{00000000-3D5C-4EAF-BBAE-C9912761B659}"/>
            </c:ext>
          </c:extLst>
        </c:ser>
        <c:ser>
          <c:idx val="1"/>
          <c:order val="1"/>
          <c:tx>
            <c:strRef>
              <c:f>Results!$G$10</c:f>
              <c:strCache>
                <c:ptCount val="1"/>
                <c:pt idx="0">
                  <c:v>TCO Inc. Emissions</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Results!$B$11:$E$20</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Results!$G$11:$G$20</c:f>
              <c:numCache>
                <c:formatCode>_(* #,##0.00_);_(* \(#,##0.00\);_(* "-"??_);_(@_)</c:formatCode>
                <c:ptCount val="10"/>
                <c:pt idx="0">
                  <c:v>4.4846460274884885</c:v>
                </c:pt>
                <c:pt idx="1">
                  <c:v>6.1098054305946174</c:v>
                </c:pt>
                <c:pt idx="2">
                  <c:v>4.7943340279663733</c:v>
                </c:pt>
                <c:pt idx="3" formatCode="0.00">
                  <c:v>-2.0431385988760793</c:v>
                </c:pt>
                <c:pt idx="4">
                  <c:v>4.3154284119706192</c:v>
                </c:pt>
                <c:pt idx="5">
                  <c:v>-2.154553846862298</c:v>
                </c:pt>
                <c:pt idx="6" formatCode="0.00">
                  <c:v>1.1194580300486856</c:v>
                </c:pt>
                <c:pt idx="7">
                  <c:v>4.4353710659265841</c:v>
                </c:pt>
                <c:pt idx="8">
                  <c:v>-1.7384353093842304</c:v>
                </c:pt>
                <c:pt idx="9">
                  <c:v>1.5226059200408484</c:v>
                </c:pt>
              </c:numCache>
            </c:numRef>
          </c:val>
          <c:extLst>
            <c:ext xmlns:c16="http://schemas.microsoft.com/office/drawing/2014/chart" uri="{C3380CC4-5D6E-409C-BE32-E72D297353CC}">
              <c16:uniqueId val="{00000001-3D5C-4EAF-BBAE-C9912761B659}"/>
            </c:ext>
          </c:extLst>
        </c:ser>
        <c:dLbls>
          <c:showLegendKey val="0"/>
          <c:showVal val="0"/>
          <c:showCatName val="0"/>
          <c:showSerName val="0"/>
          <c:showPercent val="0"/>
          <c:showBubbleSize val="0"/>
        </c:dLbls>
        <c:gapWidth val="150"/>
        <c:axId val="925944768"/>
        <c:axId val="925935048"/>
      </c:barChart>
      <c:catAx>
        <c:axId val="925944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35048"/>
        <c:crosses val="autoZero"/>
        <c:auto val="1"/>
        <c:lblAlgn val="ctr"/>
        <c:lblOffset val="100"/>
        <c:noMultiLvlLbl val="0"/>
      </c:catAx>
      <c:valAx>
        <c:axId val="925935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4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Results!$F$10</c:f>
              <c:strCache>
                <c:ptCount val="1"/>
                <c:pt idx="0">
                  <c:v>TCO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Results!$B$11:$E$20</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Results!$F$11:$F$20</c:f>
              <c:numCache>
                <c:formatCode>0.00</c:formatCode>
                <c:ptCount val="10"/>
                <c:pt idx="0">
                  <c:v>1.6629829831671723</c:v>
                </c:pt>
                <c:pt idx="1">
                  <c:v>2.9559941027314007</c:v>
                </c:pt>
                <c:pt idx="2">
                  <c:v>1.6063503532844225</c:v>
                </c:pt>
                <c:pt idx="3">
                  <c:v>1.1605356246411285</c:v>
                </c:pt>
                <c:pt idx="4">
                  <c:v>1.0643938998517943</c:v>
                </c:pt>
                <c:pt idx="5">
                  <c:v>1.042967968284175</c:v>
                </c:pt>
                <c:pt idx="6">
                  <c:v>1.0397227003065697</c:v>
                </c:pt>
                <c:pt idx="7">
                  <c:v>1.2054026249199206</c:v>
                </c:pt>
                <c:pt idx="8">
                  <c:v>1.4817177470070486</c:v>
                </c:pt>
                <c:pt idx="9">
                  <c:v>1.46986954219174</c:v>
                </c:pt>
              </c:numCache>
            </c:numRef>
          </c:val>
          <c:extLst>
            <c:ext xmlns:c16="http://schemas.microsoft.com/office/drawing/2014/chart" uri="{C3380CC4-5D6E-409C-BE32-E72D297353CC}">
              <c16:uniqueId val="{00000000-216F-41DD-816C-2B862C0F16BA}"/>
            </c:ext>
          </c:extLst>
        </c:ser>
        <c:ser>
          <c:idx val="1"/>
          <c:order val="1"/>
          <c:tx>
            <c:strRef>
              <c:f>Results!$G$10</c:f>
              <c:strCache>
                <c:ptCount val="1"/>
                <c:pt idx="0">
                  <c:v>TCO Inc. Emissions</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Results!$B$11:$E$20</c:f>
              <c:multiLvlStrCache>
                <c:ptCount val="10"/>
                <c:lvl>
                  <c:pt idx="0">
                    <c:v>$/km</c:v>
                  </c:pt>
                  <c:pt idx="1">
                    <c:v>$/km</c:v>
                  </c:pt>
                  <c:pt idx="2">
                    <c:v>$/km</c:v>
                  </c:pt>
                  <c:pt idx="3">
                    <c:v>$/km</c:v>
                  </c:pt>
                  <c:pt idx="4">
                    <c:v>$/km</c:v>
                  </c:pt>
                  <c:pt idx="5">
                    <c:v>$/km</c:v>
                  </c:pt>
                  <c:pt idx="6">
                    <c:v>$/km</c:v>
                  </c:pt>
                  <c:pt idx="7">
                    <c:v>$/km</c:v>
                  </c:pt>
                  <c:pt idx="8">
                    <c:v>$/km</c:v>
                  </c:pt>
                  <c:pt idx="9">
                    <c:v>$/km</c:v>
                  </c:pt>
                </c:lvl>
                <c:lvl>
                  <c:pt idx="0">
                    <c:v> TCO  Diesel  (BAU)</c:v>
                  </c:pt>
                  <c:pt idx="1">
                    <c:v> TCO RE Diesel</c:v>
                  </c:pt>
                  <c:pt idx="2">
                    <c:v> TCO H2 Blending</c:v>
                  </c:pt>
                  <c:pt idx="3">
                    <c:v> TCO Repowered</c:v>
                  </c:pt>
                  <c:pt idx="4">
                    <c:v>TCO 1: End-of-Life Diesel Bus Replacement with BEB</c:v>
                  </c:pt>
                  <c:pt idx="5">
                    <c:v>TCO 2: Immediate Diesel to BEB Bus Replacement</c:v>
                  </c:pt>
                  <c:pt idx="6">
                    <c:v>TCO 3: Immediate Diesel to BEB Bus Replacement with Diesel bus used for Mode Shift</c:v>
                  </c:pt>
                  <c:pt idx="7">
                    <c:v>TCO 1: End-of-Life Diesel Bus Replacement with HFCB</c:v>
                  </c:pt>
                  <c:pt idx="8">
                    <c:v>TCO 2: Immediate Diesel to HFCB Bus Replacement</c:v>
                  </c:pt>
                  <c:pt idx="9">
                    <c:v>TCO 3: Immediate Diesel to HFCB Bus Replacement with Diesel bus used for Mode Shift</c:v>
                  </c:pt>
                </c:lvl>
                <c:lvl>
                  <c:pt idx="0">
                    <c:v>Diesel  (BAU)</c:v>
                  </c:pt>
                  <c:pt idx="1">
                    <c:v>RE Diesel</c:v>
                  </c:pt>
                  <c:pt idx="2">
                    <c:v>H2 Blending</c:v>
                  </c:pt>
                  <c:pt idx="3">
                    <c:v>Repowered</c:v>
                  </c:pt>
                  <c:pt idx="4">
                    <c:v>BEB</c:v>
                  </c:pt>
                  <c:pt idx="5">
                    <c:v>BEB</c:v>
                  </c:pt>
                  <c:pt idx="6">
                    <c:v>BEB</c:v>
                  </c:pt>
                  <c:pt idx="7">
                    <c:v>HFCB</c:v>
                  </c:pt>
                  <c:pt idx="8">
                    <c:v>HFCB</c:v>
                  </c:pt>
                  <c:pt idx="9">
                    <c:v>HFCB</c:v>
                  </c:pt>
                </c:lvl>
              </c:multiLvlStrCache>
            </c:multiLvlStrRef>
          </c:cat>
          <c:val>
            <c:numRef>
              <c:f>Results!$G$11:$G$20</c:f>
              <c:numCache>
                <c:formatCode>_(* #,##0.00_);_(* \(#,##0.00\);_(* "-"??_);_(@_)</c:formatCode>
                <c:ptCount val="10"/>
                <c:pt idx="0">
                  <c:v>4.4846460274884885</c:v>
                </c:pt>
                <c:pt idx="1">
                  <c:v>6.1098054305946174</c:v>
                </c:pt>
                <c:pt idx="2">
                  <c:v>4.7943340279663733</c:v>
                </c:pt>
                <c:pt idx="3" formatCode="0.00">
                  <c:v>-2.0431385988760793</c:v>
                </c:pt>
                <c:pt idx="4">
                  <c:v>4.3154284119706192</c:v>
                </c:pt>
                <c:pt idx="5">
                  <c:v>-2.154553846862298</c:v>
                </c:pt>
                <c:pt idx="6" formatCode="0.00">
                  <c:v>1.1194580300486856</c:v>
                </c:pt>
                <c:pt idx="7">
                  <c:v>4.4353710659265841</c:v>
                </c:pt>
                <c:pt idx="8">
                  <c:v>-1.7384353093842304</c:v>
                </c:pt>
                <c:pt idx="9">
                  <c:v>1.5226059200408484</c:v>
                </c:pt>
              </c:numCache>
            </c:numRef>
          </c:val>
          <c:extLst>
            <c:ext xmlns:c16="http://schemas.microsoft.com/office/drawing/2014/chart" uri="{C3380CC4-5D6E-409C-BE32-E72D297353CC}">
              <c16:uniqueId val="{00000001-216F-41DD-816C-2B862C0F16BA}"/>
            </c:ext>
          </c:extLst>
        </c:ser>
        <c:dLbls>
          <c:showLegendKey val="0"/>
          <c:showVal val="0"/>
          <c:showCatName val="0"/>
          <c:showSerName val="0"/>
          <c:showPercent val="0"/>
          <c:showBubbleSize val="0"/>
        </c:dLbls>
        <c:gapWidth val="150"/>
        <c:axId val="925944768"/>
        <c:axId val="925935048"/>
      </c:barChart>
      <c:catAx>
        <c:axId val="925944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35048"/>
        <c:crosses val="autoZero"/>
        <c:auto val="1"/>
        <c:lblAlgn val="ctr"/>
        <c:lblOffset val="100"/>
        <c:noMultiLvlLbl val="0"/>
      </c:catAx>
      <c:valAx>
        <c:axId val="925935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94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Results!$K$10</c:f>
              <c:strCache>
                <c:ptCount val="1"/>
                <c:pt idx="0">
                  <c:v>Unit</c:v>
                </c:pt>
              </c:strCache>
            </c:strRef>
          </c:tx>
          <c:spPr>
            <a:solidFill>
              <a:schemeClr val="accent1"/>
            </a:solidFill>
            <a:ln>
              <a:noFill/>
            </a:ln>
            <a:effectLst/>
          </c:spPr>
          <c:invertIfNegative val="0"/>
          <c:cat>
            <c:strRef>
              <c:f>Results!$J$11:$J$15</c:f>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f>Results!$K$11:$K$15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A848-4BF0-BDB4-84BF8CB62D39}"/>
            </c:ext>
          </c:extLst>
        </c:ser>
        <c:ser>
          <c:idx val="1"/>
          <c:order val="1"/>
          <c:tx>
            <c:strRef>
              <c:f>Results!$L$10</c:f>
              <c:strCache>
                <c:ptCount val="1"/>
                <c:pt idx="0">
                  <c:v>MAC</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Results!$J$11:$J$15</c:f>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f>Results!$L$11:$L$15</c:f>
              <c:numCache>
                <c:formatCode>_(* #,##0.00_);_(* \(#,##0.00\);_(* "-"??_);_(@_)</c:formatCode>
                <c:ptCount val="5"/>
                <c:pt idx="0">
                  <c:v>2.0168140214966792</c:v>
                </c:pt>
                <c:pt idx="1">
                  <c:v>-37.100487167743005</c:v>
                </c:pt>
                <c:pt idx="2">
                  <c:v>-0.26788537757585146</c:v>
                </c:pt>
                <c:pt idx="3">
                  <c:v>-0.3305678765072454</c:v>
                </c:pt>
                <c:pt idx="4">
                  <c:v>-8.9061225596086521E-2</c:v>
                </c:pt>
              </c:numCache>
            </c:numRef>
          </c:val>
          <c:extLst>
            <c:ext xmlns:c16="http://schemas.microsoft.com/office/drawing/2014/chart" uri="{C3380CC4-5D6E-409C-BE32-E72D297353CC}">
              <c16:uniqueId val="{00000001-A848-4BF0-BDB4-84BF8CB62D39}"/>
            </c:ext>
          </c:extLst>
        </c:ser>
        <c:dLbls>
          <c:showLegendKey val="0"/>
          <c:showVal val="0"/>
          <c:showCatName val="0"/>
          <c:showSerName val="0"/>
          <c:showPercent val="0"/>
          <c:showBubbleSize val="0"/>
        </c:dLbls>
        <c:gapWidth val="219"/>
        <c:overlap val="-27"/>
        <c:axId val="363584920"/>
        <c:axId val="609192056"/>
      </c:barChart>
      <c:catAx>
        <c:axId val="363584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192056"/>
        <c:crosses val="autoZero"/>
        <c:auto val="1"/>
        <c:lblAlgn val="ctr"/>
        <c:lblOffset val="100"/>
        <c:noMultiLvlLbl val="0"/>
      </c:catAx>
      <c:valAx>
        <c:axId val="609192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3584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Results!$K$28</c:f>
              <c:strCache>
                <c:ptCount val="1"/>
                <c:pt idx="0">
                  <c:v>Unit</c:v>
                </c:pt>
              </c:strCache>
            </c:strRef>
          </c:tx>
          <c:spPr>
            <a:solidFill>
              <a:schemeClr val="accent1"/>
            </a:solidFill>
            <a:ln>
              <a:noFill/>
            </a:ln>
            <a:effectLst/>
          </c:spPr>
          <c:invertIfNegative val="0"/>
          <c:cat>
            <c:strRef>
              <c:f>Results!$J$29:$J$33</c:f>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f>Results!$K$29:$K$33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F992-458B-B28A-58D446542404}"/>
            </c:ext>
          </c:extLst>
        </c:ser>
        <c:ser>
          <c:idx val="1"/>
          <c:order val="1"/>
          <c:tx>
            <c:strRef>
              <c:f>Results!$L$28</c:f>
              <c:strCache>
                <c:ptCount val="1"/>
                <c:pt idx="0">
                  <c:v>MAC</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Results!$J$29:$J$33</c:f>
              <c:strCache>
                <c:ptCount val="5"/>
                <c:pt idx="0">
                  <c:v>RE Diesel TCO</c:v>
                </c:pt>
                <c:pt idx="1">
                  <c:v>H2 Blending TCO</c:v>
                </c:pt>
                <c:pt idx="2">
                  <c:v>Repowered TCO</c:v>
                </c:pt>
                <c:pt idx="3">
                  <c:v>BEB TCO 2:  Immediate Diesel to BEB Replacement</c:v>
                </c:pt>
                <c:pt idx="4">
                  <c:v>HFCB TCO 2:  Immediate Diesel to HFCB Bus Replacement</c:v>
                </c:pt>
              </c:strCache>
            </c:strRef>
          </c:cat>
          <c:val>
            <c:numRef>
              <c:f>Results!$L$29:$L$33</c:f>
              <c:numCache>
                <c:formatCode>_(* #,##0.00_);_(* \(#,##0.00\);_(* "-"??_);_(@_)</c:formatCode>
                <c:ptCount val="5"/>
                <c:pt idx="0">
                  <c:v>1.4003772904741361</c:v>
                </c:pt>
                <c:pt idx="1">
                  <c:v>235.87614158949046</c:v>
                </c:pt>
                <c:pt idx="2">
                  <c:v>-0.21174827753135883</c:v>
                </c:pt>
                <c:pt idx="3">
                  <c:v>-0.22550028790563276</c:v>
                </c:pt>
                <c:pt idx="4">
                  <c:v>-0.17452590726592584</c:v>
                </c:pt>
              </c:numCache>
            </c:numRef>
          </c:val>
          <c:extLst>
            <c:ext xmlns:c16="http://schemas.microsoft.com/office/drawing/2014/chart" uri="{C3380CC4-5D6E-409C-BE32-E72D297353CC}">
              <c16:uniqueId val="{00000001-F992-458B-B28A-58D446542404}"/>
            </c:ext>
          </c:extLst>
        </c:ser>
        <c:dLbls>
          <c:showLegendKey val="0"/>
          <c:showVal val="0"/>
          <c:showCatName val="0"/>
          <c:showSerName val="0"/>
          <c:showPercent val="0"/>
          <c:showBubbleSize val="0"/>
        </c:dLbls>
        <c:gapWidth val="219"/>
        <c:overlap val="-27"/>
        <c:axId val="1018678032"/>
        <c:axId val="1018676232"/>
      </c:barChart>
      <c:catAx>
        <c:axId val="101867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8676232"/>
        <c:crosses val="autoZero"/>
        <c:auto val="1"/>
        <c:lblAlgn val="ctr"/>
        <c:lblOffset val="100"/>
        <c:noMultiLvlLbl val="0"/>
      </c:catAx>
      <c:valAx>
        <c:axId val="1018676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8678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2.xml"/><Relationship Id="rId7" Type="http://schemas.openxmlformats.org/officeDocument/2006/relationships/chart" Target="../charts/chart5.xml"/><Relationship Id="rId2" Type="http://schemas.openxmlformats.org/officeDocument/2006/relationships/chart" Target="../charts/chart1.xml"/><Relationship Id="rId1" Type="http://schemas.openxmlformats.org/officeDocument/2006/relationships/image" Target="../media/image3.png"/><Relationship Id="rId6" Type="http://schemas.openxmlformats.org/officeDocument/2006/relationships/chart" Target="../charts/chart4.xml"/><Relationship Id="rId5" Type="http://schemas.openxmlformats.org/officeDocument/2006/relationships/image" Target="../media/image2.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316118</xdr:colOff>
      <xdr:row>57</xdr:row>
      <xdr:rowOff>51335</xdr:rowOff>
    </xdr:from>
    <xdr:to>
      <xdr:col>14</xdr:col>
      <xdr:colOff>174110</xdr:colOff>
      <xdr:row>61</xdr:row>
      <xdr:rowOff>94366</xdr:rowOff>
    </xdr:to>
    <xdr:pic>
      <xdr:nvPicPr>
        <xdr:cNvPr id="2" name="Picture 1">
          <a:extLst>
            <a:ext uri="{FF2B5EF4-FFF2-40B4-BE49-F238E27FC236}">
              <a16:creationId xmlns:a16="http://schemas.microsoft.com/office/drawing/2014/main" id="{62363C5D-05C0-4AA8-845A-B2629969B6C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878718" y="10843160"/>
          <a:ext cx="1982067" cy="805031"/>
        </a:xfrm>
        <a:prstGeom prst="rect">
          <a:avLst/>
        </a:prstGeom>
        <a:noFill/>
        <a:ln w="9525">
          <a:noFill/>
          <a:miter lim="800000"/>
          <a:headEnd/>
          <a:tailEnd/>
        </a:ln>
      </xdr:spPr>
    </xdr:pic>
    <xdr:clientData/>
  </xdr:twoCellAnchor>
  <xdr:twoCellAnchor>
    <xdr:from>
      <xdr:col>7</xdr:col>
      <xdr:colOff>164016</xdr:colOff>
      <xdr:row>53</xdr:row>
      <xdr:rowOff>30560</xdr:rowOff>
    </xdr:from>
    <xdr:to>
      <xdr:col>11</xdr:col>
      <xdr:colOff>454351</xdr:colOff>
      <xdr:row>56</xdr:row>
      <xdr:rowOff>99833</xdr:rowOff>
    </xdr:to>
    <xdr:sp macro="" textlink="">
      <xdr:nvSpPr>
        <xdr:cNvPr id="4" name="TextBox 3">
          <a:extLst>
            <a:ext uri="{FF2B5EF4-FFF2-40B4-BE49-F238E27FC236}">
              <a16:creationId xmlns:a16="http://schemas.microsoft.com/office/drawing/2014/main" id="{A0FB4EED-D4A3-4C01-9458-5A44FF50E7C0}"/>
            </a:ext>
          </a:extLst>
        </xdr:cNvPr>
        <xdr:cNvSpPr txBox="1"/>
      </xdr:nvSpPr>
      <xdr:spPr>
        <a:xfrm>
          <a:off x="3707316" y="10060385"/>
          <a:ext cx="2309635" cy="64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1100" b="1">
              <a:solidFill>
                <a:schemeClr val="tx1"/>
              </a:solidFill>
            </a:rPr>
            <a:t>Jordan</a:t>
          </a:r>
          <a:r>
            <a:rPr lang="en-NZ" sz="1100" b="1" baseline="0">
              <a:solidFill>
                <a:schemeClr val="tx1"/>
              </a:solidFill>
            </a:rPr>
            <a:t> Nelson</a:t>
          </a:r>
          <a:endParaRPr lang="en-NZ" sz="1100" b="1">
            <a:solidFill>
              <a:schemeClr val="tx1"/>
            </a:solidFill>
          </a:endParaRPr>
        </a:p>
        <a:p>
          <a:pPr algn="ctr"/>
          <a:r>
            <a:rPr lang="en-NZ" sz="1100" b="1">
              <a:solidFill>
                <a:schemeClr val="accent1"/>
              </a:solidFill>
            </a:rPr>
            <a:t>Project</a:t>
          </a:r>
          <a:r>
            <a:rPr lang="en-NZ" sz="1100" b="1" baseline="0">
              <a:solidFill>
                <a:schemeClr val="accent1"/>
              </a:solidFill>
            </a:rPr>
            <a:t> Manager</a:t>
          </a:r>
          <a:endParaRPr lang="en-NZ" sz="1100" b="1">
            <a:solidFill>
              <a:schemeClr val="accent1"/>
            </a:solidFill>
          </a:endParaRPr>
        </a:p>
        <a:p>
          <a:pPr algn="ctr"/>
          <a:r>
            <a:rPr lang="en-NZ" sz="1100" b="0" i="0" u="none" strike="noStrike">
              <a:solidFill>
                <a:schemeClr val="dk1"/>
              </a:solidFill>
              <a:effectLst/>
              <a:latin typeface="+mn-lt"/>
              <a:ea typeface="+mn-ea"/>
              <a:cs typeface="+mn-cs"/>
            </a:rPr>
            <a:t>jordan.nelson@castalia-advisors.com</a:t>
          </a:r>
          <a:endParaRPr lang="en-NZ" sz="1100"/>
        </a:p>
      </xdr:txBody>
    </xdr:sp>
    <xdr:clientData/>
  </xdr:twoCellAnchor>
  <xdr:twoCellAnchor>
    <xdr:from>
      <xdr:col>12</xdr:col>
      <xdr:colOff>268024</xdr:colOff>
      <xdr:row>53</xdr:row>
      <xdr:rowOff>16552</xdr:rowOff>
    </xdr:from>
    <xdr:to>
      <xdr:col>15</xdr:col>
      <xdr:colOff>507422</xdr:colOff>
      <xdr:row>56</xdr:row>
      <xdr:rowOff>85825</xdr:rowOff>
    </xdr:to>
    <xdr:sp macro="" textlink="">
      <xdr:nvSpPr>
        <xdr:cNvPr id="5" name="TextBox 4">
          <a:extLst>
            <a:ext uri="{FF2B5EF4-FFF2-40B4-BE49-F238E27FC236}">
              <a16:creationId xmlns:a16="http://schemas.microsoft.com/office/drawing/2014/main" id="{D974204A-390F-46C1-872E-BE3872DC4FC8}"/>
            </a:ext>
          </a:extLst>
        </xdr:cNvPr>
        <xdr:cNvSpPr txBox="1"/>
      </xdr:nvSpPr>
      <xdr:spPr>
        <a:xfrm>
          <a:off x="6440224" y="10046377"/>
          <a:ext cx="2363473" cy="64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1100" b="1" baseline="0">
              <a:solidFill>
                <a:schemeClr val="tx1"/>
              </a:solidFill>
            </a:rPr>
            <a:t>Daria Rybalka</a:t>
          </a:r>
        </a:p>
        <a:p>
          <a:pPr algn="ctr"/>
          <a:r>
            <a:rPr lang="en-NZ" sz="1100" b="1">
              <a:solidFill>
                <a:schemeClr val="accent1"/>
              </a:solidFill>
            </a:rPr>
            <a:t>Developer</a:t>
          </a:r>
        </a:p>
        <a:p>
          <a:pPr algn="ctr"/>
          <a:r>
            <a:rPr lang="en-NZ" sz="1100" b="0" i="0" u="none" strike="noStrike">
              <a:solidFill>
                <a:schemeClr val="dk1"/>
              </a:solidFill>
              <a:effectLst/>
              <a:latin typeface="+mn-lt"/>
              <a:ea typeface="+mn-ea"/>
              <a:cs typeface="+mn-cs"/>
            </a:rPr>
            <a:t>daria.rybalka@castalia-advisors.com</a:t>
          </a:r>
          <a:endParaRPr lang="en-NZ" sz="1100"/>
        </a:p>
      </xdr:txBody>
    </xdr:sp>
    <xdr:clientData/>
  </xdr:twoCellAnchor>
  <xdr:twoCellAnchor>
    <xdr:from>
      <xdr:col>2</xdr:col>
      <xdr:colOff>40553</xdr:colOff>
      <xdr:row>53</xdr:row>
      <xdr:rowOff>25975</xdr:rowOff>
    </xdr:from>
    <xdr:to>
      <xdr:col>5</xdr:col>
      <xdr:colOff>649585</xdr:colOff>
      <xdr:row>56</xdr:row>
      <xdr:rowOff>95248</xdr:rowOff>
    </xdr:to>
    <xdr:sp macro="" textlink="">
      <xdr:nvSpPr>
        <xdr:cNvPr id="6" name="TextBox 5">
          <a:extLst>
            <a:ext uri="{FF2B5EF4-FFF2-40B4-BE49-F238E27FC236}">
              <a16:creationId xmlns:a16="http://schemas.microsoft.com/office/drawing/2014/main" id="{6395415E-40A7-4B92-9520-0BFB162A3D5E}"/>
            </a:ext>
          </a:extLst>
        </xdr:cNvPr>
        <xdr:cNvSpPr txBox="1"/>
      </xdr:nvSpPr>
      <xdr:spPr>
        <a:xfrm>
          <a:off x="821603" y="10055800"/>
          <a:ext cx="2437832" cy="64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1100" b="1"/>
            <a:t>Andreas</a:t>
          </a:r>
          <a:r>
            <a:rPr lang="en-NZ" sz="1100" b="1" baseline="0"/>
            <a:t> Heuser</a:t>
          </a:r>
          <a:endParaRPr lang="en-NZ" sz="1100" b="1"/>
        </a:p>
        <a:p>
          <a:pPr algn="ctr"/>
          <a:r>
            <a:rPr lang="en-NZ" sz="1100" b="1">
              <a:solidFill>
                <a:schemeClr val="accent1"/>
              </a:solidFill>
            </a:rPr>
            <a:t>Project Director</a:t>
          </a:r>
        </a:p>
        <a:p>
          <a:pPr algn="ctr"/>
          <a:r>
            <a:rPr lang="en-NZ" sz="1100" b="0" i="0" u="none" strike="noStrike">
              <a:solidFill>
                <a:schemeClr val="dk1"/>
              </a:solidFill>
              <a:effectLst/>
              <a:latin typeface="+mn-lt"/>
              <a:ea typeface="+mn-ea"/>
              <a:cs typeface="+mn-cs"/>
            </a:rPr>
            <a:t>andreas.heuser@castalia-advisors.com</a:t>
          </a:r>
          <a:r>
            <a:rPr lang="en-NZ"/>
            <a:t> </a:t>
          </a:r>
          <a:endParaRPr lang="en-NZ" sz="1100"/>
        </a:p>
      </xdr:txBody>
    </xdr:sp>
    <xdr:clientData/>
  </xdr:twoCellAnchor>
  <xdr:twoCellAnchor>
    <xdr:from>
      <xdr:col>7</xdr:col>
      <xdr:colOff>180926</xdr:colOff>
      <xdr:row>52</xdr:row>
      <xdr:rowOff>11888</xdr:rowOff>
    </xdr:from>
    <xdr:to>
      <xdr:col>11</xdr:col>
      <xdr:colOff>471261</xdr:colOff>
      <xdr:row>53</xdr:row>
      <xdr:rowOff>75457</xdr:rowOff>
    </xdr:to>
    <xdr:sp macro="" textlink="">
      <xdr:nvSpPr>
        <xdr:cNvPr id="8" name="TextBox 7">
          <a:extLst>
            <a:ext uri="{FF2B5EF4-FFF2-40B4-BE49-F238E27FC236}">
              <a16:creationId xmlns:a16="http://schemas.microsoft.com/office/drawing/2014/main" id="{DE31713F-D4A7-4938-AEEE-58CDB1EBF12B}"/>
            </a:ext>
          </a:extLst>
        </xdr:cNvPr>
        <xdr:cNvSpPr txBox="1"/>
      </xdr:nvSpPr>
      <xdr:spPr>
        <a:xfrm>
          <a:off x="3724226" y="9851213"/>
          <a:ext cx="2309635" cy="254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1200" b="1">
              <a:solidFill>
                <a:schemeClr val="accent1">
                  <a:lumMod val="50000"/>
                </a:schemeClr>
              </a:solidFill>
            </a:rPr>
            <a:t>Development</a:t>
          </a:r>
          <a:r>
            <a:rPr lang="en-NZ" sz="1200" b="1" baseline="0">
              <a:solidFill>
                <a:schemeClr val="accent1">
                  <a:lumMod val="50000"/>
                </a:schemeClr>
              </a:solidFill>
            </a:rPr>
            <a:t> Team</a:t>
          </a:r>
          <a:endParaRPr lang="en-NZ" sz="1200" b="1">
            <a:solidFill>
              <a:schemeClr val="accent1">
                <a:lumMod val="50000"/>
              </a:schemeClr>
            </a:solidFill>
          </a:endParaRPr>
        </a:p>
      </xdr:txBody>
    </xdr:sp>
    <xdr:clientData/>
  </xdr:twoCellAnchor>
  <xdr:twoCellAnchor>
    <xdr:from>
      <xdr:col>4</xdr:col>
      <xdr:colOff>41766</xdr:colOff>
      <xdr:row>18</xdr:row>
      <xdr:rowOff>33619</xdr:rowOff>
    </xdr:from>
    <xdr:to>
      <xdr:col>13</xdr:col>
      <xdr:colOff>588817</xdr:colOff>
      <xdr:row>19</xdr:row>
      <xdr:rowOff>168089</xdr:rowOff>
    </xdr:to>
    <xdr:sp macro="" textlink="">
      <xdr:nvSpPr>
        <xdr:cNvPr id="9" name="TextBox 8">
          <a:extLst>
            <a:ext uri="{FF2B5EF4-FFF2-40B4-BE49-F238E27FC236}">
              <a16:creationId xmlns:a16="http://schemas.microsoft.com/office/drawing/2014/main" id="{12B03F89-07B2-4FF8-8487-F16DFB75A42C}"/>
            </a:ext>
          </a:extLst>
        </xdr:cNvPr>
        <xdr:cNvSpPr txBox="1"/>
      </xdr:nvSpPr>
      <xdr:spPr>
        <a:xfrm>
          <a:off x="2042016" y="4091269"/>
          <a:ext cx="5509576"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1800" b="1">
              <a:solidFill>
                <a:schemeClr val="accent1">
                  <a:lumMod val="50000"/>
                </a:schemeClr>
              </a:solidFill>
            </a:rPr>
            <a:t>RR 718 - Zero emission bus economics study </a:t>
          </a:r>
        </a:p>
      </xdr:txBody>
    </xdr:sp>
    <xdr:clientData/>
  </xdr:twoCellAnchor>
  <xdr:twoCellAnchor>
    <xdr:from>
      <xdr:col>5</xdr:col>
      <xdr:colOff>616324</xdr:colOff>
      <xdr:row>19</xdr:row>
      <xdr:rowOff>224117</xdr:rowOff>
    </xdr:from>
    <xdr:to>
      <xdr:col>12</xdr:col>
      <xdr:colOff>190500</xdr:colOff>
      <xdr:row>21</xdr:row>
      <xdr:rowOff>100852</xdr:rowOff>
    </xdr:to>
    <xdr:sp macro="" textlink="">
      <xdr:nvSpPr>
        <xdr:cNvPr id="10" name="TextBox 9">
          <a:extLst>
            <a:ext uri="{FF2B5EF4-FFF2-40B4-BE49-F238E27FC236}">
              <a16:creationId xmlns:a16="http://schemas.microsoft.com/office/drawing/2014/main" id="{704ED255-0297-4840-BA1A-5795FD3303AB}"/>
            </a:ext>
          </a:extLst>
        </xdr:cNvPr>
        <xdr:cNvSpPr txBox="1"/>
      </xdr:nvSpPr>
      <xdr:spPr>
        <a:xfrm>
          <a:off x="3226174" y="4472267"/>
          <a:ext cx="3136526" cy="305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1400" b="1">
              <a:solidFill>
                <a:schemeClr val="tx1"/>
              </a:solidFill>
            </a:rPr>
            <a:t>Development</a:t>
          </a:r>
          <a:r>
            <a:rPr lang="en-NZ" sz="1400" b="1" baseline="0">
              <a:solidFill>
                <a:schemeClr val="tx1"/>
              </a:solidFill>
            </a:rPr>
            <a:t> Period: May 2023</a:t>
          </a:r>
        </a:p>
      </xdr:txBody>
    </xdr:sp>
    <xdr:clientData/>
  </xdr:twoCellAnchor>
  <xdr:twoCellAnchor editAs="oneCell">
    <xdr:from>
      <xdr:col>2</xdr:col>
      <xdr:colOff>38099</xdr:colOff>
      <xdr:row>56</xdr:row>
      <xdr:rowOff>103321</xdr:rowOff>
    </xdr:from>
    <xdr:to>
      <xdr:col>9</xdr:col>
      <xdr:colOff>289348</xdr:colOff>
      <xdr:row>62</xdr:row>
      <xdr:rowOff>108240</xdr:rowOff>
    </xdr:to>
    <xdr:pic>
      <xdr:nvPicPr>
        <xdr:cNvPr id="11" name="Picture 10">
          <a:extLst>
            <a:ext uri="{FF2B5EF4-FFF2-40B4-BE49-F238E27FC236}">
              <a16:creationId xmlns:a16="http://schemas.microsoft.com/office/drawing/2014/main" id="{2032D90A-5856-4BDE-BAF0-4AEE03B4BD61}"/>
            </a:ext>
          </a:extLst>
        </xdr:cNvPr>
        <xdr:cNvPicPr>
          <a:picLocks noChangeAspect="1"/>
        </xdr:cNvPicPr>
      </xdr:nvPicPr>
      <xdr:blipFill>
        <a:blip xmlns:r="http://schemas.openxmlformats.org/officeDocument/2006/relationships" r:embed="rId2"/>
        <a:stretch>
          <a:fillRect/>
        </a:stretch>
      </xdr:blipFill>
      <xdr:spPr>
        <a:xfrm>
          <a:off x="819149" y="10704646"/>
          <a:ext cx="3813599" cy="1147919"/>
        </a:xfrm>
        <a:prstGeom prst="rect">
          <a:avLst/>
        </a:prstGeom>
      </xdr:spPr>
    </xdr:pic>
    <xdr:clientData/>
  </xdr:twoCellAnchor>
  <xdr:twoCellAnchor editAs="oneCell">
    <xdr:from>
      <xdr:col>2</xdr:col>
      <xdr:colOff>372717</xdr:colOff>
      <xdr:row>2</xdr:row>
      <xdr:rowOff>37711</xdr:rowOff>
    </xdr:from>
    <xdr:to>
      <xdr:col>15</xdr:col>
      <xdr:colOff>472109</xdr:colOff>
      <xdr:row>17</xdr:row>
      <xdr:rowOff>43135</xdr:rowOff>
    </xdr:to>
    <xdr:pic>
      <xdr:nvPicPr>
        <xdr:cNvPr id="3" name="Picture 2">
          <a:extLst>
            <a:ext uri="{FF2B5EF4-FFF2-40B4-BE49-F238E27FC236}">
              <a16:creationId xmlns:a16="http://schemas.microsoft.com/office/drawing/2014/main" id="{9AEE42C8-A4A2-95BC-87E9-FE7C13689157}"/>
            </a:ext>
          </a:extLst>
        </xdr:cNvPr>
        <xdr:cNvPicPr>
          <a:picLocks noChangeAspect="1"/>
        </xdr:cNvPicPr>
      </xdr:nvPicPr>
      <xdr:blipFill>
        <a:blip xmlns:r="http://schemas.openxmlformats.org/officeDocument/2006/relationships" r:embed="rId3"/>
        <a:stretch>
          <a:fillRect/>
        </a:stretch>
      </xdr:blipFill>
      <xdr:spPr>
        <a:xfrm>
          <a:off x="1151282" y="476689"/>
          <a:ext cx="7636566" cy="2862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321871</xdr:colOff>
      <xdr:row>2</xdr:row>
      <xdr:rowOff>25917</xdr:rowOff>
    </xdr:from>
    <xdr:to>
      <xdr:col>34</xdr:col>
      <xdr:colOff>85572</xdr:colOff>
      <xdr:row>11</xdr:row>
      <xdr:rowOff>56029</xdr:rowOff>
    </xdr:to>
    <xdr:sp macro="" textlink="">
      <xdr:nvSpPr>
        <xdr:cNvPr id="3" name="TextBox 2">
          <a:extLst>
            <a:ext uri="{FF2B5EF4-FFF2-40B4-BE49-F238E27FC236}">
              <a16:creationId xmlns:a16="http://schemas.microsoft.com/office/drawing/2014/main" id="{EFFF3ED5-7B34-4BD5-8124-4DFB116B8DDB}"/>
            </a:ext>
          </a:extLst>
        </xdr:cNvPr>
        <xdr:cNvSpPr txBox="1"/>
      </xdr:nvSpPr>
      <xdr:spPr>
        <a:xfrm>
          <a:off x="11550165" y="720682"/>
          <a:ext cx="15149378" cy="1744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spcAft>
              <a:spcPts val="600"/>
            </a:spcAft>
          </a:pPr>
          <a:r>
            <a:rPr lang="en-NZ" sz="4400" b="1">
              <a:solidFill>
                <a:schemeClr val="accent5">
                  <a:lumMod val="50000"/>
                </a:schemeClr>
              </a:solidFill>
              <a:effectLst>
                <a:outerShdw blurRad="50800" dist="38100" dir="2700000" algn="tl" rotWithShape="0">
                  <a:prstClr val="black">
                    <a:alpha val="40000"/>
                  </a:prstClr>
                </a:outerShdw>
              </a:effectLst>
            </a:rPr>
            <a:t>RR 718 - Zero emission bus economics study 	</a:t>
          </a:r>
        </a:p>
        <a:p>
          <a:pPr algn="l">
            <a:spcAft>
              <a:spcPts val="600"/>
            </a:spcAft>
          </a:pPr>
          <a:endParaRPr lang="en-NZ" sz="2400" b="0">
            <a:solidFill>
              <a:schemeClr val="accent5">
                <a:lumMod val="50000"/>
              </a:schemeClr>
            </a:solidFill>
            <a:effectLst>
              <a:outerShdw blurRad="50800" dist="38100" dir="2700000" algn="tl" rotWithShape="0">
                <a:prstClr val="black">
                  <a:alpha val="40000"/>
                </a:prstClr>
              </a:outerShdw>
            </a:effectLst>
            <a:latin typeface="+mn-lt"/>
          </a:endParaRPr>
        </a:p>
      </xdr:txBody>
    </xdr:sp>
    <xdr:clientData/>
  </xdr:twoCellAnchor>
  <xdr:twoCellAnchor>
    <xdr:from>
      <xdr:col>13</xdr:col>
      <xdr:colOff>330587</xdr:colOff>
      <xdr:row>7</xdr:row>
      <xdr:rowOff>60313</xdr:rowOff>
    </xdr:from>
    <xdr:to>
      <xdr:col>24</xdr:col>
      <xdr:colOff>564551</xdr:colOff>
      <xdr:row>9</xdr:row>
      <xdr:rowOff>139927</xdr:rowOff>
    </xdr:to>
    <xdr:sp macro="" textlink="">
      <xdr:nvSpPr>
        <xdr:cNvPr id="4" name="TextBox 3">
          <a:extLst>
            <a:ext uri="{FF2B5EF4-FFF2-40B4-BE49-F238E27FC236}">
              <a16:creationId xmlns:a16="http://schemas.microsoft.com/office/drawing/2014/main" id="{E34FBBC5-E01E-452F-A724-6A095AB298A7}"/>
            </a:ext>
          </a:extLst>
        </xdr:cNvPr>
        <xdr:cNvSpPr txBox="1"/>
      </xdr:nvSpPr>
      <xdr:spPr>
        <a:xfrm>
          <a:off x="8833814" y="1705540"/>
          <a:ext cx="8113737" cy="460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NZ" sz="2000" b="0" i="0">
              <a:solidFill>
                <a:schemeClr val="accent5">
                  <a:lumMod val="50000"/>
                </a:schemeClr>
              </a:solidFill>
              <a:effectLst>
                <a:outerShdw blurRad="50800" dist="38100" dir="2700000" algn="tl" rotWithShape="0">
                  <a:prstClr val="black">
                    <a:alpha val="40000"/>
                  </a:prstClr>
                </a:outerShdw>
              </a:effectLst>
              <a:latin typeface="+mn-lt"/>
            </a:rPr>
            <a:t>Developed</a:t>
          </a:r>
          <a:r>
            <a:rPr lang="en-NZ" sz="2000" b="0" i="0" baseline="0">
              <a:solidFill>
                <a:schemeClr val="accent5">
                  <a:lumMod val="50000"/>
                </a:schemeClr>
              </a:solidFill>
              <a:effectLst>
                <a:outerShdw blurRad="50800" dist="38100" dir="2700000" algn="tl" rotWithShape="0">
                  <a:prstClr val="black">
                    <a:alpha val="40000"/>
                  </a:prstClr>
                </a:outerShdw>
              </a:effectLst>
              <a:latin typeface="+mn-lt"/>
            </a:rPr>
            <a:t> for the NZ Transport Agency Waka Kotahi</a:t>
          </a:r>
        </a:p>
        <a:p>
          <a:pPr algn="l"/>
          <a:endParaRPr lang="en-NZ" sz="2000" b="0" i="0">
            <a:solidFill>
              <a:schemeClr val="accent5">
                <a:lumMod val="50000"/>
              </a:schemeClr>
            </a:solidFill>
            <a:effectLst>
              <a:outerShdw blurRad="50800" dist="38100" dir="2700000" algn="tl" rotWithShape="0">
                <a:prstClr val="black">
                  <a:alpha val="40000"/>
                </a:prstClr>
              </a:outerShdw>
            </a:effectLst>
            <a:latin typeface="+mn-lt"/>
          </a:endParaRPr>
        </a:p>
      </xdr:txBody>
    </xdr:sp>
    <xdr:clientData/>
  </xdr:twoCellAnchor>
  <xdr:twoCellAnchor editAs="oneCell">
    <xdr:from>
      <xdr:col>1</xdr:col>
      <xdr:colOff>611331</xdr:colOff>
      <xdr:row>1</xdr:row>
      <xdr:rowOff>304799</xdr:rowOff>
    </xdr:from>
    <xdr:to>
      <xdr:col>7</xdr:col>
      <xdr:colOff>1170668</xdr:colOff>
      <xdr:row>9</xdr:row>
      <xdr:rowOff>104600</xdr:rowOff>
    </xdr:to>
    <xdr:pic>
      <xdr:nvPicPr>
        <xdr:cNvPr id="19" name="Picture 18">
          <a:extLst>
            <a:ext uri="{FF2B5EF4-FFF2-40B4-BE49-F238E27FC236}">
              <a16:creationId xmlns:a16="http://schemas.microsoft.com/office/drawing/2014/main" id="{43A63E97-AC20-F299-AD59-C7EEE4BFE92F}"/>
            </a:ext>
          </a:extLst>
        </xdr:cNvPr>
        <xdr:cNvPicPr>
          <a:picLocks noChangeAspect="1"/>
        </xdr:cNvPicPr>
      </xdr:nvPicPr>
      <xdr:blipFill>
        <a:blip xmlns:r="http://schemas.openxmlformats.org/officeDocument/2006/relationships" r:embed="rId1"/>
        <a:stretch>
          <a:fillRect/>
        </a:stretch>
      </xdr:blipFill>
      <xdr:spPr>
        <a:xfrm>
          <a:off x="1005938" y="495299"/>
          <a:ext cx="5457455" cy="1633590"/>
        </a:xfrm>
        <a:prstGeom prst="rect">
          <a:avLst/>
        </a:prstGeom>
      </xdr:spPr>
    </xdr:pic>
    <xdr:clientData/>
  </xdr:twoCellAnchor>
  <xdr:twoCellAnchor editAs="oneCell">
    <xdr:from>
      <xdr:col>17</xdr:col>
      <xdr:colOff>0</xdr:colOff>
      <xdr:row>11</xdr:row>
      <xdr:rowOff>0</xdr:rowOff>
    </xdr:from>
    <xdr:to>
      <xdr:col>17</xdr:col>
      <xdr:colOff>304800</xdr:colOff>
      <xdr:row>12</xdr:row>
      <xdr:rowOff>114300</xdr:rowOff>
    </xdr:to>
    <xdr:sp macro="" textlink="">
      <xdr:nvSpPr>
        <xdr:cNvPr id="4106" name="AutoShape 10">
          <a:extLst>
            <a:ext uri="{FF2B5EF4-FFF2-40B4-BE49-F238E27FC236}">
              <a16:creationId xmlns:a16="http://schemas.microsoft.com/office/drawing/2014/main" id="{468A97B6-AA31-4B78-50BB-A034BC506951}"/>
            </a:ext>
          </a:extLst>
        </xdr:cNvPr>
        <xdr:cNvSpPr>
          <a:spLocks noChangeAspect="1" noChangeArrowheads="1"/>
        </xdr:cNvSpPr>
      </xdr:nvSpPr>
      <xdr:spPr bwMode="auto">
        <a:xfrm>
          <a:off x="10944225" y="2790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753702</xdr:colOff>
      <xdr:row>65</xdr:row>
      <xdr:rowOff>64060</xdr:rowOff>
    </xdr:from>
    <xdr:to>
      <xdr:col>18</xdr:col>
      <xdr:colOff>437730</xdr:colOff>
      <xdr:row>83</xdr:row>
      <xdr:rowOff>58167</xdr:rowOff>
    </xdr:to>
    <xdr:graphicFrame macro="">
      <xdr:nvGraphicFramePr>
        <xdr:cNvPr id="14" name="Chart 13">
          <a:extLst>
            <a:ext uri="{FF2B5EF4-FFF2-40B4-BE49-F238E27FC236}">
              <a16:creationId xmlns:a16="http://schemas.microsoft.com/office/drawing/2014/main" id="{1218CC8E-1B08-408D-8A91-91CF57D3B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570298</xdr:colOff>
      <xdr:row>65</xdr:row>
      <xdr:rowOff>8004</xdr:rowOff>
    </xdr:from>
    <xdr:to>
      <xdr:col>28</xdr:col>
      <xdr:colOff>665769</xdr:colOff>
      <xdr:row>83</xdr:row>
      <xdr:rowOff>70146</xdr:rowOff>
    </xdr:to>
    <xdr:graphicFrame macro="">
      <xdr:nvGraphicFramePr>
        <xdr:cNvPr id="15" name="Chart 14">
          <a:extLst>
            <a:ext uri="{FF2B5EF4-FFF2-40B4-BE49-F238E27FC236}">
              <a16:creationId xmlns:a16="http://schemas.microsoft.com/office/drawing/2014/main" id="{78BCFE18-9C17-4FFC-9867-0CE3A2724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709975</xdr:colOff>
      <xdr:row>65</xdr:row>
      <xdr:rowOff>74439</xdr:rowOff>
    </xdr:from>
    <xdr:to>
      <xdr:col>39</xdr:col>
      <xdr:colOff>480475</xdr:colOff>
      <xdr:row>83</xdr:row>
      <xdr:rowOff>122974</xdr:rowOff>
    </xdr:to>
    <xdr:graphicFrame macro="">
      <xdr:nvGraphicFramePr>
        <xdr:cNvPr id="16" name="Chart 15">
          <a:extLst>
            <a:ext uri="{FF2B5EF4-FFF2-40B4-BE49-F238E27FC236}">
              <a16:creationId xmlns:a16="http://schemas.microsoft.com/office/drawing/2014/main" id="{F5930577-C550-4C8A-9329-1A6185E2B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907676</xdr:colOff>
      <xdr:row>1</xdr:row>
      <xdr:rowOff>302559</xdr:rowOff>
    </xdr:from>
    <xdr:to>
      <xdr:col>11</xdr:col>
      <xdr:colOff>29937</xdr:colOff>
      <xdr:row>8</xdr:row>
      <xdr:rowOff>67446</xdr:rowOff>
    </xdr:to>
    <xdr:pic>
      <xdr:nvPicPr>
        <xdr:cNvPr id="8" name="Picture 1">
          <a:extLst>
            <a:ext uri="{FF2B5EF4-FFF2-40B4-BE49-F238E27FC236}">
              <a16:creationId xmlns:a16="http://schemas.microsoft.com/office/drawing/2014/main" id="{C842E3B0-2E4A-400D-B630-9DE41F55D32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7407088" y="493059"/>
          <a:ext cx="3683055" cy="1412152"/>
        </a:xfrm>
        <a:prstGeom prst="rect">
          <a:avLst/>
        </a:prstGeom>
        <a:noFill/>
        <a:ln w="9525">
          <a:noFill/>
          <a:miter lim="800000"/>
          <a:headEnd/>
          <a:tailEnd/>
        </a:ln>
      </xdr:spPr>
    </xdr:pic>
    <xdr:clientData/>
  </xdr:twoCellAnchor>
  <xdr:twoCellAnchor>
    <xdr:from>
      <xdr:col>18</xdr:col>
      <xdr:colOff>239777</xdr:colOff>
      <xdr:row>32</xdr:row>
      <xdr:rowOff>27850</xdr:rowOff>
    </xdr:from>
    <xdr:to>
      <xdr:col>28</xdr:col>
      <xdr:colOff>602777</xdr:colOff>
      <xdr:row>60</xdr:row>
      <xdr:rowOff>175492</xdr:rowOff>
    </xdr:to>
    <xdr:graphicFrame macro="">
      <xdr:nvGraphicFramePr>
        <xdr:cNvPr id="5" name="Chart 4">
          <a:extLst>
            <a:ext uri="{FF2B5EF4-FFF2-40B4-BE49-F238E27FC236}">
              <a16:creationId xmlns:a16="http://schemas.microsoft.com/office/drawing/2014/main" id="{856898DC-21E3-4A91-8AAA-63754483B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591615</xdr:colOff>
      <xdr:row>32</xdr:row>
      <xdr:rowOff>27850</xdr:rowOff>
    </xdr:from>
    <xdr:to>
      <xdr:col>39</xdr:col>
      <xdr:colOff>2115</xdr:colOff>
      <xdr:row>60</xdr:row>
      <xdr:rowOff>175492</xdr:rowOff>
    </xdr:to>
    <xdr:graphicFrame macro="">
      <xdr:nvGraphicFramePr>
        <xdr:cNvPr id="6" name="Chart 5">
          <a:extLst>
            <a:ext uri="{FF2B5EF4-FFF2-40B4-BE49-F238E27FC236}">
              <a16:creationId xmlns:a16="http://schemas.microsoft.com/office/drawing/2014/main" id="{63194AFE-D59A-444C-9F4A-D7A832AE9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874058</xdr:colOff>
      <xdr:row>32</xdr:row>
      <xdr:rowOff>27850</xdr:rowOff>
    </xdr:from>
    <xdr:to>
      <xdr:col>18</xdr:col>
      <xdr:colOff>250940</xdr:colOff>
      <xdr:row>60</xdr:row>
      <xdr:rowOff>175492</xdr:rowOff>
    </xdr:to>
    <xdr:graphicFrame macro="">
      <xdr:nvGraphicFramePr>
        <xdr:cNvPr id="7" name="Chart 6">
          <a:extLst>
            <a:ext uri="{FF2B5EF4-FFF2-40B4-BE49-F238E27FC236}">
              <a16:creationId xmlns:a16="http://schemas.microsoft.com/office/drawing/2014/main" id="{B10B30E3-BF34-45F0-B890-BEE790602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530038</xdr:colOff>
      <xdr:row>59</xdr:row>
      <xdr:rowOff>89647</xdr:rowOff>
    </xdr:from>
    <xdr:to>
      <xdr:col>11</xdr:col>
      <xdr:colOff>367392</xdr:colOff>
      <xdr:row>76</xdr:row>
      <xdr:rowOff>37443</xdr:rowOff>
    </xdr:to>
    <xdr:pic>
      <xdr:nvPicPr>
        <xdr:cNvPr id="2" name="Picture 1">
          <a:extLst>
            <a:ext uri="{FF2B5EF4-FFF2-40B4-BE49-F238E27FC236}">
              <a16:creationId xmlns:a16="http://schemas.microsoft.com/office/drawing/2014/main" id="{5F93A6E1-09DA-F65C-2972-353C7B65AE71}"/>
            </a:ext>
          </a:extLst>
        </xdr:cNvPr>
        <xdr:cNvPicPr>
          <a:picLocks noChangeAspect="1"/>
        </xdr:cNvPicPr>
      </xdr:nvPicPr>
      <xdr:blipFill rotWithShape="1">
        <a:blip xmlns:r="http://schemas.openxmlformats.org/officeDocument/2006/relationships" r:embed="rId1"/>
        <a:srcRect t="8376" b="11439"/>
        <a:stretch/>
      </xdr:blipFill>
      <xdr:spPr>
        <a:xfrm>
          <a:off x="6827744" y="5602941"/>
          <a:ext cx="4837580" cy="31862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533400</xdr:colOff>
      <xdr:row>9</xdr:row>
      <xdr:rowOff>28575</xdr:rowOff>
    </xdr:from>
    <xdr:to>
      <xdr:col>21</xdr:col>
      <xdr:colOff>609600</xdr:colOff>
      <xdr:row>23</xdr:row>
      <xdr:rowOff>22412</xdr:rowOff>
    </xdr:to>
    <xdr:graphicFrame macro="">
      <xdr:nvGraphicFramePr>
        <xdr:cNvPr id="9" name="Chart 8">
          <a:extLst>
            <a:ext uri="{FF2B5EF4-FFF2-40B4-BE49-F238E27FC236}">
              <a16:creationId xmlns:a16="http://schemas.microsoft.com/office/drawing/2014/main" id="{7CF2B6E1-5C5E-722D-FE94-FD5BDB05F2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326570</xdr:colOff>
      <xdr:row>9</xdr:row>
      <xdr:rowOff>57149</xdr:rowOff>
    </xdr:from>
    <xdr:to>
      <xdr:col>31</xdr:col>
      <xdr:colOff>217713</xdr:colOff>
      <xdr:row>23</xdr:row>
      <xdr:rowOff>11206</xdr:rowOff>
    </xdr:to>
    <xdr:graphicFrame macro="">
      <xdr:nvGraphicFramePr>
        <xdr:cNvPr id="11" name="Chart 10">
          <a:extLst>
            <a:ext uri="{FF2B5EF4-FFF2-40B4-BE49-F238E27FC236}">
              <a16:creationId xmlns:a16="http://schemas.microsoft.com/office/drawing/2014/main" id="{33224DFF-9E20-9500-64E4-11C30725D5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367392</xdr:colOff>
      <xdr:row>27</xdr:row>
      <xdr:rowOff>84364</xdr:rowOff>
    </xdr:from>
    <xdr:to>
      <xdr:col>31</xdr:col>
      <xdr:colOff>285749</xdr:colOff>
      <xdr:row>41</xdr:row>
      <xdr:rowOff>163285</xdr:rowOff>
    </xdr:to>
    <xdr:graphicFrame macro="">
      <xdr:nvGraphicFramePr>
        <xdr:cNvPr id="12" name="Chart 11">
          <a:extLst>
            <a:ext uri="{FF2B5EF4-FFF2-40B4-BE49-F238E27FC236}">
              <a16:creationId xmlns:a16="http://schemas.microsoft.com/office/drawing/2014/main" id="{5DC816C5-B8B1-0BDE-3CB2-9B8F0D662A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433654</xdr:colOff>
      <xdr:row>46</xdr:row>
      <xdr:rowOff>35851</xdr:rowOff>
    </xdr:from>
    <xdr:to>
      <xdr:col>31</xdr:col>
      <xdr:colOff>202332</xdr:colOff>
      <xdr:row>58</xdr:row>
      <xdr:rowOff>0</xdr:rowOff>
    </xdr:to>
    <xdr:graphicFrame macro="">
      <xdr:nvGraphicFramePr>
        <xdr:cNvPr id="13" name="Chart 12">
          <a:extLst>
            <a:ext uri="{FF2B5EF4-FFF2-40B4-BE49-F238E27FC236}">
              <a16:creationId xmlns:a16="http://schemas.microsoft.com/office/drawing/2014/main" id="{803422D0-E092-802C-CE08-7F30982888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542097</xdr:colOff>
      <xdr:row>26</xdr:row>
      <xdr:rowOff>46798</xdr:rowOff>
    </xdr:from>
    <xdr:to>
      <xdr:col>21</xdr:col>
      <xdr:colOff>618297</xdr:colOff>
      <xdr:row>43</xdr:row>
      <xdr:rowOff>85726</xdr:rowOff>
    </xdr:to>
    <xdr:graphicFrame macro="">
      <xdr:nvGraphicFramePr>
        <xdr:cNvPr id="2" name="Chart 1">
          <a:extLst>
            <a:ext uri="{FF2B5EF4-FFF2-40B4-BE49-F238E27FC236}">
              <a16:creationId xmlns:a16="http://schemas.microsoft.com/office/drawing/2014/main" id="{8E620856-EF04-417E-A8CC-1A7916843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552036</xdr:colOff>
      <xdr:row>45</xdr:row>
      <xdr:rowOff>185531</xdr:rowOff>
    </xdr:from>
    <xdr:to>
      <xdr:col>21</xdr:col>
      <xdr:colOff>628236</xdr:colOff>
      <xdr:row>58</xdr:row>
      <xdr:rowOff>0</xdr:rowOff>
    </xdr:to>
    <xdr:graphicFrame macro="">
      <xdr:nvGraphicFramePr>
        <xdr:cNvPr id="4" name="Chart 3">
          <a:extLst>
            <a:ext uri="{FF2B5EF4-FFF2-40B4-BE49-F238E27FC236}">
              <a16:creationId xmlns:a16="http://schemas.microsoft.com/office/drawing/2014/main" id="{3AD51AB7-6AF2-4AF8-9E0D-6AEAFF0E5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577101</xdr:colOff>
      <xdr:row>65</xdr:row>
      <xdr:rowOff>23532</xdr:rowOff>
    </xdr:from>
    <xdr:to>
      <xdr:col>20</xdr:col>
      <xdr:colOff>571499</xdr:colOff>
      <xdr:row>76</xdr:row>
      <xdr:rowOff>11206</xdr:rowOff>
    </xdr:to>
    <xdr:graphicFrame macro="">
      <xdr:nvGraphicFramePr>
        <xdr:cNvPr id="4" name="Chart 3">
          <a:extLst>
            <a:ext uri="{FF2B5EF4-FFF2-40B4-BE49-F238E27FC236}">
              <a16:creationId xmlns:a16="http://schemas.microsoft.com/office/drawing/2014/main" id="{9B3C059F-90F6-590E-91F5-DB72F8EA9C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560294</xdr:colOff>
      <xdr:row>90</xdr:row>
      <xdr:rowOff>79563</xdr:rowOff>
    </xdr:from>
    <xdr:to>
      <xdr:col>20</xdr:col>
      <xdr:colOff>529589</xdr:colOff>
      <xdr:row>99</xdr:row>
      <xdr:rowOff>144063</xdr:rowOff>
    </xdr:to>
    <xdr:graphicFrame macro="">
      <xdr:nvGraphicFramePr>
        <xdr:cNvPr id="5" name="Chart 4">
          <a:extLst>
            <a:ext uri="{FF2B5EF4-FFF2-40B4-BE49-F238E27FC236}">
              <a16:creationId xmlns:a16="http://schemas.microsoft.com/office/drawing/2014/main" id="{8C86E8B5-4A00-9EED-163C-BA0BEDCD5E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493058</xdr:colOff>
      <xdr:row>77</xdr:row>
      <xdr:rowOff>101974</xdr:rowOff>
    </xdr:from>
    <xdr:to>
      <xdr:col>20</xdr:col>
      <xdr:colOff>462353</xdr:colOff>
      <xdr:row>86</xdr:row>
      <xdr:rowOff>166474</xdr:rowOff>
    </xdr:to>
    <xdr:graphicFrame macro="">
      <xdr:nvGraphicFramePr>
        <xdr:cNvPr id="6" name="Chart 5">
          <a:extLst>
            <a:ext uri="{FF2B5EF4-FFF2-40B4-BE49-F238E27FC236}">
              <a16:creationId xmlns:a16="http://schemas.microsoft.com/office/drawing/2014/main" id="{6D2C5DA5-4E88-D419-51E3-82EEE0C550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89645</xdr:colOff>
      <xdr:row>64</xdr:row>
      <xdr:rowOff>23532</xdr:rowOff>
    </xdr:from>
    <xdr:to>
      <xdr:col>46</xdr:col>
      <xdr:colOff>246529</xdr:colOff>
      <xdr:row>74</xdr:row>
      <xdr:rowOff>78441</xdr:rowOff>
    </xdr:to>
    <xdr:graphicFrame macro="">
      <xdr:nvGraphicFramePr>
        <xdr:cNvPr id="7" name="Chart 6">
          <a:extLst>
            <a:ext uri="{FF2B5EF4-FFF2-40B4-BE49-F238E27FC236}">
              <a16:creationId xmlns:a16="http://schemas.microsoft.com/office/drawing/2014/main" id="{4C2C8BF8-7581-F037-AA7C-DC7D44924A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41</xdr:col>
      <xdr:colOff>156883</xdr:colOff>
      <xdr:row>90</xdr:row>
      <xdr:rowOff>135592</xdr:rowOff>
    </xdr:from>
    <xdr:to>
      <xdr:col>48</xdr:col>
      <xdr:colOff>89647</xdr:colOff>
      <xdr:row>98</xdr:row>
      <xdr:rowOff>145677</xdr:rowOff>
    </xdr:to>
    <xdr:graphicFrame macro="">
      <xdr:nvGraphicFramePr>
        <xdr:cNvPr id="3" name="Chart 2">
          <a:extLst>
            <a:ext uri="{FF2B5EF4-FFF2-40B4-BE49-F238E27FC236}">
              <a16:creationId xmlns:a16="http://schemas.microsoft.com/office/drawing/2014/main" id="{49C8297C-4535-1436-63B3-63DB485F53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41</xdr:col>
      <xdr:colOff>296954</xdr:colOff>
      <xdr:row>77</xdr:row>
      <xdr:rowOff>79562</xdr:rowOff>
    </xdr:from>
    <xdr:to>
      <xdr:col>48</xdr:col>
      <xdr:colOff>246529</xdr:colOff>
      <xdr:row>86</xdr:row>
      <xdr:rowOff>100853</xdr:rowOff>
    </xdr:to>
    <xdr:graphicFrame macro="">
      <xdr:nvGraphicFramePr>
        <xdr:cNvPr id="8" name="Chart 7">
          <a:extLst>
            <a:ext uri="{FF2B5EF4-FFF2-40B4-BE49-F238E27FC236}">
              <a16:creationId xmlns:a16="http://schemas.microsoft.com/office/drawing/2014/main" id="{EB9C962D-F17C-79F3-6BA0-AC4F0665E6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409012</xdr:colOff>
      <xdr:row>8</xdr:row>
      <xdr:rowOff>107575</xdr:rowOff>
    </xdr:from>
    <xdr:to>
      <xdr:col>26</xdr:col>
      <xdr:colOff>134471</xdr:colOff>
      <xdr:row>35</xdr:row>
      <xdr:rowOff>67235</xdr:rowOff>
    </xdr:to>
    <xdr:graphicFrame macro="">
      <xdr:nvGraphicFramePr>
        <xdr:cNvPr id="9" name="Chart 8">
          <a:extLst>
            <a:ext uri="{FF2B5EF4-FFF2-40B4-BE49-F238E27FC236}">
              <a16:creationId xmlns:a16="http://schemas.microsoft.com/office/drawing/2014/main" id="{EC5AE461-C1ED-91A6-7F12-9ABF33EDC0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386602</xdr:colOff>
      <xdr:row>39</xdr:row>
      <xdr:rowOff>186017</xdr:rowOff>
    </xdr:from>
    <xdr:to>
      <xdr:col>26</xdr:col>
      <xdr:colOff>571500</xdr:colOff>
      <xdr:row>59</xdr:row>
      <xdr:rowOff>67235</xdr:rowOff>
    </xdr:to>
    <xdr:graphicFrame macro="">
      <xdr:nvGraphicFramePr>
        <xdr:cNvPr id="10" name="Chart 9">
          <a:extLst>
            <a:ext uri="{FF2B5EF4-FFF2-40B4-BE49-F238E27FC236}">
              <a16:creationId xmlns:a16="http://schemas.microsoft.com/office/drawing/2014/main" id="{9A462E85-951E-6D89-A168-5A0AE74A67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504265</xdr:colOff>
      <xdr:row>65</xdr:row>
      <xdr:rowOff>0</xdr:rowOff>
    </xdr:from>
    <xdr:to>
      <xdr:col>26</xdr:col>
      <xdr:colOff>229722</xdr:colOff>
      <xdr:row>75</xdr:row>
      <xdr:rowOff>178174</xdr:rowOff>
    </xdr:to>
    <xdr:graphicFrame macro="">
      <xdr:nvGraphicFramePr>
        <xdr:cNvPr id="2" name="Chart 1">
          <a:extLst>
            <a:ext uri="{FF2B5EF4-FFF2-40B4-BE49-F238E27FC236}">
              <a16:creationId xmlns:a16="http://schemas.microsoft.com/office/drawing/2014/main" id="{4C047FAE-CB30-4C2C-9243-11AC67309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380999</xdr:colOff>
      <xdr:row>77</xdr:row>
      <xdr:rowOff>156883</xdr:rowOff>
    </xdr:from>
    <xdr:to>
      <xdr:col>26</xdr:col>
      <xdr:colOff>81353</xdr:colOff>
      <xdr:row>87</xdr:row>
      <xdr:rowOff>30883</xdr:rowOff>
    </xdr:to>
    <xdr:graphicFrame macro="">
      <xdr:nvGraphicFramePr>
        <xdr:cNvPr id="11" name="Chart 10">
          <a:extLst>
            <a:ext uri="{FF2B5EF4-FFF2-40B4-BE49-F238E27FC236}">
              <a16:creationId xmlns:a16="http://schemas.microsoft.com/office/drawing/2014/main" id="{2D3E06A3-0E27-4020-A53E-C809BBDCA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56029</xdr:colOff>
      <xdr:row>90</xdr:row>
      <xdr:rowOff>33618</xdr:rowOff>
    </xdr:from>
    <xdr:to>
      <xdr:col>26</xdr:col>
      <xdr:colOff>361501</xdr:colOff>
      <xdr:row>99</xdr:row>
      <xdr:rowOff>98118</xdr:rowOff>
    </xdr:to>
    <xdr:graphicFrame macro="">
      <xdr:nvGraphicFramePr>
        <xdr:cNvPr id="12" name="Chart 11">
          <a:extLst>
            <a:ext uri="{FF2B5EF4-FFF2-40B4-BE49-F238E27FC236}">
              <a16:creationId xmlns:a16="http://schemas.microsoft.com/office/drawing/2014/main" id="{5C4B00F1-6A02-4440-A3AC-3DE437A68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46</xdr:col>
      <xdr:colOff>291353</xdr:colOff>
      <xdr:row>64</xdr:row>
      <xdr:rowOff>33618</xdr:rowOff>
    </xdr:from>
    <xdr:to>
      <xdr:col>51</xdr:col>
      <xdr:colOff>448238</xdr:colOff>
      <xdr:row>74</xdr:row>
      <xdr:rowOff>78441</xdr:rowOff>
    </xdr:to>
    <xdr:graphicFrame macro="">
      <xdr:nvGraphicFramePr>
        <xdr:cNvPr id="13" name="Chart 12">
          <a:extLst>
            <a:ext uri="{FF2B5EF4-FFF2-40B4-BE49-F238E27FC236}">
              <a16:creationId xmlns:a16="http://schemas.microsoft.com/office/drawing/2014/main" id="{8F083376-232A-4067-A4EB-4325C2104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47</xdr:col>
      <xdr:colOff>0</xdr:colOff>
      <xdr:row>77</xdr:row>
      <xdr:rowOff>0</xdr:rowOff>
    </xdr:from>
    <xdr:to>
      <xdr:col>52</xdr:col>
      <xdr:colOff>28016</xdr:colOff>
      <xdr:row>86</xdr:row>
      <xdr:rowOff>32497</xdr:rowOff>
    </xdr:to>
    <xdr:graphicFrame macro="">
      <xdr:nvGraphicFramePr>
        <xdr:cNvPr id="14" name="Chart 13">
          <a:extLst>
            <a:ext uri="{FF2B5EF4-FFF2-40B4-BE49-F238E27FC236}">
              <a16:creationId xmlns:a16="http://schemas.microsoft.com/office/drawing/2014/main" id="{90250486-E57F-46AC-9220-A5F4589CE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47</xdr:col>
      <xdr:colOff>44824</xdr:colOff>
      <xdr:row>90</xdr:row>
      <xdr:rowOff>112059</xdr:rowOff>
    </xdr:from>
    <xdr:to>
      <xdr:col>51</xdr:col>
      <xdr:colOff>515471</xdr:colOff>
      <xdr:row>98</xdr:row>
      <xdr:rowOff>144555</xdr:rowOff>
    </xdr:to>
    <xdr:graphicFrame macro="">
      <xdr:nvGraphicFramePr>
        <xdr:cNvPr id="15" name="Chart 14">
          <a:extLst>
            <a:ext uri="{FF2B5EF4-FFF2-40B4-BE49-F238E27FC236}">
              <a16:creationId xmlns:a16="http://schemas.microsoft.com/office/drawing/2014/main" id="{99E61FC8-3771-455A-A16F-6CF1B9C8D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590550</xdr:colOff>
      <xdr:row>13</xdr:row>
      <xdr:rowOff>190499</xdr:rowOff>
    </xdr:from>
    <xdr:to>
      <xdr:col>11</xdr:col>
      <xdr:colOff>371475</xdr:colOff>
      <xdr:row>36</xdr:row>
      <xdr:rowOff>47624</xdr:rowOff>
    </xdr:to>
    <xdr:graphicFrame macro="">
      <xdr:nvGraphicFramePr>
        <xdr:cNvPr id="10" name="Chart 9">
          <a:extLst>
            <a:ext uri="{FF2B5EF4-FFF2-40B4-BE49-F238E27FC236}">
              <a16:creationId xmlns:a16="http://schemas.microsoft.com/office/drawing/2014/main" id="{411F26C6-628D-505A-1F23-E890696DBB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31" dT="2023-05-18T22:00:27.44" personId="{00000000-0000-0000-0000-000000000000}" id="{111130B0-AB8A-4458-821B-8B7D4E871180}">
    <text>up to 12 years</text>
  </threadedComment>
  <threadedComment ref="I32" dT="2023-06-29T00:06:59.64" personId="{00000000-0000-0000-0000-000000000000}" id="{B3C5304E-A94B-4D50-BD86-D10582AE4D31}">
    <text>Up to 20 years
Repowered buses can be certified as new, extending their remaining life up to 20 years. The certification decision is made case by case.</text>
  </threadedComment>
  <threadedComment ref="I44" dT="2023-05-18T22:01:15.21" personId="{00000000-0000-0000-0000-000000000000}" id="{9FE49DF3-5999-46E8-BD84-058382C12A9A}">
    <text>Generally: 1 fast charger for 6 buses</text>
  </threadedComment>
  <threadedComment ref="I69" dT="2023-05-18T22:01:58.86" personId="{00000000-0000-0000-0000-000000000000}" id="{09AC009A-A04E-45BE-B358-5E88426096B0}">
    <text>Distance between 6 to 15 km</text>
  </threadedComment>
</ThreadedComments>
</file>

<file path=xl/threadedComments/threadedComment2.xml><?xml version="1.0" encoding="utf-8"?>
<ThreadedComments xmlns="http://schemas.microsoft.com/office/spreadsheetml/2018/threadedcomments" xmlns:x="http://schemas.openxmlformats.org/spreadsheetml/2006/main">
  <threadedComment ref="E120" dT="2023-04-18T06:41:33.90" personId="{00000000-0000-0000-0000-000000000000}" id="{B433D983-5422-41F6-B329-2EC30604583A}">
    <text xml:space="preserve">Consultation with an expert from the Tranzit group suggest that double deck buses have a significantly higher maintenance cost due to its weigh. We do not have an estimates of the increase in maintenance cost. We use a bus purchase price difference to adjust the maintenance cost. </text>
  </threadedComment>
  <threadedComment ref="E169" dT="2023-04-18T22:27:04.62" personId="{00000000-0000-0000-0000-000000000000}" id="{9682E5D8-701F-4912-9FF3-0118F714857F}">
    <text>Sunk cost</text>
  </threadedComment>
  <threadedComment ref="E195" dT="2023-05-23T01:37:41.24" personId="{00000000-0000-0000-0000-000000000000}" id="{C05E925F-23EB-420B-A669-4CF4DE3091FF}">
    <text xml:space="preserve">Assumed the same as of a diesel bus. However, HYDY suggests that buses with H2 blending would have lower maintenance costs. But there is no indication of the percentage reduction in O&amp;M expenses.  </text>
  </threadedComment>
  <threadedComment ref="E216" dT="2023-04-18T22:27:51.70" personId="{00000000-0000-0000-0000-000000000000}" id="{B736FE8B-C6DD-4D89-BC31-5AB2268F2CD3}">
    <text>Sunk cost</text>
  </threadedComment>
  <threadedComment ref="E222" dT="2023-05-24T05:36:20.00" personId="{00000000-0000-0000-0000-000000000000}" id="{771105E9-0E0B-4F0C-91CB-E59D92828587}">
    <text xml:space="preserve">Minus indicates an increase in NO2 emissions.  </text>
  </threadedComment>
  <threadedComment ref="E245" dT="2023-04-12T06:15:58.61" personId="{00000000-0000-0000-0000-000000000000}" id="{1E405ABF-3DCE-4294-887E-BB79D6F54100}">
    <text>400k for 12 chargers</text>
  </threadedComment>
  <threadedComment ref="E252" dT="2023-04-12T06:15:58.61" personId="{00000000-0000-0000-0000-000000000000}" id="{A0EA784A-9799-447B-8F0A-FF0543ADFF2B}">
    <text>400k for 12 chargers</text>
  </threadedComment>
  <threadedComment ref="E277" dT="2023-04-12T06:14:14.70" personId="{00000000-0000-0000-0000-000000000000}" id="{391D429F-3AAA-4C9D-AAE2-0A67887228F7}">
    <text>0.819 km/kWh</text>
  </threadedComment>
  <threadedComment ref="E291" dT="2023-04-18T22:28:26.69" personId="{00000000-0000-0000-0000-000000000000}" id="{0327E2BA-ABE8-47D0-9918-949103124BF2}">
    <text xml:space="preserve">Bus frame production is a Sunk cost. Battery production is about 47t CO2e emissions </text>
  </threadedComment>
  <threadedComment ref="E297" dT="2023-05-23T00:04:39.46" personId="{00000000-0000-0000-0000-000000000000}" id="{AF536832-1F95-4F11-9086-103C44298307}">
    <text xml:space="preserve">An average price from two sources </text>
  </threadedComment>
  <threadedComment ref="E312" dT="2023-05-23T00:10:33.78" personId="{00000000-0000-0000-0000-000000000000}" id="{4329CF56-06C4-4FB2-B82A-29736E755A06}">
    <text xml:space="preserve">The assumption is that the price of a battery will decrease by approximately 40% to 52% by 2030, resulting in an average annual rate of price drop of around 3.83%. </text>
  </threadedComment>
  <threadedComment ref="E316" dT="2023-04-12T06:15:58.61" personId="{00000000-0000-0000-0000-000000000000}" id="{B1FA88DC-ECEC-43C4-B2E9-428CCBDF8325}">
    <text>400k for 12 chargers</text>
  </threadedComment>
  <threadedComment ref="E325" dT="2023-05-23T00:36:41.03" personId="{00000000-0000-0000-0000-000000000000}" id="{7288A641-7BC4-4B2A-BDED-08A3B11D7A12}">
    <text>There is practically no difference in maintenance cost between different SD models with the same battery</text>
  </threadedComment>
  <threadedComment ref="E326" dT="2023-05-23T00:38:41.53" personId="{00000000-0000-0000-0000-000000000000}" id="{354DF80A-BB8B-4A8E-A8DB-5F9A33D09C1C}">
    <text xml:space="preserve">The maintenance cost of a bus equipped with a larger battery is approximately 3% to 5% higher compared to a bus with a lower capacity battery. </text>
  </threadedComment>
</ThreadedComments>
</file>

<file path=xl/threadedComments/threadedComment3.xml><?xml version="1.0" encoding="utf-8"?>
<ThreadedComments xmlns="http://schemas.microsoft.com/office/spreadsheetml/2018/threadedcomments" xmlns:x="http://schemas.openxmlformats.org/spreadsheetml/2006/main">
  <threadedComment ref="I15" dT="2023-05-23T00:34:37.95" personId="{00000000-0000-0000-0000-000000000000}" id="{1937D59E-2E70-4823-90F5-8001B64A9096}">
    <text>Assumption is that the maintenance cost for BEB's is about 30% less than diesel</text>
  </threadedComment>
  <threadedComment ref="I37" dT="2023-05-23T00:27:51.09" personId="{00000000-0000-0000-0000-000000000000}" id="{9DB7FD96-B558-44F1-B740-62DC3E5D53F9}">
    <text xml:space="preserve">In a real-life case, a bus operator invested approximately $5 million to install 30 chargers and upgrade the depot to support the utilization of these chargers.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nzta.govt.nz/resources/research/reports/71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hyperlink" Target="https://www.freightwaves.com/news/renewable-diesel-environmental-and-economic-sustainability-meet-head-on"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C7B77-5B7A-4934-84B8-F21323F163B1}">
  <sheetPr>
    <tabColor theme="9" tint="0.79998168889431442"/>
  </sheetPr>
  <dimension ref="A1:A11"/>
  <sheetViews>
    <sheetView tabSelected="1" zoomScaleNormal="100" workbookViewId="0">
      <selection activeCell="A9" sqref="A9"/>
    </sheetView>
  </sheetViews>
  <sheetFormatPr defaultRowHeight="15" x14ac:dyDescent="0.2"/>
  <cols>
    <col min="1" max="1" width="86.28515625" style="535" customWidth="1"/>
    <col min="2" max="16384" width="9.140625" style="535"/>
  </cols>
  <sheetData>
    <row r="1" spans="1:1" ht="27.75" x14ac:dyDescent="0.4">
      <c r="A1" s="534" t="s">
        <v>667</v>
      </c>
    </row>
    <row r="2" spans="1:1" ht="28.5" customHeight="1" x14ac:dyDescent="0.35">
      <c r="A2" s="536" t="s">
        <v>668</v>
      </c>
    </row>
    <row r="3" spans="1:1" ht="40.5" customHeight="1" x14ac:dyDescent="0.3">
      <c r="A3" s="537" t="s">
        <v>666</v>
      </c>
    </row>
    <row r="4" spans="1:1" ht="229.5" customHeight="1" x14ac:dyDescent="0.25">
      <c r="A4" s="538" t="s">
        <v>669</v>
      </c>
    </row>
    <row r="5" spans="1:1" x14ac:dyDescent="0.2">
      <c r="A5" s="539" t="s">
        <v>670</v>
      </c>
    </row>
    <row r="7" spans="1:1" x14ac:dyDescent="0.2">
      <c r="A7" s="539" t="s">
        <v>671</v>
      </c>
    </row>
    <row r="8" spans="1:1" ht="15.75" x14ac:dyDescent="0.25">
      <c r="A8" s="154" t="s">
        <v>672</v>
      </c>
    </row>
    <row r="11" spans="1:1" ht="15.75" x14ac:dyDescent="0.25">
      <c r="A11" s="538"/>
    </row>
  </sheetData>
  <hyperlinks>
    <hyperlink ref="A8" r:id="rId1" xr:uid="{CC53EEBC-459A-49D1-870F-0F2A78F126DB}"/>
  </hyperlinks>
  <pageMargins left="0.7" right="0.7" top="0.75" bottom="0.75" header="0.3" footer="0.3"/>
  <pageSetup orientation="portrait" horizontalDpi="0" verticalDpi="0" r:id="rId2"/>
  <headerFooter>
    <oddHeader>&amp;L&amp;16&amp;F&amp;R&amp;G</oddHeader>
  </headerFooter>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EE748-C9C2-4675-80BE-85AB53EB7EAE}">
  <sheetPr codeName="Sheet9">
    <tabColor rgb="FF00B0F0"/>
  </sheetPr>
  <dimension ref="A1"/>
  <sheetViews>
    <sheetView workbookViewId="0">
      <selection activeCell="Q39" sqref="P39:Q39"/>
    </sheetView>
  </sheetViews>
  <sheetFormatPr defaultColWidth="9.140625" defaultRowHeight="15" x14ac:dyDescent="0.25"/>
  <cols>
    <col min="1" max="16384" width="9.140625" style="14"/>
  </cols>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583F-0191-491E-A6E0-C113E8D37EE9}">
  <sheetPr codeName="Sheet10">
    <tabColor theme="8" tint="-0.249977111117893"/>
  </sheetPr>
  <dimension ref="A1:AP124"/>
  <sheetViews>
    <sheetView zoomScale="70" zoomScaleNormal="70" workbookViewId="0">
      <pane xSplit="7" ySplit="3" topLeftCell="H4" activePane="bottomRight" state="frozen"/>
      <selection pane="topRight" activeCell="H1" sqref="H1"/>
      <selection pane="bottomLeft" activeCell="A4" sqref="A4"/>
      <selection pane="bottomRight" activeCell="I26" sqref="I26"/>
    </sheetView>
  </sheetViews>
  <sheetFormatPr defaultRowHeight="15" x14ac:dyDescent="0.25"/>
  <cols>
    <col min="1" max="1" width="16.85546875" style="51" bestFit="1" customWidth="1"/>
    <col min="2" max="2" width="12.28515625" style="52" bestFit="1" customWidth="1"/>
    <col min="3" max="3" width="29.7109375" customWidth="1"/>
    <col min="4" max="4" width="9.7109375" customWidth="1"/>
    <col min="5" max="5" width="11.28515625" style="88" customWidth="1"/>
    <col min="6" max="6" width="17.28515625" bestFit="1" customWidth="1"/>
    <col min="7" max="7" width="14.42578125" customWidth="1"/>
    <col min="8" max="8" width="18.140625" bestFit="1" customWidth="1"/>
    <col min="9" max="28" width="14.42578125" bestFit="1" customWidth="1"/>
    <col min="29" max="41" width="14" customWidth="1"/>
  </cols>
  <sheetData>
    <row r="1" spans="1:42" x14ac:dyDescent="0.25">
      <c r="A1" s="1"/>
      <c r="B1" s="2"/>
      <c r="C1" s="3" t="s">
        <v>191</v>
      </c>
      <c r="D1" s="3" t="s">
        <v>40</v>
      </c>
      <c r="E1" s="82"/>
      <c r="F1" s="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5"/>
    </row>
    <row r="2" spans="1:42" x14ac:dyDescent="0.25">
      <c r="A2" s="6"/>
      <c r="B2" s="7"/>
      <c r="C2" s="8"/>
      <c r="D2" s="8"/>
      <c r="E2" s="83"/>
      <c r="F2" s="9"/>
      <c r="G2" s="7"/>
      <c r="H2" s="10">
        <f>chart_start_proj</f>
        <v>2023</v>
      </c>
      <c r="I2" s="10">
        <f>H2+1</f>
        <v>2024</v>
      </c>
      <c r="J2" s="10">
        <f t="shared" ref="J2:AO2" si="0">I2+1</f>
        <v>2025</v>
      </c>
      <c r="K2" s="10">
        <f t="shared" si="0"/>
        <v>2026</v>
      </c>
      <c r="L2" s="10">
        <f t="shared" si="0"/>
        <v>2027</v>
      </c>
      <c r="M2" s="10">
        <f t="shared" si="0"/>
        <v>2028</v>
      </c>
      <c r="N2" s="10">
        <f t="shared" si="0"/>
        <v>2029</v>
      </c>
      <c r="O2" s="10">
        <f t="shared" si="0"/>
        <v>2030</v>
      </c>
      <c r="P2" s="10">
        <f t="shared" si="0"/>
        <v>2031</v>
      </c>
      <c r="Q2" s="10">
        <f t="shared" si="0"/>
        <v>2032</v>
      </c>
      <c r="R2" s="10">
        <f t="shared" si="0"/>
        <v>2033</v>
      </c>
      <c r="S2" s="10">
        <f t="shared" si="0"/>
        <v>2034</v>
      </c>
      <c r="T2" s="10">
        <f t="shared" si="0"/>
        <v>2035</v>
      </c>
      <c r="U2" s="10">
        <f t="shared" si="0"/>
        <v>2036</v>
      </c>
      <c r="V2" s="10">
        <f t="shared" si="0"/>
        <v>2037</v>
      </c>
      <c r="W2" s="10">
        <f t="shared" si="0"/>
        <v>2038</v>
      </c>
      <c r="X2" s="10">
        <f t="shared" si="0"/>
        <v>2039</v>
      </c>
      <c r="Y2" s="10">
        <f t="shared" si="0"/>
        <v>2040</v>
      </c>
      <c r="Z2" s="10">
        <f t="shared" si="0"/>
        <v>2041</v>
      </c>
      <c r="AA2" s="10">
        <f t="shared" si="0"/>
        <v>2042</v>
      </c>
      <c r="AB2" s="10">
        <f t="shared" si="0"/>
        <v>2043</v>
      </c>
      <c r="AC2" s="10">
        <f t="shared" si="0"/>
        <v>2044</v>
      </c>
      <c r="AD2" s="10">
        <f t="shared" si="0"/>
        <v>2045</v>
      </c>
      <c r="AE2" s="10">
        <f t="shared" si="0"/>
        <v>2046</v>
      </c>
      <c r="AF2" s="10">
        <f t="shared" si="0"/>
        <v>2047</v>
      </c>
      <c r="AG2" s="10">
        <f t="shared" si="0"/>
        <v>2048</v>
      </c>
      <c r="AH2" s="10">
        <f t="shared" si="0"/>
        <v>2049</v>
      </c>
      <c r="AI2" s="10">
        <f t="shared" si="0"/>
        <v>2050</v>
      </c>
      <c r="AJ2" s="10">
        <f t="shared" si="0"/>
        <v>2051</v>
      </c>
      <c r="AK2" s="10">
        <f t="shared" si="0"/>
        <v>2052</v>
      </c>
      <c r="AL2" s="10">
        <f t="shared" si="0"/>
        <v>2053</v>
      </c>
      <c r="AM2" s="10">
        <f t="shared" si="0"/>
        <v>2054</v>
      </c>
      <c r="AN2" s="10">
        <f t="shared" si="0"/>
        <v>2055</v>
      </c>
      <c r="AO2" s="10">
        <f t="shared" si="0"/>
        <v>2056</v>
      </c>
      <c r="AP2" s="11"/>
    </row>
    <row r="3" spans="1:42" x14ac:dyDescent="0.25">
      <c r="A3" s="1"/>
      <c r="B3" s="2"/>
      <c r="C3" s="148"/>
      <c r="D3" s="148"/>
      <c r="E3" s="4"/>
      <c r="F3" s="4"/>
      <c r="G3" s="2"/>
      <c r="H3" s="142">
        <v>0</v>
      </c>
      <c r="I3" s="142">
        <v>1</v>
      </c>
      <c r="J3" s="142">
        <v>2</v>
      </c>
      <c r="K3" s="142">
        <v>3</v>
      </c>
      <c r="L3" s="142">
        <v>4</v>
      </c>
      <c r="M3" s="142">
        <v>5</v>
      </c>
      <c r="N3" s="142">
        <v>6</v>
      </c>
      <c r="O3" s="142">
        <v>7</v>
      </c>
      <c r="P3" s="142">
        <v>8</v>
      </c>
      <c r="Q3" s="142">
        <v>9</v>
      </c>
      <c r="R3" s="142">
        <v>10</v>
      </c>
      <c r="S3" s="142">
        <v>11</v>
      </c>
      <c r="T3" s="142">
        <v>12</v>
      </c>
      <c r="U3" s="142">
        <v>13</v>
      </c>
      <c r="V3" s="142">
        <v>14</v>
      </c>
      <c r="W3" s="142">
        <v>15</v>
      </c>
      <c r="X3" s="142">
        <v>16</v>
      </c>
      <c r="Y3" s="142">
        <v>17</v>
      </c>
      <c r="Z3" s="142">
        <v>18</v>
      </c>
      <c r="AA3" s="142">
        <v>19</v>
      </c>
      <c r="AB3" s="142">
        <v>20</v>
      </c>
      <c r="AC3" s="142"/>
      <c r="AD3" s="142"/>
      <c r="AE3" s="142"/>
      <c r="AF3" s="142"/>
      <c r="AG3" s="142"/>
      <c r="AH3" s="142"/>
      <c r="AI3" s="142"/>
      <c r="AJ3" s="142"/>
      <c r="AK3" s="142"/>
      <c r="AL3" s="142"/>
      <c r="AM3" s="142"/>
      <c r="AN3" s="142"/>
      <c r="AO3" s="142"/>
      <c r="AP3" s="149"/>
    </row>
    <row r="4" spans="1:42" x14ac:dyDescent="0.25">
      <c r="A4" s="12"/>
      <c r="B4" s="13"/>
      <c r="C4" s="14"/>
      <c r="D4" s="14"/>
      <c r="E4" s="84"/>
      <c r="F4" s="16"/>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7"/>
    </row>
    <row r="5" spans="1:42" x14ac:dyDescent="0.25">
      <c r="A5" s="18" t="s">
        <v>192</v>
      </c>
      <c r="B5" s="19"/>
      <c r="C5" s="20" t="s">
        <v>193</v>
      </c>
      <c r="D5" s="21" t="s">
        <v>194</v>
      </c>
      <c r="E5" s="85" t="s">
        <v>110</v>
      </c>
      <c r="F5" s="22" t="s">
        <v>195</v>
      </c>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7"/>
    </row>
    <row r="6" spans="1:42" x14ac:dyDescent="0.25">
      <c r="A6" s="12"/>
      <c r="B6" s="13"/>
      <c r="C6" s="14"/>
      <c r="D6" s="14"/>
      <c r="E6" s="84"/>
      <c r="F6" s="16"/>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7"/>
    </row>
    <row r="7" spans="1:42" x14ac:dyDescent="0.25">
      <c r="A7" s="23"/>
      <c r="B7" s="23"/>
      <c r="C7" s="24" t="s">
        <v>172</v>
      </c>
      <c r="D7" s="24"/>
      <c r="E7" s="8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7"/>
    </row>
    <row r="8" spans="1:42" x14ac:dyDescent="0.25">
      <c r="A8" s="12"/>
      <c r="B8" s="13"/>
      <c r="C8" s="37" t="s">
        <v>463</v>
      </c>
      <c r="D8" s="37"/>
      <c r="E8" s="87"/>
      <c r="F8" s="39"/>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17"/>
    </row>
    <row r="9" spans="1:42" x14ac:dyDescent="0.25">
      <c r="A9" s="12"/>
      <c r="B9" s="13"/>
      <c r="C9" s="41"/>
      <c r="D9" s="41"/>
      <c r="E9" s="84"/>
      <c r="F9" s="16"/>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7"/>
    </row>
    <row r="10" spans="1:42" x14ac:dyDescent="0.25">
      <c r="A10" s="12"/>
      <c r="B10" s="13"/>
      <c r="C10" s="14" t="s">
        <v>464</v>
      </c>
      <c r="D10" s="14"/>
      <c r="E10" s="15" t="s">
        <v>465</v>
      </c>
      <c r="F10" s="16"/>
      <c r="G10" s="14"/>
      <c r="H10" s="176"/>
      <c r="I10" s="176">
        <f>Data!$E$405*Data!$E$406</f>
        <v>300</v>
      </c>
      <c r="J10" s="176">
        <f>Data!$E$405*Data!$E$406</f>
        <v>300</v>
      </c>
      <c r="K10" s="176">
        <f>Data!$E$405*Data!$E$406</f>
        <v>300</v>
      </c>
      <c r="L10" s="176">
        <f>Data!$E$405*Data!$E$406</f>
        <v>300</v>
      </c>
      <c r="M10" s="176">
        <f>Data!$E$405*Data!$E$406</f>
        <v>300</v>
      </c>
      <c r="N10" s="176">
        <f>Data!$E$405*Data!$E$406</f>
        <v>300</v>
      </c>
      <c r="O10" s="176">
        <f>Data!$E$405*Data!$E$406</f>
        <v>300</v>
      </c>
      <c r="P10" s="176">
        <f>Data!$E$405*Data!$E$406</f>
        <v>300</v>
      </c>
      <c r="Q10" s="176">
        <f>Data!$E$405*Data!$E$406</f>
        <v>300</v>
      </c>
      <c r="R10" s="176">
        <f>Data!$E$405*Data!$E$406</f>
        <v>300</v>
      </c>
      <c r="S10" s="176">
        <f>Data!$E$405*Data!$E$406</f>
        <v>300</v>
      </c>
      <c r="T10" s="176">
        <f>Data!$E$405*Data!$E$406</f>
        <v>300</v>
      </c>
      <c r="U10" s="176">
        <f>Data!$E$405*Data!$E$406</f>
        <v>300</v>
      </c>
      <c r="V10" s="176">
        <f>Data!$E$405*Data!$E$406</f>
        <v>300</v>
      </c>
      <c r="W10" s="176">
        <f>Data!$E$405*Data!$E$406</f>
        <v>300</v>
      </c>
      <c r="X10" s="176">
        <f>Data!$E$405*Data!$E$406</f>
        <v>300</v>
      </c>
      <c r="Y10" s="176">
        <f>Data!$E$405*Data!$E$406</f>
        <v>300</v>
      </c>
      <c r="Z10" s="176">
        <f>Data!$E$405*Data!$E$406</f>
        <v>300</v>
      </c>
      <c r="AA10" s="176">
        <f>Data!$E$405*Data!$E$406</f>
        <v>300</v>
      </c>
      <c r="AB10" s="176">
        <f>Data!$E$405*Data!$E$406</f>
        <v>300</v>
      </c>
      <c r="AC10" s="176">
        <f>Data!$E$405*Data!$E$406</f>
        <v>300</v>
      </c>
      <c r="AD10" s="176">
        <f>Data!$E$405*Data!$E$406</f>
        <v>300</v>
      </c>
      <c r="AE10" s="176">
        <f>Data!$E$405*Data!$E$406</f>
        <v>300</v>
      </c>
      <c r="AF10" s="176">
        <f>Data!$E$405*Data!$E$406</f>
        <v>300</v>
      </c>
      <c r="AG10" s="176">
        <f>Data!$E$405*Data!$E$406</f>
        <v>300</v>
      </c>
      <c r="AH10" s="176">
        <f>Data!$E$405*Data!$E$406</f>
        <v>300</v>
      </c>
      <c r="AI10" s="176">
        <f>Data!$E$405*Data!$E$406</f>
        <v>300</v>
      </c>
      <c r="AJ10" s="176">
        <f>Data!$E$405*Data!$E$406</f>
        <v>300</v>
      </c>
      <c r="AK10" s="176">
        <f>Data!$E$405*Data!$E$406</f>
        <v>300</v>
      </c>
      <c r="AL10" s="176">
        <f>Data!$E$405*Data!$E$406</f>
        <v>300</v>
      </c>
      <c r="AM10" s="176">
        <f>Data!$E$405*Data!$E$406</f>
        <v>300</v>
      </c>
      <c r="AN10" s="176">
        <f>Data!$E$405*Data!$E$406</f>
        <v>300</v>
      </c>
      <c r="AO10" s="363">
        <f>Data!$E$405*Data!$E$406</f>
        <v>300</v>
      </c>
      <c r="AP10" s="17"/>
    </row>
    <row r="11" spans="1:42" x14ac:dyDescent="0.25">
      <c r="A11" s="12"/>
      <c r="B11" s="13"/>
      <c r="C11" s="14" t="s">
        <v>466</v>
      </c>
      <c r="D11" s="14"/>
      <c r="E11" s="15" t="s">
        <v>465</v>
      </c>
      <c r="F11" s="16"/>
      <c r="G11" s="14"/>
      <c r="H11" s="177"/>
      <c r="I11" s="177">
        <f>I10*Data!$E$408</f>
        <v>93600</v>
      </c>
      <c r="J11" s="177">
        <f>J10*Data!$E$408</f>
        <v>93600</v>
      </c>
      <c r="K11" s="177">
        <f>K10*Data!$E$408</f>
        <v>93600</v>
      </c>
      <c r="L11" s="177">
        <f>L10*Data!$E$408</f>
        <v>93600</v>
      </c>
      <c r="M11" s="177">
        <f>M10*Data!$E$408</f>
        <v>93600</v>
      </c>
      <c r="N11" s="177">
        <f>N10*Data!$E$408</f>
        <v>93600</v>
      </c>
      <c r="O11" s="177">
        <f>O10*Data!$E$408</f>
        <v>93600</v>
      </c>
      <c r="P11" s="177">
        <f>P10*Data!$E$408</f>
        <v>93600</v>
      </c>
      <c r="Q11" s="177">
        <f>Q10*Data!$E$408</f>
        <v>93600</v>
      </c>
      <c r="R11" s="177">
        <f>R10*Data!$E$408</f>
        <v>93600</v>
      </c>
      <c r="S11" s="177">
        <f>S10*Data!$E$408</f>
        <v>93600</v>
      </c>
      <c r="T11" s="177">
        <f>T10*Data!$E$408</f>
        <v>93600</v>
      </c>
      <c r="U11" s="177">
        <f>U10*Data!$E$408</f>
        <v>93600</v>
      </c>
      <c r="V11" s="177">
        <f>V10*Data!$E$408</f>
        <v>93600</v>
      </c>
      <c r="W11" s="177">
        <f>W10*Data!$E$408</f>
        <v>93600</v>
      </c>
      <c r="X11" s="177">
        <f>X10*Data!$E$408</f>
        <v>93600</v>
      </c>
      <c r="Y11" s="177">
        <f>Y10*Data!$E$408</f>
        <v>93600</v>
      </c>
      <c r="Z11" s="177">
        <f>Z10*Data!$E$408</f>
        <v>93600</v>
      </c>
      <c r="AA11" s="177">
        <f>AA10*Data!$E$408</f>
        <v>93600</v>
      </c>
      <c r="AB11" s="177">
        <f>AB10*Data!$E$408</f>
        <v>93600</v>
      </c>
      <c r="AC11" s="177">
        <f>AC10*Data!$E$408</f>
        <v>93600</v>
      </c>
      <c r="AD11" s="177">
        <f>AD10*Data!$E$408</f>
        <v>93600</v>
      </c>
      <c r="AE11" s="177">
        <f>AE10*Data!$E$408</f>
        <v>93600</v>
      </c>
      <c r="AF11" s="177">
        <f>AF10*Data!$E$408</f>
        <v>93600</v>
      </c>
      <c r="AG11" s="177">
        <f>AG10*Data!$E$408</f>
        <v>93600</v>
      </c>
      <c r="AH11" s="177">
        <f>AH10*Data!$E$408</f>
        <v>93600</v>
      </c>
      <c r="AI11" s="177">
        <f>AI10*Data!$E$408</f>
        <v>93600</v>
      </c>
      <c r="AJ11" s="177">
        <f>AJ10*Data!$E$408</f>
        <v>93600</v>
      </c>
      <c r="AK11" s="177">
        <f>AK10*Data!$E$408</f>
        <v>93600</v>
      </c>
      <c r="AL11" s="177">
        <f>AL10*Data!$E$408</f>
        <v>93600</v>
      </c>
      <c r="AM11" s="177">
        <f>AM10*Data!$E$408</f>
        <v>93600</v>
      </c>
      <c r="AN11" s="177">
        <f>AN10*Data!$E$408</f>
        <v>93600</v>
      </c>
      <c r="AO11" s="360">
        <f>AO10*Data!$E$408</f>
        <v>93600</v>
      </c>
      <c r="AP11" s="17"/>
    </row>
    <row r="12" spans="1:42" x14ac:dyDescent="0.25">
      <c r="A12" s="12"/>
      <c r="B12" s="13"/>
      <c r="C12" s="45"/>
      <c r="D12" s="45"/>
      <c r="E12" s="15"/>
      <c r="F12" s="16"/>
      <c r="G12" s="14"/>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357"/>
      <c r="AP12" s="29"/>
    </row>
    <row r="13" spans="1:42" x14ac:dyDescent="0.25">
      <c r="A13" s="12"/>
      <c r="B13" s="13"/>
      <c r="C13" s="45"/>
      <c r="D13" s="45"/>
      <c r="E13" s="15"/>
      <c r="F13" s="16"/>
      <c r="G13" s="14"/>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357"/>
      <c r="AP13" s="29"/>
    </row>
    <row r="14" spans="1:42" x14ac:dyDescent="0.25">
      <c r="A14" s="23"/>
      <c r="B14" s="23"/>
      <c r="C14" s="24" t="s">
        <v>173</v>
      </c>
      <c r="D14" s="24"/>
      <c r="E14" s="25"/>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7"/>
    </row>
    <row r="15" spans="1:42" x14ac:dyDescent="0.25">
      <c r="A15" s="12"/>
      <c r="B15" s="13"/>
      <c r="C15" s="37" t="s">
        <v>463</v>
      </c>
      <c r="D15" s="37"/>
      <c r="E15" s="38"/>
      <c r="F15" s="39"/>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17"/>
    </row>
    <row r="16" spans="1:42" x14ac:dyDescent="0.25">
      <c r="A16" s="12"/>
      <c r="B16" s="13"/>
      <c r="C16" s="14"/>
      <c r="D16" s="14"/>
      <c r="E16" s="15"/>
      <c r="F16" s="16"/>
      <c r="G16" s="14"/>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356"/>
      <c r="AP16" s="29"/>
    </row>
    <row r="17" spans="1:42" x14ac:dyDescent="0.25">
      <c r="A17" s="12"/>
      <c r="B17" s="13"/>
      <c r="C17" s="14" t="s">
        <v>464</v>
      </c>
      <c r="D17" s="14"/>
      <c r="E17" s="15" t="s">
        <v>465</v>
      </c>
      <c r="F17" s="16"/>
      <c r="G17" s="14"/>
      <c r="H17" s="176"/>
      <c r="I17" s="176">
        <f>Dashboard!$I$49*Dashboard!$I$50</f>
        <v>165</v>
      </c>
      <c r="J17" s="176">
        <f>Dashboard!$I$49*Dashboard!$I$50</f>
        <v>165</v>
      </c>
      <c r="K17" s="176">
        <f>Dashboard!$I$49*Dashboard!$I$50</f>
        <v>165</v>
      </c>
      <c r="L17" s="176">
        <f>Dashboard!$I$49*Dashboard!$I$50</f>
        <v>165</v>
      </c>
      <c r="M17" s="176">
        <f>Dashboard!$I$49*Dashboard!$I$50</f>
        <v>165</v>
      </c>
      <c r="N17" s="176">
        <f>Dashboard!$I$49*Dashboard!$I$50</f>
        <v>165</v>
      </c>
      <c r="O17" s="176">
        <f>Dashboard!$I$49*Dashboard!$I$50</f>
        <v>165</v>
      </c>
      <c r="P17" s="176">
        <f>Dashboard!$I$49*Dashboard!$I$50</f>
        <v>165</v>
      </c>
      <c r="Q17" s="176">
        <f>Dashboard!$I$49*Dashboard!$I$50</f>
        <v>165</v>
      </c>
      <c r="R17" s="176">
        <f>Dashboard!$I$49*Dashboard!$I$50</f>
        <v>165</v>
      </c>
      <c r="S17" s="176">
        <f>Dashboard!$I$49*Dashboard!$I$50</f>
        <v>165</v>
      </c>
      <c r="T17" s="176">
        <f>Dashboard!$I$49*Dashboard!$I$50</f>
        <v>165</v>
      </c>
      <c r="U17" s="176">
        <f>Dashboard!$I$49*Dashboard!$I$50</f>
        <v>165</v>
      </c>
      <c r="V17" s="176">
        <f>Dashboard!$I$49*Dashboard!$I$50</f>
        <v>165</v>
      </c>
      <c r="W17" s="176">
        <f>Dashboard!$I$49*Dashboard!$I$50</f>
        <v>165</v>
      </c>
      <c r="X17" s="176">
        <f>Dashboard!$I$49*Dashboard!$I$50</f>
        <v>165</v>
      </c>
      <c r="Y17" s="176">
        <f>Dashboard!$I$49*Dashboard!$I$50</f>
        <v>165</v>
      </c>
      <c r="Z17" s="176">
        <f>Dashboard!$I$49*Dashboard!$I$50</f>
        <v>165</v>
      </c>
      <c r="AA17" s="176">
        <f>Dashboard!$I$49*Dashboard!$I$50</f>
        <v>165</v>
      </c>
      <c r="AB17" s="176">
        <f>Dashboard!$I$49*Dashboard!$I$50</f>
        <v>165</v>
      </c>
      <c r="AC17" s="176">
        <f>Dashboard!$I$49*Dashboard!$I$50</f>
        <v>165</v>
      </c>
      <c r="AD17" s="176">
        <f>Dashboard!$I$49*Dashboard!$I$50</f>
        <v>165</v>
      </c>
      <c r="AE17" s="176">
        <f>Dashboard!$I$49*Dashboard!$I$50</f>
        <v>165</v>
      </c>
      <c r="AF17" s="176">
        <f>Dashboard!$I$49*Dashboard!$I$50</f>
        <v>165</v>
      </c>
      <c r="AG17" s="176">
        <f>Dashboard!$I$49*Dashboard!$I$50</f>
        <v>165</v>
      </c>
      <c r="AH17" s="176">
        <f>Dashboard!$I$49*Dashboard!$I$50</f>
        <v>165</v>
      </c>
      <c r="AI17" s="176">
        <f>Dashboard!$I$49*Dashboard!$I$50</f>
        <v>165</v>
      </c>
      <c r="AJ17" s="176">
        <f>Dashboard!$I$49*Dashboard!$I$50</f>
        <v>165</v>
      </c>
      <c r="AK17" s="176">
        <f>Dashboard!$I$49*Dashboard!$I$50</f>
        <v>165</v>
      </c>
      <c r="AL17" s="176">
        <f>Dashboard!$I$49*Dashboard!$I$50</f>
        <v>165</v>
      </c>
      <c r="AM17" s="176">
        <f>Dashboard!$I$49*Dashboard!$I$50</f>
        <v>165</v>
      </c>
      <c r="AN17" s="176">
        <f>Dashboard!$I$49*Dashboard!$I$50</f>
        <v>165</v>
      </c>
      <c r="AO17" s="363">
        <f>Dashboard!$I$49*Dashboard!$I$50</f>
        <v>165</v>
      </c>
      <c r="AP17" s="17"/>
    </row>
    <row r="18" spans="1:42" x14ac:dyDescent="0.25">
      <c r="A18" s="12"/>
      <c r="B18" s="13"/>
      <c r="C18" s="14" t="s">
        <v>466</v>
      </c>
      <c r="D18" s="14"/>
      <c r="E18" s="15" t="s">
        <v>465</v>
      </c>
      <c r="F18" s="16"/>
      <c r="G18" s="14"/>
      <c r="H18" s="177"/>
      <c r="I18" s="177">
        <f>I17*Data!$E$408</f>
        <v>51480</v>
      </c>
      <c r="J18" s="177">
        <f>J17*Data!$E$408</f>
        <v>51480</v>
      </c>
      <c r="K18" s="177">
        <f>K17*Data!$E$408</f>
        <v>51480</v>
      </c>
      <c r="L18" s="177">
        <f>L17*Data!$E$408</f>
        <v>51480</v>
      </c>
      <c r="M18" s="177">
        <f>M17*Data!$E$408</f>
        <v>51480</v>
      </c>
      <c r="N18" s="177">
        <f>N17*Data!$E$408</f>
        <v>51480</v>
      </c>
      <c r="O18" s="177">
        <f>O17*Data!$E$408</f>
        <v>51480</v>
      </c>
      <c r="P18" s="177">
        <f>P17*Data!$E$408</f>
        <v>51480</v>
      </c>
      <c r="Q18" s="177">
        <f>Q17*Data!$E$408</f>
        <v>51480</v>
      </c>
      <c r="R18" s="177">
        <f>R17*Data!$E$408</f>
        <v>51480</v>
      </c>
      <c r="S18" s="177">
        <f>S17*Data!$E$408</f>
        <v>51480</v>
      </c>
      <c r="T18" s="177">
        <f>T17*Data!$E$408</f>
        <v>51480</v>
      </c>
      <c r="U18" s="177">
        <f>U17*Data!$E$408</f>
        <v>51480</v>
      </c>
      <c r="V18" s="177">
        <f>V17*Data!$E$408</f>
        <v>51480</v>
      </c>
      <c r="W18" s="177">
        <f>W17*Data!$E$408</f>
        <v>51480</v>
      </c>
      <c r="X18" s="177">
        <f>X17*Data!$E$408</f>
        <v>51480</v>
      </c>
      <c r="Y18" s="177">
        <f>Y17*Data!$E$408</f>
        <v>51480</v>
      </c>
      <c r="Z18" s="177">
        <f>Z17*Data!$E$408</f>
        <v>51480</v>
      </c>
      <c r="AA18" s="177">
        <f>AA17*Data!$E$408</f>
        <v>51480</v>
      </c>
      <c r="AB18" s="177">
        <f>AB17*Data!$E$408</f>
        <v>51480</v>
      </c>
      <c r="AC18" s="177">
        <f>AC17*Data!$E$408</f>
        <v>51480</v>
      </c>
      <c r="AD18" s="177">
        <f>AD17*Data!$E$408</f>
        <v>51480</v>
      </c>
      <c r="AE18" s="177">
        <f>AE17*Data!$E$408</f>
        <v>51480</v>
      </c>
      <c r="AF18" s="177">
        <f>AF17*Data!$E$408</f>
        <v>51480</v>
      </c>
      <c r="AG18" s="177">
        <f>AG17*Data!$E$408</f>
        <v>51480</v>
      </c>
      <c r="AH18" s="177">
        <f>AH17*Data!$E$408</f>
        <v>51480</v>
      </c>
      <c r="AI18" s="177">
        <f>AI17*Data!$E$408</f>
        <v>51480</v>
      </c>
      <c r="AJ18" s="177">
        <f>AJ17*Data!$E$408</f>
        <v>51480</v>
      </c>
      <c r="AK18" s="177">
        <f>AK17*Data!$E$408</f>
        <v>51480</v>
      </c>
      <c r="AL18" s="177">
        <f>AL17*Data!$E$408</f>
        <v>51480</v>
      </c>
      <c r="AM18" s="177">
        <f>AM17*Data!$E$408</f>
        <v>51480</v>
      </c>
      <c r="AN18" s="177">
        <f>AN17*Data!$E$408</f>
        <v>51480</v>
      </c>
      <c r="AO18" s="360">
        <f>AO17*Data!$E$408</f>
        <v>51480</v>
      </c>
      <c r="AP18" s="17"/>
    </row>
    <row r="19" spans="1:42" x14ac:dyDescent="0.25">
      <c r="A19" s="12"/>
      <c r="B19" s="13"/>
      <c r="C19" s="14"/>
      <c r="D19" s="14"/>
      <c r="E19" s="15"/>
      <c r="F19" s="16"/>
      <c r="G19" s="14"/>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356"/>
      <c r="AP19" s="29"/>
    </row>
    <row r="20" spans="1:42" x14ac:dyDescent="0.25">
      <c r="A20" s="12"/>
      <c r="B20" s="13"/>
      <c r="C20" s="14"/>
      <c r="D20" s="14"/>
      <c r="E20" s="15"/>
      <c r="F20" s="16"/>
      <c r="G20" s="14"/>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356"/>
      <c r="AP20" s="29"/>
    </row>
    <row r="21" spans="1:42" x14ac:dyDescent="0.25">
      <c r="A21" s="23"/>
      <c r="B21" s="23"/>
      <c r="C21" s="24" t="s">
        <v>174</v>
      </c>
      <c r="D21" s="24"/>
      <c r="E21" s="25"/>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7"/>
    </row>
    <row r="22" spans="1:42" x14ac:dyDescent="0.25">
      <c r="A22" s="12"/>
      <c r="B22" s="13"/>
      <c r="C22" s="37" t="s">
        <v>463</v>
      </c>
      <c r="D22" s="37"/>
      <c r="E22" s="38"/>
      <c r="F22" s="39"/>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17"/>
    </row>
    <row r="23" spans="1:42" x14ac:dyDescent="0.25">
      <c r="A23" s="12"/>
      <c r="B23" s="13"/>
      <c r="C23" s="14"/>
      <c r="D23" s="14"/>
      <c r="E23" s="15"/>
      <c r="F23" s="16"/>
      <c r="G23" s="14"/>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356"/>
      <c r="AP23" s="29"/>
    </row>
    <row r="24" spans="1:42" x14ac:dyDescent="0.25">
      <c r="A24" s="12"/>
      <c r="B24" s="13"/>
      <c r="C24" s="14" t="s">
        <v>464</v>
      </c>
      <c r="D24" s="14"/>
      <c r="E24" s="15" t="s">
        <v>465</v>
      </c>
      <c r="F24" s="16"/>
      <c r="G24" s="14"/>
      <c r="H24" s="176"/>
      <c r="I24" s="176">
        <f>Dashboard!$I$59*Dashboard!$I$60</f>
        <v>300</v>
      </c>
      <c r="J24" s="176">
        <f>Dashboard!$I$59*Dashboard!$I$60</f>
        <v>300</v>
      </c>
      <c r="K24" s="176">
        <f>Dashboard!$I$59*Dashboard!$I$60</f>
        <v>300</v>
      </c>
      <c r="L24" s="176">
        <f>Dashboard!$I$59*Dashboard!$I$60</f>
        <v>300</v>
      </c>
      <c r="M24" s="176">
        <f>Dashboard!$I$59*Dashboard!$I$60</f>
        <v>300</v>
      </c>
      <c r="N24" s="176">
        <f>Dashboard!$I$59*Dashboard!$I$60</f>
        <v>300</v>
      </c>
      <c r="O24" s="176">
        <f>Dashboard!$I$59*Dashboard!$I$60</f>
        <v>300</v>
      </c>
      <c r="P24" s="176">
        <f>Dashboard!$I$59*Dashboard!$I$60</f>
        <v>300</v>
      </c>
      <c r="Q24" s="176">
        <f>Dashboard!$I$59*Dashboard!$I$60</f>
        <v>300</v>
      </c>
      <c r="R24" s="176">
        <f>Dashboard!$I$59*Dashboard!$I$60</f>
        <v>300</v>
      </c>
      <c r="S24" s="176">
        <f>Dashboard!$I$59*Dashboard!$I$60</f>
        <v>300</v>
      </c>
      <c r="T24" s="176">
        <f>Dashboard!$I$59*Dashboard!$I$60</f>
        <v>300</v>
      </c>
      <c r="U24" s="176">
        <f>Dashboard!$I$59*Dashboard!$I$60</f>
        <v>300</v>
      </c>
      <c r="V24" s="176">
        <f>Dashboard!$I$59*Dashboard!$I$60</f>
        <v>300</v>
      </c>
      <c r="W24" s="176">
        <f>Dashboard!$I$59*Dashboard!$I$60</f>
        <v>300</v>
      </c>
      <c r="X24" s="176">
        <f>Dashboard!$I$59*Dashboard!$I$60</f>
        <v>300</v>
      </c>
      <c r="Y24" s="176">
        <f>Dashboard!$I$59*Dashboard!$I$60</f>
        <v>300</v>
      </c>
      <c r="Z24" s="176">
        <f>Dashboard!$I$59*Dashboard!$I$60</f>
        <v>300</v>
      </c>
      <c r="AA24" s="176">
        <f>Dashboard!$I$59*Dashboard!$I$60</f>
        <v>300</v>
      </c>
      <c r="AB24" s="176">
        <f>Dashboard!$I$59*Dashboard!$I$60</f>
        <v>300</v>
      </c>
      <c r="AC24" s="176">
        <f>Dashboard!$I$59*Dashboard!$I$60</f>
        <v>300</v>
      </c>
      <c r="AD24" s="176">
        <f>Dashboard!$I$59*Dashboard!$I$60</f>
        <v>300</v>
      </c>
      <c r="AE24" s="176">
        <f>Dashboard!$I$59*Dashboard!$I$60</f>
        <v>300</v>
      </c>
      <c r="AF24" s="176">
        <f>Dashboard!$I$59*Dashboard!$I$60</f>
        <v>300</v>
      </c>
      <c r="AG24" s="176">
        <f>Dashboard!$I$59*Dashboard!$I$60</f>
        <v>300</v>
      </c>
      <c r="AH24" s="176">
        <f>Dashboard!$I$59*Dashboard!$I$60</f>
        <v>300</v>
      </c>
      <c r="AI24" s="176">
        <f>Dashboard!$I$59*Dashboard!$I$60</f>
        <v>300</v>
      </c>
      <c r="AJ24" s="176">
        <f>Dashboard!$I$59*Dashboard!$I$60</f>
        <v>300</v>
      </c>
      <c r="AK24" s="176">
        <f>Dashboard!$I$59*Dashboard!$I$60</f>
        <v>300</v>
      </c>
      <c r="AL24" s="176">
        <f>Dashboard!$I$59*Dashboard!$I$60</f>
        <v>300</v>
      </c>
      <c r="AM24" s="176">
        <f>Dashboard!$I$59*Dashboard!$I$60</f>
        <v>300</v>
      </c>
      <c r="AN24" s="176">
        <f>Dashboard!$I$59*Dashboard!$I$60</f>
        <v>300</v>
      </c>
      <c r="AO24" s="363">
        <f>Dashboard!$I$59*Dashboard!$I$60</f>
        <v>300</v>
      </c>
      <c r="AP24" s="17"/>
    </row>
    <row r="25" spans="1:42" x14ac:dyDescent="0.25">
      <c r="A25" s="12"/>
      <c r="B25" s="13"/>
      <c r="C25" s="14" t="s">
        <v>466</v>
      </c>
      <c r="D25" s="14"/>
      <c r="E25" s="15" t="s">
        <v>465</v>
      </c>
      <c r="F25" s="16"/>
      <c r="G25" s="14"/>
      <c r="H25" s="177"/>
      <c r="I25" s="177">
        <f>I24*Data!$E$408</f>
        <v>93600</v>
      </c>
      <c r="J25" s="177">
        <f>J24*Data!$E$408</f>
        <v>93600</v>
      </c>
      <c r="K25" s="177">
        <f>K24*Data!$E$408</f>
        <v>93600</v>
      </c>
      <c r="L25" s="177">
        <f>L24*Data!$E$408</f>
        <v>93600</v>
      </c>
      <c r="M25" s="177">
        <f>M24*Data!$E$408</f>
        <v>93600</v>
      </c>
      <c r="N25" s="177">
        <f>N24*Data!$E$408</f>
        <v>93600</v>
      </c>
      <c r="O25" s="177">
        <f>O24*Data!$E$408</f>
        <v>93600</v>
      </c>
      <c r="P25" s="177">
        <f>P24*Data!$E$408</f>
        <v>93600</v>
      </c>
      <c r="Q25" s="177">
        <f>Q24*Data!$E$408</f>
        <v>93600</v>
      </c>
      <c r="R25" s="177">
        <f>R24*Data!$E$408</f>
        <v>93600</v>
      </c>
      <c r="S25" s="177">
        <f>S24*Data!$E$408</f>
        <v>93600</v>
      </c>
      <c r="T25" s="177">
        <f>T24*Data!$E$408</f>
        <v>93600</v>
      </c>
      <c r="U25" s="177">
        <f>U24*Data!$E$408</f>
        <v>93600</v>
      </c>
      <c r="V25" s="177">
        <f>V24*Data!$E$408</f>
        <v>93600</v>
      </c>
      <c r="W25" s="177">
        <f>W24*Data!$E$408</f>
        <v>93600</v>
      </c>
      <c r="X25" s="177">
        <f>X24*Data!$E$408</f>
        <v>93600</v>
      </c>
      <c r="Y25" s="177">
        <f>Y24*Data!$E$408</f>
        <v>93600</v>
      </c>
      <c r="Z25" s="177">
        <f>Z24*Data!$E$408</f>
        <v>93600</v>
      </c>
      <c r="AA25" s="177">
        <f>AA24*Data!$E$408</f>
        <v>93600</v>
      </c>
      <c r="AB25" s="177">
        <f>AB24*Data!$E$408</f>
        <v>93600</v>
      </c>
      <c r="AC25" s="177">
        <f>AC24*Data!$E$408</f>
        <v>93600</v>
      </c>
      <c r="AD25" s="177">
        <f>AD24*Data!$E$408</f>
        <v>93600</v>
      </c>
      <c r="AE25" s="177">
        <f>AE24*Data!$E$408</f>
        <v>93600</v>
      </c>
      <c r="AF25" s="177">
        <f>AF24*Data!$E$408</f>
        <v>93600</v>
      </c>
      <c r="AG25" s="177">
        <f>AG24*Data!$E$408</f>
        <v>93600</v>
      </c>
      <c r="AH25" s="177">
        <f>AH24*Data!$E$408</f>
        <v>93600</v>
      </c>
      <c r="AI25" s="177">
        <f>AI24*Data!$E$408</f>
        <v>93600</v>
      </c>
      <c r="AJ25" s="177">
        <f>AJ24*Data!$E$408</f>
        <v>93600</v>
      </c>
      <c r="AK25" s="177">
        <f>AK24*Data!$E$408</f>
        <v>93600</v>
      </c>
      <c r="AL25" s="177">
        <f>AL24*Data!$E$408</f>
        <v>93600</v>
      </c>
      <c r="AM25" s="177">
        <f>AM24*Data!$E$408</f>
        <v>93600</v>
      </c>
      <c r="AN25" s="177">
        <f>AN24*Data!$E$408</f>
        <v>93600</v>
      </c>
      <c r="AO25" s="360">
        <f>AO24*Data!$E$408</f>
        <v>93600</v>
      </c>
      <c r="AP25" s="17"/>
    </row>
    <row r="26" spans="1:42" x14ac:dyDescent="0.25">
      <c r="A26" s="12"/>
      <c r="B26" s="13"/>
      <c r="C26" s="14"/>
      <c r="D26" s="14"/>
      <c r="E26" s="15"/>
      <c r="F26" s="16"/>
      <c r="G26" s="14"/>
      <c r="H26" s="46"/>
      <c r="I26" s="165">
        <f>IF(COUNT($I$3:I3)&lt;=(Dashboard!$I$31),I25,0)</f>
        <v>93600</v>
      </c>
      <c r="J26" s="165">
        <f>IF(COUNT($I$3:J3)&lt;=(Dashboard!$I$31),J25,0)</f>
        <v>93600</v>
      </c>
      <c r="K26" s="165">
        <f>IF(COUNT($I$3:K3)&lt;=(Dashboard!$I$31),K25,0)</f>
        <v>93600</v>
      </c>
      <c r="L26" s="165">
        <f>IF(COUNT($I$3:L3)&lt;=(Dashboard!$I$31),L25,0)</f>
        <v>93600</v>
      </c>
      <c r="M26" s="165">
        <f>IF(COUNT($I$3:M3)&lt;=(Dashboard!$I$31),M25,0)</f>
        <v>93600</v>
      </c>
      <c r="N26" s="165">
        <f>IF(COUNT($I$3:N3)&lt;=(Dashboard!$I$31),N25,0)</f>
        <v>93600</v>
      </c>
      <c r="O26" s="165">
        <f>IF(COUNT($I$3:O3)&lt;=(Dashboard!$I$31),O25,0)</f>
        <v>93600</v>
      </c>
      <c r="P26" s="165">
        <f>IF(COUNT($I$3:P3)&lt;=(Dashboard!$I$31),P25,0)</f>
        <v>93600</v>
      </c>
      <c r="Q26" s="165">
        <f>IF(COUNT($I$3:Q3)&lt;=(Dashboard!$I$31),Q25,0)</f>
        <v>93600</v>
      </c>
      <c r="R26" s="165">
        <f>IF(COUNT($I$3:R3)&lt;=(Dashboard!$I$31),R25,0)</f>
        <v>93600</v>
      </c>
      <c r="S26" s="165">
        <f>IF(COUNT($I$3:S3)&lt;=(Dashboard!$I$31),S25,0)</f>
        <v>93600</v>
      </c>
      <c r="T26" s="165">
        <f>IF(COUNT($I$3:T3)&lt;=(Dashboard!$I$31),T25,0)</f>
        <v>93600</v>
      </c>
      <c r="U26" s="165">
        <f>IF(COUNT($I$3:U3)&lt;=(Dashboard!$I$31),U25,0)</f>
        <v>0</v>
      </c>
      <c r="V26" s="165">
        <f>IF(COUNT($I$3:V3)&lt;=(Dashboard!$I$31),V25,0)</f>
        <v>0</v>
      </c>
      <c r="W26" s="165">
        <f>IF(COUNT($I$3:W3)&lt;=(Dashboard!$I$31),W25,0)</f>
        <v>0</v>
      </c>
      <c r="X26" s="165">
        <f>IF(COUNT($I$3:X3)&lt;=(Dashboard!$I$31),X25,0)</f>
        <v>0</v>
      </c>
      <c r="Y26" s="165">
        <f>IF(COUNT($I$3:Y3)&lt;=(Dashboard!$I$31),Y25,0)</f>
        <v>0</v>
      </c>
      <c r="Z26" s="165">
        <f>IF(COUNT($I$3:Z3)&lt;=(Dashboard!$I$31),Z25,0)</f>
        <v>0</v>
      </c>
      <c r="AA26" s="165">
        <f>IF(COUNT($I$3:AA3)&lt;=(Dashboard!$I$31),AA25,0)</f>
        <v>0</v>
      </c>
      <c r="AB26" s="165">
        <f>IF(COUNT($I$3:AB3)&lt;=(Dashboard!$I$31),AB25,0)</f>
        <v>0</v>
      </c>
      <c r="AC26" s="165">
        <f>IF(COUNT($I$3:AC3)&lt;=(Dashboard!$I$31),AC25,0)</f>
        <v>0</v>
      </c>
      <c r="AD26" s="165">
        <f>IF(COUNT($I$3:AD3)&lt;=(Dashboard!$I$31),AD25,0)</f>
        <v>0</v>
      </c>
      <c r="AE26" s="165">
        <f>IF(COUNT($I$3:AE3)&lt;=(Dashboard!$I$31),AE25,0)</f>
        <v>0</v>
      </c>
      <c r="AF26" s="165">
        <f>IF(COUNT($I$3:AF3)&lt;=(Dashboard!$I$31),AF25,0)</f>
        <v>0</v>
      </c>
      <c r="AG26" s="165">
        <f>IF(COUNT($I$3:AG3)&lt;=(Dashboard!$I$31),AG25,0)</f>
        <v>0</v>
      </c>
      <c r="AH26" s="165">
        <f>IF(COUNT($I$3:AH3)&lt;=(Dashboard!$I$31),AH25,0)</f>
        <v>0</v>
      </c>
      <c r="AI26" s="165">
        <f>IF(COUNT($I$3:AI3)&lt;=(Dashboard!$I$31),AI25,0)</f>
        <v>0</v>
      </c>
      <c r="AJ26" s="165">
        <f>IF(COUNT($I$3:AJ3)&lt;=(Dashboard!$I$31),AJ25,0)</f>
        <v>0</v>
      </c>
      <c r="AK26" s="165">
        <f>IF(COUNT($I$3:AK3)&lt;=(Dashboard!$I$31),AK25,0)</f>
        <v>0</v>
      </c>
      <c r="AL26" s="165">
        <f>IF(COUNT($I$3:AL3)&lt;=(Dashboard!$I$31),AL25,0)</f>
        <v>0</v>
      </c>
      <c r="AM26" s="165">
        <f>IF(COUNT($I$3:AM3)&lt;=(Dashboard!$I$31),AM25,0)</f>
        <v>0</v>
      </c>
      <c r="AN26" s="165">
        <f>IF(COUNT($I$3:AN3)&lt;=(Dashboard!$I$31),AN25,0)</f>
        <v>0</v>
      </c>
      <c r="AO26" s="365">
        <f>IF(COUNT($I$3:AO3)&lt;=(Dashboard!$I$31),AO25,0)</f>
        <v>0</v>
      </c>
      <c r="AP26" s="364">
        <f>IF(COUNT($I$3:AP3)&lt;=(Dashboard!$I$31),AP25,0)</f>
        <v>0</v>
      </c>
    </row>
    <row r="27" spans="1:42" x14ac:dyDescent="0.25">
      <c r="A27" s="12"/>
      <c r="B27" s="13"/>
      <c r="C27" s="44"/>
      <c r="D27" s="44"/>
      <c r="E27" s="15"/>
      <c r="F27" s="16"/>
      <c r="G27" s="14"/>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17"/>
    </row>
    <row r="28" spans="1:42" x14ac:dyDescent="0.25">
      <c r="A28" s="12"/>
      <c r="B28" s="13"/>
      <c r="C28" s="45"/>
      <c r="D28" s="45"/>
      <c r="E28" s="15"/>
      <c r="F28" s="16"/>
      <c r="G28" s="14"/>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357"/>
      <c r="AP28" s="29"/>
    </row>
    <row r="29" spans="1:42" x14ac:dyDescent="0.25">
      <c r="A29" s="23"/>
      <c r="B29" s="23"/>
      <c r="C29" s="24" t="s">
        <v>175</v>
      </c>
      <c r="D29" s="24"/>
      <c r="E29" s="8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7"/>
    </row>
    <row r="30" spans="1:42" x14ac:dyDescent="0.25">
      <c r="A30" s="12"/>
      <c r="B30" s="13"/>
      <c r="C30" s="37" t="s">
        <v>467</v>
      </c>
      <c r="D30" s="37"/>
      <c r="E30" s="87"/>
      <c r="F30" s="39"/>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17"/>
    </row>
    <row r="31" spans="1:42" x14ac:dyDescent="0.25">
      <c r="A31" s="12"/>
      <c r="B31" s="13"/>
      <c r="C31" s="14" t="s">
        <v>464</v>
      </c>
      <c r="D31" s="14"/>
      <c r="E31" s="15" t="s">
        <v>465</v>
      </c>
      <c r="F31" s="16"/>
      <c r="G31" s="14"/>
      <c r="H31" s="14"/>
      <c r="I31" s="14">
        <f>Data!$E$616*Data!$E$617</f>
        <v>12</v>
      </c>
      <c r="J31" s="14">
        <f>Data!$E$616*Data!$E$617</f>
        <v>12</v>
      </c>
      <c r="K31" s="14">
        <f>Data!$E$616*Data!$E$617</f>
        <v>12</v>
      </c>
      <c r="L31" s="14">
        <f>Data!$E$616*Data!$E$617</f>
        <v>12</v>
      </c>
      <c r="M31" s="14">
        <f>Data!$E$616*Data!$E$617</f>
        <v>12</v>
      </c>
      <c r="N31" s="14">
        <f>Data!$E$616*Data!$E$617</f>
        <v>12</v>
      </c>
      <c r="O31" s="14">
        <f>Data!$E$616*Data!$E$617</f>
        <v>12</v>
      </c>
      <c r="P31" s="14">
        <f>Data!$E$616*Data!$E$617</f>
        <v>12</v>
      </c>
      <c r="Q31" s="14">
        <f>Data!$E$616*Data!$E$617</f>
        <v>12</v>
      </c>
      <c r="R31" s="14">
        <f>Data!$E$616*Data!$E$617</f>
        <v>12</v>
      </c>
      <c r="S31" s="14">
        <f>Data!$E$616*Data!$E$617</f>
        <v>12</v>
      </c>
      <c r="T31" s="14">
        <f>Data!$E$616*Data!$E$617</f>
        <v>12</v>
      </c>
      <c r="U31" s="14">
        <f>Data!$E$616*Data!$E$617</f>
        <v>12</v>
      </c>
      <c r="V31" s="14">
        <f>Data!$E$616*Data!$E$617</f>
        <v>12</v>
      </c>
      <c r="W31" s="14">
        <f>Data!$E$616*Data!$E$617</f>
        <v>12</v>
      </c>
      <c r="X31" s="14">
        <f>Data!$E$616*Data!$E$617</f>
        <v>12</v>
      </c>
      <c r="Y31" s="14">
        <f>Data!$E$616*Data!$E$617</f>
        <v>12</v>
      </c>
      <c r="Z31" s="14">
        <f>Data!$E$616*Data!$E$617</f>
        <v>12</v>
      </c>
      <c r="AA31" s="14">
        <f>Data!$E$616*Data!$E$617</f>
        <v>12</v>
      </c>
      <c r="AB31" s="14">
        <f>Data!$E$616*Data!$E$617</f>
        <v>12</v>
      </c>
      <c r="AC31" s="14">
        <f>Data!$E$616*Data!$E$617</f>
        <v>12</v>
      </c>
      <c r="AD31" s="14">
        <f>Data!$E$616*Data!$E$617</f>
        <v>12</v>
      </c>
      <c r="AE31" s="14">
        <f>Data!$E$616*Data!$E$617</f>
        <v>12</v>
      </c>
      <c r="AF31" s="14">
        <f>Data!$E$616*Data!$E$617</f>
        <v>12</v>
      </c>
      <c r="AG31" s="14">
        <f>Data!$E$616*Data!$E$617</f>
        <v>12</v>
      </c>
      <c r="AH31" s="14">
        <f>Data!$E$616*Data!$E$617</f>
        <v>12</v>
      </c>
      <c r="AI31" s="14">
        <f>Data!$E$616*Data!$E$617</f>
        <v>12</v>
      </c>
      <c r="AJ31" s="14">
        <f>Data!$E$616*Data!$E$617</f>
        <v>12</v>
      </c>
      <c r="AK31" s="14">
        <f>Data!$E$616*Data!$E$617</f>
        <v>12</v>
      </c>
      <c r="AL31" s="14">
        <f>Data!$E$616*Data!$E$617</f>
        <v>12</v>
      </c>
      <c r="AM31" s="14">
        <f>Data!$E$616*Data!$E$617</f>
        <v>12</v>
      </c>
      <c r="AN31" s="14">
        <f>Data!$E$616*Data!$E$617</f>
        <v>12</v>
      </c>
      <c r="AO31" s="14">
        <f>Data!$E$616*Data!$E$617</f>
        <v>12</v>
      </c>
      <c r="AP31" s="29"/>
    </row>
    <row r="32" spans="1:42" x14ac:dyDescent="0.25">
      <c r="A32" s="12"/>
      <c r="B32" s="13"/>
      <c r="C32" s="14" t="s">
        <v>468</v>
      </c>
      <c r="D32" s="14"/>
      <c r="E32" s="15" t="s">
        <v>465</v>
      </c>
      <c r="F32" s="16"/>
      <c r="G32" s="14"/>
      <c r="H32" s="165"/>
      <c r="I32" s="165">
        <f t="shared" ref="I32:AO32" si="1">I31*$F$34</f>
        <v>3120</v>
      </c>
      <c r="J32" s="165">
        <f t="shared" si="1"/>
        <v>3120</v>
      </c>
      <c r="K32" s="165">
        <f t="shared" si="1"/>
        <v>3120</v>
      </c>
      <c r="L32" s="165">
        <f t="shared" si="1"/>
        <v>3120</v>
      </c>
      <c r="M32" s="165">
        <f t="shared" si="1"/>
        <v>3120</v>
      </c>
      <c r="N32" s="165">
        <f t="shared" si="1"/>
        <v>3120</v>
      </c>
      <c r="O32" s="165">
        <f t="shared" si="1"/>
        <v>3120</v>
      </c>
      <c r="P32" s="165">
        <f t="shared" si="1"/>
        <v>3120</v>
      </c>
      <c r="Q32" s="165">
        <f t="shared" si="1"/>
        <v>3120</v>
      </c>
      <c r="R32" s="165">
        <f t="shared" si="1"/>
        <v>3120</v>
      </c>
      <c r="S32" s="165">
        <f t="shared" si="1"/>
        <v>3120</v>
      </c>
      <c r="T32" s="165">
        <f t="shared" si="1"/>
        <v>3120</v>
      </c>
      <c r="U32" s="165">
        <f t="shared" si="1"/>
        <v>3120</v>
      </c>
      <c r="V32" s="165">
        <f t="shared" si="1"/>
        <v>3120</v>
      </c>
      <c r="W32" s="165">
        <f t="shared" si="1"/>
        <v>3120</v>
      </c>
      <c r="X32" s="165">
        <f t="shared" si="1"/>
        <v>3120</v>
      </c>
      <c r="Y32" s="165">
        <f t="shared" si="1"/>
        <v>3120</v>
      </c>
      <c r="Z32" s="165">
        <f t="shared" si="1"/>
        <v>3120</v>
      </c>
      <c r="AA32" s="165">
        <f t="shared" si="1"/>
        <v>3120</v>
      </c>
      <c r="AB32" s="165">
        <f t="shared" si="1"/>
        <v>3120</v>
      </c>
      <c r="AC32" s="165">
        <f t="shared" si="1"/>
        <v>3120</v>
      </c>
      <c r="AD32" s="165">
        <f t="shared" si="1"/>
        <v>3120</v>
      </c>
      <c r="AE32" s="165">
        <f t="shared" si="1"/>
        <v>3120</v>
      </c>
      <c r="AF32" s="165">
        <f t="shared" si="1"/>
        <v>3120</v>
      </c>
      <c r="AG32" s="165">
        <f t="shared" si="1"/>
        <v>3120</v>
      </c>
      <c r="AH32" s="165">
        <f t="shared" si="1"/>
        <v>3120</v>
      </c>
      <c r="AI32" s="165">
        <f t="shared" si="1"/>
        <v>3120</v>
      </c>
      <c r="AJ32" s="165">
        <f t="shared" si="1"/>
        <v>3120</v>
      </c>
      <c r="AK32" s="165">
        <f t="shared" si="1"/>
        <v>3120</v>
      </c>
      <c r="AL32" s="165">
        <f t="shared" si="1"/>
        <v>3120</v>
      </c>
      <c r="AM32" s="165">
        <f t="shared" si="1"/>
        <v>3120</v>
      </c>
      <c r="AN32" s="165">
        <f t="shared" si="1"/>
        <v>3120</v>
      </c>
      <c r="AO32" s="165">
        <f t="shared" si="1"/>
        <v>3120</v>
      </c>
      <c r="AP32" s="29"/>
    </row>
    <row r="33" spans="1:42" x14ac:dyDescent="0.25">
      <c r="A33" s="12"/>
      <c r="B33" s="13"/>
      <c r="C33" s="14" t="s">
        <v>469</v>
      </c>
      <c r="D33" s="14"/>
      <c r="E33" s="15" t="s">
        <v>465</v>
      </c>
      <c r="F33" s="158"/>
      <c r="G33" s="14"/>
      <c r="H33" s="42"/>
      <c r="I33" s="165">
        <f>IF(COUNT($I$3:I3)&lt;=(Dashboard!$I$31),I32,0)</f>
        <v>3120</v>
      </c>
      <c r="J33" s="165">
        <f>IF(COUNT($I$3:J3)&lt;=(Dashboard!$I$31),J32,0)</f>
        <v>3120</v>
      </c>
      <c r="K33" s="165">
        <f>IF(COUNT($I$3:K3)&lt;=(Dashboard!$I$31),K32,0)</f>
        <v>3120</v>
      </c>
      <c r="L33" s="165">
        <f>IF(COUNT($I$3:L3)&lt;=(Dashboard!$I$31),L32,0)</f>
        <v>3120</v>
      </c>
      <c r="M33" s="165">
        <f>IF(COUNT($I$3:M3)&lt;=(Dashboard!$I$31),M32,0)</f>
        <v>3120</v>
      </c>
      <c r="N33" s="165">
        <f>IF(COUNT($I$3:N3)&lt;=(Dashboard!$I$31),N32,0)</f>
        <v>3120</v>
      </c>
      <c r="O33" s="165">
        <f>IF(COUNT($I$3:O3)&lt;=(Dashboard!$I$31),O32,0)</f>
        <v>3120</v>
      </c>
      <c r="P33" s="165">
        <f>IF(COUNT($I$3:P3)&lt;=(Dashboard!$I$31),P32,0)</f>
        <v>3120</v>
      </c>
      <c r="Q33" s="165">
        <f>IF(COUNT($I$3:Q3)&lt;=(Dashboard!$I$31),Q32,0)</f>
        <v>3120</v>
      </c>
      <c r="R33" s="165">
        <f>IF(COUNT($I$3:R3)&lt;=(Dashboard!$I$31),R32,0)</f>
        <v>3120</v>
      </c>
      <c r="S33" s="165">
        <f>IF(COUNT($I$3:S3)&lt;=(Dashboard!$I$31),S32,0)</f>
        <v>3120</v>
      </c>
      <c r="T33" s="165">
        <f>IF(COUNT($I$3:T3)&lt;=(Dashboard!$I$31),T32,0)</f>
        <v>3120</v>
      </c>
      <c r="U33" s="165">
        <f>IF(COUNT($I$3:U3)&lt;=(Dashboard!$I$31),U32,0)</f>
        <v>0</v>
      </c>
      <c r="V33" s="165">
        <f>IF(COUNT($I$3:V3)&lt;=(Dashboard!$I$31),V32,0)</f>
        <v>0</v>
      </c>
      <c r="W33" s="165">
        <f>IF(COUNT($I$3:W3)&lt;=(Dashboard!$I$31),W32,0)</f>
        <v>0</v>
      </c>
      <c r="X33" s="165">
        <f>IF(COUNT($I$3:X3)&lt;=(Dashboard!$I$31),X32,0)</f>
        <v>0</v>
      </c>
      <c r="Y33" s="165">
        <f>IF(COUNT($I$3:Y3)&lt;=(Dashboard!$I$31),Y32,0)</f>
        <v>0</v>
      </c>
      <c r="Z33" s="165">
        <f>IF(COUNT($I$3:Z3)&lt;=(Dashboard!$I$31),Z32,0)</f>
        <v>0</v>
      </c>
      <c r="AA33" s="165">
        <f>IF(COUNT($I$3:AA3)&lt;=(Dashboard!$I$31),AA32,0)</f>
        <v>0</v>
      </c>
      <c r="AB33" s="165">
        <f>IF(COUNT($I$3:AB3)&lt;=(Dashboard!$I$31),AB32,0)</f>
        <v>0</v>
      </c>
      <c r="AC33" s="165">
        <f>IF(COUNT($I$3:AC3)&lt;=(Dashboard!$I$31),AC32,0)</f>
        <v>0</v>
      </c>
      <c r="AD33" s="165">
        <f>IF(COUNT($I$3:AD3)&lt;=(Dashboard!$I$31),AD32,0)</f>
        <v>0</v>
      </c>
      <c r="AE33" s="165">
        <f>IF(COUNT($I$3:AE3)&lt;=(Dashboard!$I$31),AE32,0)</f>
        <v>0</v>
      </c>
      <c r="AF33" s="165">
        <f>IF(COUNT($I$3:AF3)&lt;=(Dashboard!$I$31),AF32,0)</f>
        <v>0</v>
      </c>
      <c r="AG33" s="165">
        <f>IF(COUNT($I$3:AG3)&lt;=(Dashboard!$I$31),AG32,0)</f>
        <v>0</v>
      </c>
      <c r="AH33" s="165">
        <f>IF(COUNT($I$3:AH3)&lt;=(Dashboard!$I$31),AH32,0)</f>
        <v>0</v>
      </c>
      <c r="AI33" s="165">
        <f>IF(COUNT($I$3:AI3)&lt;=(Dashboard!$I$31),AI32,0)</f>
        <v>0</v>
      </c>
      <c r="AJ33" s="165">
        <f>IF(COUNT($I$3:AJ3)&lt;=(Dashboard!$I$31),AJ32,0)</f>
        <v>0</v>
      </c>
      <c r="AK33" s="165">
        <f>IF(COUNT($I$3:AK3)&lt;=(Dashboard!$I$31),AK32,0)</f>
        <v>0</v>
      </c>
      <c r="AL33" s="165">
        <f>IF(COUNT($I$3:AL3)&lt;=(Dashboard!$I$31),AL32,0)</f>
        <v>0</v>
      </c>
      <c r="AM33" s="165">
        <f>IF(COUNT($I$3:AM3)&lt;=(Dashboard!$I$31),AM32,0)</f>
        <v>0</v>
      </c>
      <c r="AN33" s="165">
        <f>IF(COUNT($I$3:AN3)&lt;=(Dashboard!$I$31),AN32,0)</f>
        <v>0</v>
      </c>
      <c r="AO33" s="365">
        <f>IF(COUNT($I$3:AO3)&lt;=(Dashboard!$I$31),AO32,0)</f>
        <v>0</v>
      </c>
      <c r="AP33" s="29"/>
    </row>
    <row r="34" spans="1:42" x14ac:dyDescent="0.25">
      <c r="A34" s="12"/>
      <c r="B34" s="13"/>
      <c r="C34" s="14" t="s">
        <v>470</v>
      </c>
      <c r="D34" s="14"/>
      <c r="E34" s="84" t="s">
        <v>363</v>
      </c>
      <c r="F34" s="158">
        <f>Data!E619</f>
        <v>260</v>
      </c>
      <c r="G34" s="14"/>
      <c r="H34" s="42"/>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365"/>
      <c r="AP34" s="29"/>
    </row>
    <row r="35" spans="1:42" x14ac:dyDescent="0.25">
      <c r="A35" s="12"/>
      <c r="B35" s="13"/>
      <c r="C35" s="20" t="s">
        <v>471</v>
      </c>
      <c r="D35" s="20"/>
      <c r="E35" s="21" t="s">
        <v>465</v>
      </c>
      <c r="F35" s="375"/>
      <c r="G35" s="20"/>
      <c r="H35" s="182">
        <f>SUM(I33:AO33)</f>
        <v>37440</v>
      </c>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365"/>
      <c r="AP35" s="29"/>
    </row>
    <row r="36" spans="1:42" x14ac:dyDescent="0.25">
      <c r="A36" s="12"/>
      <c r="B36" s="13"/>
      <c r="C36" s="14"/>
      <c r="D36" s="14"/>
      <c r="E36" s="84"/>
      <c r="F36" s="158"/>
      <c r="G36" s="14"/>
      <c r="H36" s="42"/>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365"/>
      <c r="AP36" s="29"/>
    </row>
    <row r="37" spans="1:42" x14ac:dyDescent="0.25">
      <c r="A37" s="12"/>
      <c r="B37" s="13"/>
      <c r="C37" s="19" t="s">
        <v>472</v>
      </c>
      <c r="D37" s="45"/>
      <c r="E37" s="84"/>
      <c r="F37" s="158"/>
      <c r="G37" s="14"/>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360"/>
      <c r="AP37" s="29"/>
    </row>
    <row r="38" spans="1:42" x14ac:dyDescent="0.25">
      <c r="A38" s="12"/>
      <c r="B38" s="13"/>
      <c r="C38" s="19" t="s">
        <v>473</v>
      </c>
      <c r="D38" s="45"/>
      <c r="E38" s="15"/>
      <c r="F38" s="158"/>
      <c r="G38" s="14"/>
      <c r="H38" s="28"/>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68"/>
      <c r="AP38" s="29"/>
    </row>
    <row r="39" spans="1:42" x14ac:dyDescent="0.25">
      <c r="A39" s="12"/>
      <c r="B39" s="13"/>
      <c r="C39" s="44" t="s">
        <v>258</v>
      </c>
      <c r="D39" s="44"/>
      <c r="E39" s="15"/>
      <c r="F39" s="16"/>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7"/>
    </row>
    <row r="40" spans="1:42" x14ac:dyDescent="0.25">
      <c r="A40" s="12"/>
      <c r="B40" s="13"/>
      <c r="C40" s="45" t="s">
        <v>120</v>
      </c>
      <c r="D40" s="45"/>
      <c r="E40" s="15" t="s">
        <v>474</v>
      </c>
      <c r="F40" s="158" t="str">
        <f>Dashboard!$I$72</f>
        <v>2 Axle rigid</v>
      </c>
      <c r="G40" s="14"/>
      <c r="H40" s="177"/>
      <c r="I40" s="177">
        <f>IF($C$40=$F$40,Data!$E$118*I33,0)</f>
        <v>2340</v>
      </c>
      <c r="J40" s="177">
        <f>IF($C$40=$F$40,Data!$E$118*J33,0)</f>
        <v>2340</v>
      </c>
      <c r="K40" s="177">
        <f>IF($C$40=$F$40,Data!$E$118*K33,0)</f>
        <v>2340</v>
      </c>
      <c r="L40" s="177">
        <f>IF($C$40=$F$40,Data!$E$118*L33,0)</f>
        <v>2340</v>
      </c>
      <c r="M40" s="177">
        <f>IF($C$40=$F$40,Data!$E$118*M33,0)</f>
        <v>2340</v>
      </c>
      <c r="N40" s="177">
        <f>IF($C$40=$F$40,Data!$E$118*N33,0)</f>
        <v>2340</v>
      </c>
      <c r="O40" s="177">
        <f>IF($C$40=$F$40,Data!$E$118*O33,0)</f>
        <v>2340</v>
      </c>
      <c r="P40" s="177">
        <f>IF($C$40=$F$40,Data!$E$118*P33,0)</f>
        <v>2340</v>
      </c>
      <c r="Q40" s="177">
        <f>IF($C$40=$F$40,Data!$E$118*Q33,0)</f>
        <v>2340</v>
      </c>
      <c r="R40" s="177">
        <f>IF($C$40=$F$40,Data!$E$118*R33,0)</f>
        <v>2340</v>
      </c>
      <c r="S40" s="177">
        <f>IF($C$40=$F$40,Data!$E$118*S33,0)</f>
        <v>2340</v>
      </c>
      <c r="T40" s="177">
        <f>IF($C$40=$F$40,Data!$E$118*T33,0)</f>
        <v>2340</v>
      </c>
      <c r="U40" s="177">
        <f>IF($C$40=$F$40,Data!$E$118*U33,0)</f>
        <v>0</v>
      </c>
      <c r="V40" s="177">
        <f>IF($C$40=$F$40,Data!$E$118*V33,0)</f>
        <v>0</v>
      </c>
      <c r="W40" s="177">
        <f>IF($C$40=$F$40,Data!$E$118*W33,0)</f>
        <v>0</v>
      </c>
      <c r="X40" s="177">
        <f>IF($C$40=$F$40,Data!$E$118*X33,0)</f>
        <v>0</v>
      </c>
      <c r="Y40" s="177">
        <f>IF($C$40=$F$40,Data!$E$118*Y33,0)</f>
        <v>0</v>
      </c>
      <c r="Z40" s="177">
        <f>IF($C$40=$F$40,Data!$E$118*Z33,0)</f>
        <v>0</v>
      </c>
      <c r="AA40" s="177">
        <f>IF($C$40=$F$40,Data!$E$118*AA33,0)</f>
        <v>0</v>
      </c>
      <c r="AB40" s="177">
        <f>IF($C$40=$F$40,Data!$E$118*AB33,0)</f>
        <v>0</v>
      </c>
      <c r="AC40" s="177">
        <f>IF($C$40=$F$40,Data!$E$118*AC33,0)</f>
        <v>0</v>
      </c>
      <c r="AD40" s="177">
        <f>IF($C$40=$F$40,Data!$E$118*AD33,0)</f>
        <v>0</v>
      </c>
      <c r="AE40" s="177">
        <f>IF($C$40=$F$40,Data!$E$118*AE33,0)</f>
        <v>0</v>
      </c>
      <c r="AF40" s="177">
        <f>IF($C$40=$F$40,Data!$E$118*AF33,0)</f>
        <v>0</v>
      </c>
      <c r="AG40" s="177">
        <f>IF($C$40=$F$40,Data!$E$118*AG33,0)</f>
        <v>0</v>
      </c>
      <c r="AH40" s="177">
        <f>IF($C$40=$F$40,Data!$E$118*AH33,0)</f>
        <v>0</v>
      </c>
      <c r="AI40" s="177">
        <f>IF($C$40=$F$40,Data!$E$118*AI33,0)</f>
        <v>0</v>
      </c>
      <c r="AJ40" s="177">
        <f>IF($C$40=$F$40,Data!$E$118*AJ33,0)</f>
        <v>0</v>
      </c>
      <c r="AK40" s="177">
        <f>IF($C$40=$F$40,Data!$E$118*AK33,0)</f>
        <v>0</v>
      </c>
      <c r="AL40" s="177">
        <f>IF($C$40=$F$40,Data!$E$118*AL33,0)</f>
        <v>0</v>
      </c>
      <c r="AM40" s="177">
        <f>IF($C$40=$F$40,Data!$E$118*AM33,0)</f>
        <v>0</v>
      </c>
      <c r="AN40" s="177">
        <f>IF($C$40=$F$40,Data!$E$118*AN33,0)</f>
        <v>0</v>
      </c>
      <c r="AO40" s="360">
        <f>IF($C$40=$F$40,Data!$E$118*AO33,0)</f>
        <v>0</v>
      </c>
      <c r="AP40" s="29"/>
    </row>
    <row r="41" spans="1:42" x14ac:dyDescent="0.25">
      <c r="A41" s="12"/>
      <c r="B41" s="13"/>
      <c r="C41" s="45" t="s">
        <v>124</v>
      </c>
      <c r="D41" s="45"/>
      <c r="E41" s="15" t="s">
        <v>474</v>
      </c>
      <c r="F41" s="158" t="str">
        <f>Dashboard!$I$72</f>
        <v>2 Axle rigid</v>
      </c>
      <c r="G41" s="14"/>
      <c r="H41" s="177"/>
      <c r="I41" s="177">
        <f>IF($C$41=$F$41,Data!$E$119*I33,0)</f>
        <v>0</v>
      </c>
      <c r="J41" s="177">
        <f>IF($C$41=$F$41,Data!$E$119*J33,0)</f>
        <v>0</v>
      </c>
      <c r="K41" s="177">
        <f>IF($C$41=$F$41,Data!$E$119*K33,0)</f>
        <v>0</v>
      </c>
      <c r="L41" s="177">
        <f>IF($C$41=$F$41,Data!$E$119*L33,0)</f>
        <v>0</v>
      </c>
      <c r="M41" s="177">
        <f>IF($C$41=$F$41,Data!$E$119*M33,0)</f>
        <v>0</v>
      </c>
      <c r="N41" s="177">
        <f>IF($C$41=$F$41,Data!$E$119*N33,0)</f>
        <v>0</v>
      </c>
      <c r="O41" s="177">
        <f>IF($C$41=$F$41,Data!$E$119*O33,0)</f>
        <v>0</v>
      </c>
      <c r="P41" s="177">
        <f>IF($C$41=$F$41,Data!$E$119*P33,0)</f>
        <v>0</v>
      </c>
      <c r="Q41" s="177">
        <f>IF($C$41=$F$41,Data!$E$119*Q33,0)</f>
        <v>0</v>
      </c>
      <c r="R41" s="177">
        <f>IF($C$41=$F$41,Data!$E$119*R33,0)</f>
        <v>0</v>
      </c>
      <c r="S41" s="177">
        <f>IF($C$41=$F$41,Data!$E$119*S33,0)</f>
        <v>0</v>
      </c>
      <c r="T41" s="177">
        <f>IF($C$41=$F$41,Data!$E$119*T33,0)</f>
        <v>0</v>
      </c>
      <c r="U41" s="177">
        <f>IF($C$41=$F$41,Data!$E$119*U33,0)</f>
        <v>0</v>
      </c>
      <c r="V41" s="177">
        <f>IF($C$41=$F$41,Data!$E$119*V33,0)</f>
        <v>0</v>
      </c>
      <c r="W41" s="177">
        <f>IF($C$41=$F$41,Data!$E$119*W33,0)</f>
        <v>0</v>
      </c>
      <c r="X41" s="177">
        <f>IF($C$41=$F$41,Data!$E$119*X33,0)</f>
        <v>0</v>
      </c>
      <c r="Y41" s="177">
        <f>IF($C$41=$F$41,Data!$E$119*Y33,0)</f>
        <v>0</v>
      </c>
      <c r="Z41" s="177">
        <f>IF($C$41=$F$41,Data!$E$119*Z33,0)</f>
        <v>0</v>
      </c>
      <c r="AA41" s="177">
        <f>IF($C$41=$F$41,Data!$E$119*AA33,0)</f>
        <v>0</v>
      </c>
      <c r="AB41" s="177">
        <f>IF($C$41=$F$41,Data!$E$119*AB33,0)</f>
        <v>0</v>
      </c>
      <c r="AC41" s="177">
        <f>IF($C$41=$F$41,Data!$E$119*AC33,0)</f>
        <v>0</v>
      </c>
      <c r="AD41" s="177">
        <f>IF($C$41=$F$41,Data!$E$119*AD33,0)</f>
        <v>0</v>
      </c>
      <c r="AE41" s="177">
        <f>IF($C$41=$F$41,Data!$E$119*AE33,0)</f>
        <v>0</v>
      </c>
      <c r="AF41" s="177">
        <f>IF($C$41=$F$41,Data!$E$119*AF33,0)</f>
        <v>0</v>
      </c>
      <c r="AG41" s="177">
        <f>IF($C$41=$F$41,Data!$E$119*AG33,0)</f>
        <v>0</v>
      </c>
      <c r="AH41" s="177">
        <f>IF($C$41=$F$41,Data!$E$119*AH33,0)</f>
        <v>0</v>
      </c>
      <c r="AI41" s="177">
        <f>IF($C$41=$F$41,Data!$E$119*AI33,0)</f>
        <v>0</v>
      </c>
      <c r="AJ41" s="177">
        <f>IF($C$41=$F$41,Data!$E$119*AJ33,0)</f>
        <v>0</v>
      </c>
      <c r="AK41" s="177">
        <f>IF($C$41=$F$41,Data!$E$119*AK33,0)</f>
        <v>0</v>
      </c>
      <c r="AL41" s="177">
        <f>IF($C$41=$F$41,Data!$E$119*AL33,0)</f>
        <v>0</v>
      </c>
      <c r="AM41" s="177">
        <f>IF($C$41=$F$41,Data!$E$119*AM33,0)</f>
        <v>0</v>
      </c>
      <c r="AN41" s="177">
        <f>IF($C$41=$F$41,Data!$E$119*AN33,0)</f>
        <v>0</v>
      </c>
      <c r="AO41" s="360">
        <f>IF($C$41=$F$41,Data!$E$119*AO33,0)</f>
        <v>0</v>
      </c>
      <c r="AP41" s="29"/>
    </row>
    <row r="42" spans="1:42" x14ac:dyDescent="0.25">
      <c r="A42" s="12"/>
      <c r="B42" s="13"/>
      <c r="C42" s="45" t="s">
        <v>126</v>
      </c>
      <c r="D42" s="45"/>
      <c r="E42" s="15" t="s">
        <v>474</v>
      </c>
      <c r="F42" s="158" t="str">
        <f>Dashboard!$I$72</f>
        <v>2 Axle rigid</v>
      </c>
      <c r="G42" s="14"/>
      <c r="H42" s="177"/>
      <c r="I42" s="177">
        <f>IF($C$42=$F$42,Data!$E$120*I33,0)</f>
        <v>0</v>
      </c>
      <c r="J42" s="177">
        <f>IF($C$42=$F$42,Data!$E$120*J33,0)</f>
        <v>0</v>
      </c>
      <c r="K42" s="177">
        <f>IF($C$42=$F$42,Data!$E$120*K33,0)</f>
        <v>0</v>
      </c>
      <c r="L42" s="177">
        <f>IF($C$42=$F$42,Data!$E$120*L33,0)</f>
        <v>0</v>
      </c>
      <c r="M42" s="177">
        <f>IF($C$42=$F$42,Data!$E$120*M33,0)</f>
        <v>0</v>
      </c>
      <c r="N42" s="177">
        <f>IF($C$42=$F$42,Data!$E$120*N33,0)</f>
        <v>0</v>
      </c>
      <c r="O42" s="177">
        <f>IF($C$42=$F$42,Data!$E$120*O33,0)</f>
        <v>0</v>
      </c>
      <c r="P42" s="177">
        <f>IF($C$42=$F$42,Data!$E$120*P33,0)</f>
        <v>0</v>
      </c>
      <c r="Q42" s="177">
        <f>IF($C$42=$F$42,Data!$E$120*Q33,0)</f>
        <v>0</v>
      </c>
      <c r="R42" s="177">
        <f>IF($C$42=$F$42,Data!$E$120*R33,0)</f>
        <v>0</v>
      </c>
      <c r="S42" s="177">
        <f>IF($C$42=$F$42,Data!$E$120*S33,0)</f>
        <v>0</v>
      </c>
      <c r="T42" s="177">
        <f>IF($C$42=$F$42,Data!$E$120*T33,0)</f>
        <v>0</v>
      </c>
      <c r="U42" s="177">
        <f>IF($C$42=$F$42,Data!$E$120*U33,0)</f>
        <v>0</v>
      </c>
      <c r="V42" s="177">
        <f>IF($C$42=$F$42,Data!$E$120*V33,0)</f>
        <v>0</v>
      </c>
      <c r="W42" s="177">
        <f>IF($C$42=$F$42,Data!$E$120*W33,0)</f>
        <v>0</v>
      </c>
      <c r="X42" s="177">
        <f>IF($C$42=$F$42,Data!$E$120*X33,0)</f>
        <v>0</v>
      </c>
      <c r="Y42" s="177">
        <f>IF($C$42=$F$42,Data!$E$120*Y33,0)</f>
        <v>0</v>
      </c>
      <c r="Z42" s="177">
        <f>IF($C$42=$F$42,Data!$E$120*Z33,0)</f>
        <v>0</v>
      </c>
      <c r="AA42" s="177">
        <f>IF($C$42=$F$42,Data!$E$120*AA33,0)</f>
        <v>0</v>
      </c>
      <c r="AB42" s="177">
        <f>IF($C$42=$F$42,Data!$E$120*AB33,0)</f>
        <v>0</v>
      </c>
      <c r="AC42" s="177">
        <f>IF($C$42=$F$42,Data!$E$120*AC33,0)</f>
        <v>0</v>
      </c>
      <c r="AD42" s="177">
        <f>IF($C$42=$F$42,Data!$E$120*AD33,0)</f>
        <v>0</v>
      </c>
      <c r="AE42" s="177">
        <f>IF($C$42=$F$42,Data!$E$120*AE33,0)</f>
        <v>0</v>
      </c>
      <c r="AF42" s="177">
        <f>IF($C$42=$F$42,Data!$E$120*AF33,0)</f>
        <v>0</v>
      </c>
      <c r="AG42" s="177">
        <f>IF($C$42=$F$42,Data!$E$120*AG33,0)</f>
        <v>0</v>
      </c>
      <c r="AH42" s="177">
        <f>IF($C$42=$F$42,Data!$E$120*AH33,0)</f>
        <v>0</v>
      </c>
      <c r="AI42" s="177">
        <f>IF($C$42=$F$42,Data!$E$120*AI33,0)</f>
        <v>0</v>
      </c>
      <c r="AJ42" s="177">
        <f>IF($C$42=$F$42,Data!$E$120*AJ33,0)</f>
        <v>0</v>
      </c>
      <c r="AK42" s="177">
        <f>IF($C$42=$F$42,Data!$E$120*AK33,0)</f>
        <v>0</v>
      </c>
      <c r="AL42" s="177">
        <f>IF($C$42=$F$42,Data!$E$120*AL33,0)</f>
        <v>0</v>
      </c>
      <c r="AM42" s="177">
        <f>IF($C$42=$F$42,Data!$E$120*AM33,0)</f>
        <v>0</v>
      </c>
      <c r="AN42" s="177">
        <f>IF($C$42=$F$42,Data!$E$120*AN33,0)</f>
        <v>0</v>
      </c>
      <c r="AO42" s="360">
        <f>IF($C$42=$F$42,Data!$E$120*AO33,0)</f>
        <v>0</v>
      </c>
      <c r="AP42" s="29"/>
    </row>
    <row r="43" spans="1:42" x14ac:dyDescent="0.25">
      <c r="A43" s="12"/>
      <c r="B43" s="13"/>
      <c r="C43" s="45"/>
      <c r="D43" s="45"/>
      <c r="E43" s="15"/>
      <c r="F43" s="16"/>
      <c r="G43" s="14"/>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357"/>
      <c r="AP43" s="29"/>
    </row>
    <row r="44" spans="1:42" x14ac:dyDescent="0.25">
      <c r="A44" s="12"/>
      <c r="B44" s="13"/>
      <c r="C44" s="44" t="s">
        <v>260</v>
      </c>
      <c r="D44" s="14"/>
      <c r="E44" s="15" t="s">
        <v>318</v>
      </c>
      <c r="F44" s="16"/>
      <c r="G44" s="14"/>
      <c r="H44" s="151"/>
      <c r="I44" s="151">
        <f>Data!$E$122*I33</f>
        <v>1124.4480000000001</v>
      </c>
      <c r="J44" s="151">
        <f>Data!$E$122*J33</f>
        <v>1124.4480000000001</v>
      </c>
      <c r="K44" s="151">
        <f>Data!$E$122*K33</f>
        <v>1124.4480000000001</v>
      </c>
      <c r="L44" s="151">
        <f>Data!$E$122*L33</f>
        <v>1124.4480000000001</v>
      </c>
      <c r="M44" s="151">
        <f>Data!$E$122*M33</f>
        <v>1124.4480000000001</v>
      </c>
      <c r="N44" s="151">
        <f>Data!$E$122*N33</f>
        <v>1124.4480000000001</v>
      </c>
      <c r="O44" s="151">
        <f>Data!$E$122*O33</f>
        <v>1124.4480000000001</v>
      </c>
      <c r="P44" s="151">
        <f>Data!$E$122*P33</f>
        <v>1124.4480000000001</v>
      </c>
      <c r="Q44" s="151">
        <f>Data!$E$122*Q33</f>
        <v>1124.4480000000001</v>
      </c>
      <c r="R44" s="151">
        <f>Data!$E$122*R33</f>
        <v>1124.4480000000001</v>
      </c>
      <c r="S44" s="151">
        <f>Data!$E$122*S33</f>
        <v>1124.4480000000001</v>
      </c>
      <c r="T44" s="151">
        <f>Data!$E$122*T33</f>
        <v>1124.4480000000001</v>
      </c>
      <c r="U44" s="151">
        <f>Data!$E$122*U33</f>
        <v>0</v>
      </c>
      <c r="V44" s="151">
        <f>Data!$E$122*V33</f>
        <v>0</v>
      </c>
      <c r="W44" s="151">
        <f>Data!$E$122*W33</f>
        <v>0</v>
      </c>
      <c r="X44" s="151">
        <f>Data!$E$122*X33</f>
        <v>0</v>
      </c>
      <c r="Y44" s="151">
        <f>Data!$E$122*Y33</f>
        <v>0</v>
      </c>
      <c r="Z44" s="151">
        <f>Data!$E$122*Z33</f>
        <v>0</v>
      </c>
      <c r="AA44" s="151">
        <f>Data!$E$122*AA33</f>
        <v>0</v>
      </c>
      <c r="AB44" s="151">
        <f>Data!$E$122*AB33</f>
        <v>0</v>
      </c>
      <c r="AC44" s="151">
        <f>Data!$E$122*AC33</f>
        <v>0</v>
      </c>
      <c r="AD44" s="151">
        <f>Data!$E$122*AD33</f>
        <v>0</v>
      </c>
      <c r="AE44" s="151">
        <f>Data!$E$122*AE33</f>
        <v>0</v>
      </c>
      <c r="AF44" s="151">
        <f>Data!$E$122*AF33</f>
        <v>0</v>
      </c>
      <c r="AG44" s="151">
        <f>Data!$E$122*AG33</f>
        <v>0</v>
      </c>
      <c r="AH44" s="151">
        <f>Data!$E$122*AH33</f>
        <v>0</v>
      </c>
      <c r="AI44" s="151">
        <f>Data!$E$122*AI33</f>
        <v>0</v>
      </c>
      <c r="AJ44" s="151">
        <f>Data!$E$122*AJ33</f>
        <v>0</v>
      </c>
      <c r="AK44" s="151">
        <f>Data!$E$122*AK33</f>
        <v>0</v>
      </c>
      <c r="AL44" s="151">
        <f>Data!$E$122*AL33</f>
        <v>0</v>
      </c>
      <c r="AM44" s="151">
        <f>Data!$E$122*AM33</f>
        <v>0</v>
      </c>
      <c r="AN44" s="151">
        <f>Data!$E$122*AN33</f>
        <v>0</v>
      </c>
      <c r="AO44" s="151">
        <f>Data!$E$122*AO33</f>
        <v>0</v>
      </c>
      <c r="AP44" s="17"/>
    </row>
    <row r="45" spans="1:42" x14ac:dyDescent="0.25">
      <c r="A45" s="12"/>
      <c r="B45" s="13"/>
      <c r="C45" s="44"/>
      <c r="D45" s="44"/>
      <c r="E45" s="15"/>
      <c r="F45" s="16"/>
      <c r="G45" s="14"/>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17"/>
    </row>
    <row r="46" spans="1:42" x14ac:dyDescent="0.25">
      <c r="A46" s="12"/>
      <c r="B46" s="13"/>
      <c r="C46" s="44" t="s">
        <v>398</v>
      </c>
      <c r="D46" s="45"/>
      <c r="E46" s="15"/>
      <c r="F46" s="16"/>
      <c r="G46" s="14"/>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357"/>
      <c r="AP46" s="29"/>
    </row>
    <row r="47" spans="1:42" x14ac:dyDescent="0.25">
      <c r="A47" s="12"/>
      <c r="B47" s="13"/>
      <c r="C47" s="45" t="s">
        <v>127</v>
      </c>
      <c r="D47" s="45"/>
      <c r="E47" s="15" t="s">
        <v>475</v>
      </c>
      <c r="F47" s="158" t="str">
        <f>Dashboard!I71</f>
        <v>Flat (Gradient  0%)</v>
      </c>
      <c r="G47" s="14"/>
      <c r="H47" s="62"/>
      <c r="I47" s="181" cm="1">
        <f t="array" ref="I47">INDEX('Control panel'!$E$17:$E$19,MATCH($F$47,'Control panel'!$C$17:$C$19,0),0)</f>
        <v>0</v>
      </c>
      <c r="J47" s="181" cm="1">
        <f t="array" ref="J47">INDEX('Control panel'!$E$17:$E$19,MATCH($F$47,'Control panel'!$C$17:$C$19,0),0)</f>
        <v>0</v>
      </c>
      <c r="K47" s="181" cm="1">
        <f t="array" ref="K47">INDEX('Control panel'!$E$17:$E$19,MATCH($F$47,'Control panel'!$C$17:$C$19,0),0)</f>
        <v>0</v>
      </c>
      <c r="L47" s="181" cm="1">
        <f t="array" ref="L47">INDEX('Control panel'!$E$17:$E$19,MATCH($F$47,'Control panel'!$C$17:$C$19,0),0)</f>
        <v>0</v>
      </c>
      <c r="M47" s="181" cm="1">
        <f t="array" ref="M47">INDEX('Control panel'!$E$17:$E$19,MATCH($F$47,'Control panel'!$C$17:$C$19,0),0)</f>
        <v>0</v>
      </c>
      <c r="N47" s="181" cm="1">
        <f t="array" ref="N47">INDEX('Control panel'!$E$17:$E$19,MATCH($F$47,'Control panel'!$C$17:$C$19,0),0)</f>
        <v>0</v>
      </c>
      <c r="O47" s="181" cm="1">
        <f t="array" ref="O47">INDEX('Control panel'!$E$17:$E$19,MATCH($F$47,'Control panel'!$C$17:$C$19,0),0)</f>
        <v>0</v>
      </c>
      <c r="P47" s="181" cm="1">
        <f t="array" ref="P47">INDEX('Control panel'!$E$17:$E$19,MATCH($F$47,'Control panel'!$C$17:$C$19,0),0)</f>
        <v>0</v>
      </c>
      <c r="Q47" s="181" cm="1">
        <f t="array" ref="Q47">INDEX('Control panel'!$E$17:$E$19,MATCH($F$47,'Control panel'!$C$17:$C$19,0),0)</f>
        <v>0</v>
      </c>
      <c r="R47" s="181" cm="1">
        <f t="array" ref="R47">INDEX('Control panel'!$E$17:$E$19,MATCH($F$47,'Control panel'!$C$17:$C$19,0),0)</f>
        <v>0</v>
      </c>
      <c r="S47" s="181" cm="1">
        <f t="array" ref="S47">INDEX('Control panel'!$E$17:$E$19,MATCH($F$47,'Control panel'!$C$17:$C$19,0),0)</f>
        <v>0</v>
      </c>
      <c r="T47" s="181" cm="1">
        <f t="array" ref="T47">INDEX('Control panel'!$E$17:$E$19,MATCH($F$47,'Control panel'!$C$17:$C$19,0),0)</f>
        <v>0</v>
      </c>
      <c r="U47" s="181" cm="1">
        <f t="array" ref="U47">INDEX('Control panel'!$E$17:$E$19,MATCH($F$47,'Control panel'!$C$17:$C$19,0),0)</f>
        <v>0</v>
      </c>
      <c r="V47" s="181" cm="1">
        <f t="array" ref="V47">INDEX('Control panel'!$E$17:$E$19,MATCH($F$47,'Control panel'!$C$17:$C$19,0),0)</f>
        <v>0</v>
      </c>
      <c r="W47" s="181" cm="1">
        <f t="array" ref="W47">INDEX('Control panel'!$E$17:$E$19,MATCH($F$47,'Control panel'!$C$17:$C$19,0),0)</f>
        <v>0</v>
      </c>
      <c r="X47" s="181" cm="1">
        <f t="array" ref="X47">INDEX('Control panel'!$E$17:$E$19,MATCH($F$47,'Control panel'!$C$17:$C$19,0),0)</f>
        <v>0</v>
      </c>
      <c r="Y47" s="181" cm="1">
        <f t="array" ref="Y47">INDEX('Control panel'!$E$17:$E$19,MATCH($F$47,'Control panel'!$C$17:$C$19,0),0)</f>
        <v>0</v>
      </c>
      <c r="Z47" s="181" cm="1">
        <f t="array" ref="Z47">INDEX('Control panel'!$E$17:$E$19,MATCH($F$47,'Control panel'!$C$17:$C$19,0),0)</f>
        <v>0</v>
      </c>
      <c r="AA47" s="181" cm="1">
        <f t="array" ref="AA47">INDEX('Control panel'!$E$17:$E$19,MATCH($F$47,'Control panel'!$C$17:$C$19,0),0)</f>
        <v>0</v>
      </c>
      <c r="AB47" s="181" cm="1">
        <f t="array" ref="AB47">INDEX('Control panel'!$E$17:$E$19,MATCH($F$47,'Control panel'!$C$17:$C$19,0),0)</f>
        <v>0</v>
      </c>
      <c r="AC47" s="181" cm="1">
        <f t="array" ref="AC47">INDEX('Control panel'!$E$17:$E$19,MATCH($F$47,'Control panel'!$C$17:$C$19,0),0)</f>
        <v>0</v>
      </c>
      <c r="AD47" s="181" cm="1">
        <f t="array" ref="AD47">INDEX('Control panel'!$E$17:$E$19,MATCH($F$47,'Control panel'!$C$17:$C$19,0),0)</f>
        <v>0</v>
      </c>
      <c r="AE47" s="181" cm="1">
        <f t="array" ref="AE47">INDEX('Control panel'!$E$17:$E$19,MATCH($F$47,'Control panel'!$C$17:$C$19,0),0)</f>
        <v>0</v>
      </c>
      <c r="AF47" s="181" cm="1">
        <f t="array" ref="AF47">INDEX('Control panel'!$E$17:$E$19,MATCH($F$47,'Control panel'!$C$17:$C$19,0),0)</f>
        <v>0</v>
      </c>
      <c r="AG47" s="181" cm="1">
        <f t="array" ref="AG47">INDEX('Control panel'!$E$17:$E$19,MATCH($F$47,'Control panel'!$C$17:$C$19,0),0)</f>
        <v>0</v>
      </c>
      <c r="AH47" s="181" cm="1">
        <f t="array" ref="AH47">INDEX('Control panel'!$E$17:$E$19,MATCH($F$47,'Control panel'!$C$17:$C$19,0),0)</f>
        <v>0</v>
      </c>
      <c r="AI47" s="181" cm="1">
        <f t="array" ref="AI47">INDEX('Control panel'!$E$17:$E$19,MATCH($F$47,'Control panel'!$C$17:$C$19,0),0)</f>
        <v>0</v>
      </c>
      <c r="AJ47" s="181" cm="1">
        <f t="array" ref="AJ47">INDEX('Control panel'!$E$17:$E$19,MATCH($F$47,'Control panel'!$C$17:$C$19,0),0)</f>
        <v>0</v>
      </c>
      <c r="AK47" s="181" cm="1">
        <f t="array" ref="AK47">INDEX('Control panel'!$E$17:$E$19,MATCH($F$47,'Control panel'!$C$17:$C$19,0),0)</f>
        <v>0</v>
      </c>
      <c r="AL47" s="181" cm="1">
        <f t="array" ref="AL47">INDEX('Control panel'!$E$17:$E$19,MATCH($F$47,'Control panel'!$C$17:$C$19,0),0)</f>
        <v>0</v>
      </c>
      <c r="AM47" s="181" cm="1">
        <f t="array" ref="AM47">INDEX('Control panel'!$E$17:$E$19,MATCH($F$47,'Control panel'!$C$17:$C$19,0),0)</f>
        <v>0</v>
      </c>
      <c r="AN47" s="181" cm="1">
        <f t="array" ref="AN47">INDEX('Control panel'!$E$17:$E$19,MATCH($F$47,'Control panel'!$C$17:$C$19,0),0)</f>
        <v>0</v>
      </c>
      <c r="AO47" s="361" cm="1">
        <f t="array" ref="AO47">INDEX('Control panel'!$E$17:$E$19,MATCH($F$47,'Control panel'!$C$17:$C$19,0),0)</f>
        <v>0</v>
      </c>
      <c r="AP47" s="29"/>
    </row>
    <row r="48" spans="1:42" x14ac:dyDescent="0.25">
      <c r="A48" s="12"/>
      <c r="B48" s="13"/>
      <c r="C48" s="45" t="s">
        <v>120</v>
      </c>
      <c r="D48" s="45"/>
      <c r="E48" s="15" t="s">
        <v>318</v>
      </c>
      <c r="F48" s="158" t="str">
        <f>Dashboard!$I$72</f>
        <v>2 Axle rigid</v>
      </c>
      <c r="G48" s="14"/>
      <c r="H48" s="62"/>
      <c r="I48" s="177">
        <f>IF($C$48=$F$48,I33*Data!$E$129*Data!H$61,0)*(1+I47)*(1+Data!$E$91)</f>
        <v>4143.6843225148832</v>
      </c>
      <c r="J48" s="177">
        <f>IF($C$48=$F$48,J33*Data!$E$129*Data!I$61,0)*(1+J47)*(1+Data!$E$91)</f>
        <v>3310.2258030463422</v>
      </c>
      <c r="K48" s="177">
        <f>IF($C$48=$F$48,K33*Data!$E$129*Data!J$61,0)*(1+K47)*(1+Data!$E$91)</f>
        <v>3310.2258030463422</v>
      </c>
      <c r="L48" s="177">
        <f>IF($C$48=$F$48,L33*Data!$E$129*Data!K$61,0)*(1+L47)*(1+Data!$E$91)</f>
        <v>3310.2258030463422</v>
      </c>
      <c r="M48" s="177">
        <f>IF($C$48=$F$48,M33*Data!$E$129*Data!L$61,0)*(1+M47)*(1+Data!$E$91)</f>
        <v>3310.2258030463422</v>
      </c>
      <c r="N48" s="177">
        <f>IF($C$48=$F$48,N33*Data!$E$129*Data!M$61,0)*(1+N47)*(1+Data!$E$91)</f>
        <v>3310.2258030463422</v>
      </c>
      <c r="O48" s="177">
        <f>IF($C$48=$F$48,O33*Data!$E$129*Data!N$61,0)*(1+O47)*(1+Data!$E$91)</f>
        <v>3310.2258030463422</v>
      </c>
      <c r="P48" s="177">
        <f>IF($C$48=$F$48,P33*Data!$E$129*Data!O$61,0)*(1+P47)*(1+Data!$E$91)</f>
        <v>3310.2258030463422</v>
      </c>
      <c r="Q48" s="177">
        <f>IF($C$48=$F$48,Q33*Data!$E$129*Data!P$61,0)*(1+Q47)*(1+Data!$E$91)</f>
        <v>3310.2258030463422</v>
      </c>
      <c r="R48" s="177">
        <f>IF($C$48=$F$48,R33*Data!$E$129*Data!Q$61,0)*(1+R47)*(1+Data!$E$91)</f>
        <v>3310.2258030463422</v>
      </c>
      <c r="S48" s="177">
        <f>IF($C$48=$F$48,S33*Data!$E$129*Data!R$61,0)*(1+S47)*(1+Data!$E$91)</f>
        <v>3310.2258030463422</v>
      </c>
      <c r="T48" s="177">
        <f>IF($C$48=$F$48,T33*Data!$E$129*Data!S$61,0)*(1+T47)*(1+Data!$E$91)</f>
        <v>3310.2258030463422</v>
      </c>
      <c r="U48" s="177">
        <f>IF($C$48=$F$48,U33*Data!$E$129*Data!T$61,0)*(1+U47)*(1+Data!$E$91)</f>
        <v>0</v>
      </c>
      <c r="V48" s="177">
        <f>IF($C$48=$F$48,V33*Data!$E$129*Data!U$61,0)*(1+V47)*(1+Data!$E$91)</f>
        <v>0</v>
      </c>
      <c r="W48" s="177">
        <f>IF($C$48=$F$48,W33*Data!$E$129*Data!V$61,0)*(1+W47)*(1+Data!$E$91)</f>
        <v>0</v>
      </c>
      <c r="X48" s="177">
        <f>IF($C$48=$F$48,X33*Data!$E$129*Data!W$61,0)*(1+X47)*(1+Data!$E$91)</f>
        <v>0</v>
      </c>
      <c r="Y48" s="177">
        <f>IF($C$48=$F$48,Y33*Data!$E$129*Data!X$61,0)*(1+Y47)*(1+Data!$E$91)</f>
        <v>0</v>
      </c>
      <c r="Z48" s="177">
        <f>IF($C$48=$F$48,Z33*Data!$E$129*Data!Y$61,0)*(1+Z47)*(1+Data!$E$91)</f>
        <v>0</v>
      </c>
      <c r="AA48" s="177">
        <f>IF($C$48=$F$48,AA33*Data!$E$129*Data!Z$61,0)*(1+AA47)*(1+Data!$E$91)</f>
        <v>0</v>
      </c>
      <c r="AB48" s="177">
        <f>IF($C$48=$F$48,AB33*Data!$E$129*Data!AA$61,0)*(1+AB47)*(1+Data!$E$91)</f>
        <v>0</v>
      </c>
      <c r="AC48" s="177">
        <f>IF($C$48=$F$48,AC33*Data!$E$129*Data!AB$61,0)*(1+AC47)*(1+Data!$E$91)</f>
        <v>0</v>
      </c>
      <c r="AD48" s="177">
        <f>IF($C$48=$F$48,AD33*Data!$E$129*Data!AC$61,0)*(1+AD47)*(1+Data!$E$91)</f>
        <v>0</v>
      </c>
      <c r="AE48" s="177">
        <f>IF($C$48=$F$48,AE33*Data!$E$129*Data!AD$61,0)*(1+AE47)*(1+Data!$E$91)</f>
        <v>0</v>
      </c>
      <c r="AF48" s="177">
        <f>IF($C$48=$F$48,AF33*Data!$E$129*Data!AE$61,0)*(1+AF47)*(1+Data!$E$91)</f>
        <v>0</v>
      </c>
      <c r="AG48" s="177">
        <f>IF($C$48=$F$48,AG33*Data!$E$129*Data!AF$61,0)*(1+AG47)*(1+Data!$E$91)</f>
        <v>0</v>
      </c>
      <c r="AH48" s="177">
        <f>IF($C$48=$F$48,AH33*Data!$E$129*Data!AG$61,0)*(1+AH47)*(1+Data!$E$91)</f>
        <v>0</v>
      </c>
      <c r="AI48" s="177">
        <f>IF($C$48=$F$48,AI33*Data!$E$129*Data!AH$61,0)*(1+AI47)*(1+Data!$E$91)</f>
        <v>0</v>
      </c>
      <c r="AJ48" s="177">
        <f>IF($C$48=$F$48,AJ33*Data!$E$129*Data!AI$61,0)*(1+AJ47)*(1+Data!$E$91)</f>
        <v>0</v>
      </c>
      <c r="AK48" s="177">
        <f>IF($C$48=$F$48,AK33*Data!$E$129*Data!AJ$61,0)*(1+AK47)*(1+Data!$E$91)</f>
        <v>0</v>
      </c>
      <c r="AL48" s="177">
        <f>IF($C$48=$F$48,AL33*Data!$E$129*Data!AK$61,0)*(1+AL47)*(1+Data!$E$91)</f>
        <v>0</v>
      </c>
      <c r="AM48" s="177">
        <f>IF($C$48=$F$48,AM33*Data!$E$129*Data!AL$61,0)*(1+AM47)*(1+Data!$E$91)</f>
        <v>0</v>
      </c>
      <c r="AN48" s="177">
        <f>IF($C$48=$F$48,AN33*Data!$E$129*Data!AM$61,0)*(1+AN47)*(1+Data!$E$91)</f>
        <v>0</v>
      </c>
      <c r="AO48" s="360">
        <f>IF($C$48=$F$48,AO33*Data!$E$129*Data!AN$61,0)*(1+AO47)*(1+Data!$E$91)</f>
        <v>0</v>
      </c>
      <c r="AP48" s="29"/>
    </row>
    <row r="49" spans="1:42" x14ac:dyDescent="0.25">
      <c r="A49" s="12"/>
      <c r="B49" s="13"/>
      <c r="C49" s="45" t="s">
        <v>124</v>
      </c>
      <c r="D49" s="45"/>
      <c r="E49" s="15" t="s">
        <v>318</v>
      </c>
      <c r="F49" s="158" t="str">
        <f>Dashboard!$I$72</f>
        <v>2 Axle rigid</v>
      </c>
      <c r="G49" s="14"/>
      <c r="H49" s="62"/>
      <c r="I49" s="177">
        <f>IF($C$49=$F$49,I33*Data!$E$130*Data!H$61,0)*(1+I47)*(1+Data!$E$91)</f>
        <v>0</v>
      </c>
      <c r="J49" s="177">
        <f>IF($C$49=$F$49,J33*Data!$E$130*Data!I$61,0)*(1+J47)*(1+Data!$E$91)</f>
        <v>0</v>
      </c>
      <c r="K49" s="177">
        <f>IF($C$49=$F$49,K33*Data!$E$130*Data!J$61,0)*(1+K47)*(1+Data!$E$91)</f>
        <v>0</v>
      </c>
      <c r="L49" s="177">
        <f>IF($C$49=$F$49,L33*Data!$E$130*Data!K$61,0)*(1+L47)*(1+Data!$E$91)</f>
        <v>0</v>
      </c>
      <c r="M49" s="177">
        <f>IF($C$49=$F$49,M33*Data!$E$130*Data!L$61,0)*(1+M47)*(1+Data!$E$91)</f>
        <v>0</v>
      </c>
      <c r="N49" s="177">
        <f>IF($C$49=$F$49,N33*Data!$E$130*Data!M$61,0)*(1+N47)*(1+Data!$E$91)</f>
        <v>0</v>
      </c>
      <c r="O49" s="177">
        <f>IF($C$49=$F$49,O33*Data!$E$130*Data!N$61,0)*(1+O47)*(1+Data!$E$91)</f>
        <v>0</v>
      </c>
      <c r="P49" s="177">
        <f>IF($C$49=$F$49,P33*Data!$E$130*Data!O$61,0)*(1+P47)*(1+Data!$E$91)</f>
        <v>0</v>
      </c>
      <c r="Q49" s="177">
        <f>IF($C$49=$F$49,Q33*Data!$E$130*Data!P$61,0)*(1+Q47)*(1+Data!$E$91)</f>
        <v>0</v>
      </c>
      <c r="R49" s="177">
        <f>IF($C$49=$F$49,R33*Data!$E$130*Data!Q$61,0)*(1+R47)*(1+Data!$E$91)</f>
        <v>0</v>
      </c>
      <c r="S49" s="177">
        <f>IF($C$49=$F$49,S33*Data!$E$130*Data!R$61,0)*(1+S47)*(1+Data!$E$91)</f>
        <v>0</v>
      </c>
      <c r="T49" s="177">
        <f>IF($C$49=$F$49,T33*Data!$E$130*Data!S$61,0)*(1+T47)*(1+Data!$E$91)</f>
        <v>0</v>
      </c>
      <c r="U49" s="177">
        <f>IF($C$49=$F$49,U33*Data!$E$130*Data!T$61,0)*(1+U47)*(1+Data!$E$91)</f>
        <v>0</v>
      </c>
      <c r="V49" s="177">
        <f>IF($C$49=$F$49,V33*Data!$E$130*Data!U$61,0)*(1+V47)*(1+Data!$E$91)</f>
        <v>0</v>
      </c>
      <c r="W49" s="177">
        <f>IF($C$49=$F$49,W33*Data!$E$130*Data!V$61,0)*(1+W47)*(1+Data!$E$91)</f>
        <v>0</v>
      </c>
      <c r="X49" s="177">
        <f>IF($C$49=$F$49,X33*Data!$E$130*Data!W$61,0)*(1+X47)*(1+Data!$E$91)</f>
        <v>0</v>
      </c>
      <c r="Y49" s="177">
        <f>IF($C$49=$F$49,Y33*Data!$E$130*Data!X$61,0)*(1+Y47)*(1+Data!$E$91)</f>
        <v>0</v>
      </c>
      <c r="Z49" s="177">
        <f>IF($C$49=$F$49,Z33*Data!$E$130*Data!Y$61,0)*(1+Z47)*(1+Data!$E$91)</f>
        <v>0</v>
      </c>
      <c r="AA49" s="177">
        <f>IF($C$49=$F$49,AA33*Data!$E$130*Data!Z$61,0)*(1+AA47)*(1+Data!$E$91)</f>
        <v>0</v>
      </c>
      <c r="AB49" s="177">
        <f>IF($C$49=$F$49,AB33*Data!$E$130*Data!AA$61,0)*(1+AB47)*(1+Data!$E$91)</f>
        <v>0</v>
      </c>
      <c r="AC49" s="177">
        <f>IF($C$49=$F$49,AC33*Data!$E$130*Data!AB$61,0)*(1+AC47)*(1+Data!$E$91)</f>
        <v>0</v>
      </c>
      <c r="AD49" s="177">
        <f>IF($C$49=$F$49,AD33*Data!$E$130*Data!AC$61,0)*(1+AD47)*(1+Data!$E$91)</f>
        <v>0</v>
      </c>
      <c r="AE49" s="177">
        <f>IF($C$49=$F$49,AE33*Data!$E$130*Data!AD$61,0)*(1+AE47)*(1+Data!$E$91)</f>
        <v>0</v>
      </c>
      <c r="AF49" s="177">
        <f>IF($C$49=$F$49,AF33*Data!$E$130*Data!AE$61,0)*(1+AF47)*(1+Data!$E$91)</f>
        <v>0</v>
      </c>
      <c r="AG49" s="177">
        <f>IF($C$49=$F$49,AG33*Data!$E$130*Data!AF$61,0)*(1+AG47)*(1+Data!$E$91)</f>
        <v>0</v>
      </c>
      <c r="AH49" s="177">
        <f>IF($C$49=$F$49,AH33*Data!$E$130*Data!AG$61,0)*(1+AH47)*(1+Data!$E$91)</f>
        <v>0</v>
      </c>
      <c r="AI49" s="177">
        <f>IF($C$49=$F$49,AI33*Data!$E$130*Data!AH$61,0)*(1+AI47)*(1+Data!$E$91)</f>
        <v>0</v>
      </c>
      <c r="AJ49" s="177">
        <f>IF($C$49=$F$49,AJ33*Data!$E$130*Data!AI$61,0)*(1+AJ47)*(1+Data!$E$91)</f>
        <v>0</v>
      </c>
      <c r="AK49" s="177">
        <f>IF($C$49=$F$49,AK33*Data!$E$130*Data!AJ$61,0)*(1+AK47)*(1+Data!$E$91)</f>
        <v>0</v>
      </c>
      <c r="AL49" s="177">
        <f>IF($C$49=$F$49,AL33*Data!$E$130*Data!AK$61,0)*(1+AL47)*(1+Data!$E$91)</f>
        <v>0</v>
      </c>
      <c r="AM49" s="177">
        <f>IF($C$49=$F$49,AM33*Data!$E$130*Data!AL$61,0)*(1+AM47)*(1+Data!$E$91)</f>
        <v>0</v>
      </c>
      <c r="AN49" s="177">
        <f>IF($C$49=$F$49,AN33*Data!$E$130*Data!AM$61,0)*(1+AN47)*(1+Data!$E$91)</f>
        <v>0</v>
      </c>
      <c r="AO49" s="360">
        <f>IF($C$49=$F$49,AO33*Data!$E$130*Data!AN$61,0)*(1+AO47)*(1+Data!$E$91)</f>
        <v>0</v>
      </c>
      <c r="AP49" s="29"/>
    </row>
    <row r="50" spans="1:42" x14ac:dyDescent="0.25">
      <c r="A50" s="12"/>
      <c r="B50" s="13"/>
      <c r="C50" s="45" t="s">
        <v>126</v>
      </c>
      <c r="D50" s="45"/>
      <c r="E50" s="15" t="s">
        <v>318</v>
      </c>
      <c r="F50" s="158" t="str">
        <f>Dashboard!$I$72</f>
        <v>2 Axle rigid</v>
      </c>
      <c r="G50" s="14"/>
      <c r="H50" s="62"/>
      <c r="I50" s="177">
        <f>IF($C$50=$F$50,I33*Data!$E$131*Data!H$61,0)*(1+I47)*(1+Data!$E$91)</f>
        <v>0</v>
      </c>
      <c r="J50" s="177">
        <f>IF($C$50=$F$50,J33*Data!$E$131*Data!I$61,0)*(1+J47)*(1+Data!$E$91)</f>
        <v>0</v>
      </c>
      <c r="K50" s="177">
        <f>IF($C$50=$F$50,K33*Data!$E$131*Data!J$61,0)*(1+K47)*(1+Data!$E$91)</f>
        <v>0</v>
      </c>
      <c r="L50" s="177">
        <f>IF($C$50=$F$50,L33*Data!$E$131*Data!K$61,0)*(1+L47)*(1+Data!$E$91)</f>
        <v>0</v>
      </c>
      <c r="M50" s="177">
        <f>IF($C$50=$F$50,M33*Data!$E$131*Data!L$61,0)*(1+M47)*(1+Data!$E$91)</f>
        <v>0</v>
      </c>
      <c r="N50" s="177">
        <f>IF($C$50=$F$50,N33*Data!$E$131*Data!M$61,0)*(1+N47)*(1+Data!$E$91)</f>
        <v>0</v>
      </c>
      <c r="O50" s="177">
        <f>IF($C$50=$F$50,O33*Data!$E$131*Data!N$61,0)*(1+O47)*(1+Data!$E$91)</f>
        <v>0</v>
      </c>
      <c r="P50" s="177">
        <f>IF($C$50=$F$50,P33*Data!$E$131*Data!O$61,0)*(1+P47)*(1+Data!$E$91)</f>
        <v>0</v>
      </c>
      <c r="Q50" s="177">
        <f>IF($C$50=$F$50,Q33*Data!$E$131*Data!P$61,0)*(1+Q47)*(1+Data!$E$91)</f>
        <v>0</v>
      </c>
      <c r="R50" s="177">
        <f>IF($C$50=$F$50,R33*Data!$E$131*Data!Q$61,0)*(1+R47)*(1+Data!$E$91)</f>
        <v>0</v>
      </c>
      <c r="S50" s="177">
        <f>IF($C$50=$F$50,S33*Data!$E$131*Data!R$61,0)*(1+S47)*(1+Data!$E$91)</f>
        <v>0</v>
      </c>
      <c r="T50" s="177">
        <f>IF($C$50=$F$50,T33*Data!$E$131*Data!S$61,0)*(1+T47)*(1+Data!$E$91)</f>
        <v>0</v>
      </c>
      <c r="U50" s="177">
        <f>IF($C$50=$F$50,U33*Data!$E$131*Data!T$61,0)*(1+U47)*(1+Data!$E$91)</f>
        <v>0</v>
      </c>
      <c r="V50" s="177">
        <f>IF($C$50=$F$50,V33*Data!$E$131*Data!U$61,0)*(1+V47)*(1+Data!$E$91)</f>
        <v>0</v>
      </c>
      <c r="W50" s="177">
        <f>IF($C$50=$F$50,W33*Data!$E$131*Data!V$61,0)*(1+W47)*(1+Data!$E$91)</f>
        <v>0</v>
      </c>
      <c r="X50" s="177">
        <f>IF($C$50=$F$50,X33*Data!$E$131*Data!W$61,0)*(1+X47)*(1+Data!$E$91)</f>
        <v>0</v>
      </c>
      <c r="Y50" s="177">
        <f>IF($C$50=$F$50,Y33*Data!$E$131*Data!X$61,0)*(1+Y47)*(1+Data!$E$91)</f>
        <v>0</v>
      </c>
      <c r="Z50" s="177">
        <f>IF($C$50=$F$50,Z33*Data!$E$131*Data!Y$61,0)*(1+Z47)*(1+Data!$E$91)</f>
        <v>0</v>
      </c>
      <c r="AA50" s="177">
        <f>IF($C$50=$F$50,AA33*Data!$E$131*Data!Z$61,0)*(1+AA47)*(1+Data!$E$91)</f>
        <v>0</v>
      </c>
      <c r="AB50" s="177">
        <f>IF($C$50=$F$50,AB33*Data!$E$131*Data!AA$61,0)*(1+AB47)*(1+Data!$E$91)</f>
        <v>0</v>
      </c>
      <c r="AC50" s="177">
        <f>IF($C$50=$F$50,AC33*Data!$E$131*Data!AB$61,0)*(1+AC47)*(1+Data!$E$91)</f>
        <v>0</v>
      </c>
      <c r="AD50" s="177">
        <f>IF($C$50=$F$50,AD33*Data!$E$131*Data!AC$61,0)*(1+AD47)*(1+Data!$E$91)</f>
        <v>0</v>
      </c>
      <c r="AE50" s="177">
        <f>IF($C$50=$F$50,AE33*Data!$E$131*Data!AD$61,0)*(1+AE47)*(1+Data!$E$91)</f>
        <v>0</v>
      </c>
      <c r="AF50" s="177">
        <f>IF($C$50=$F$50,AF33*Data!$E$131*Data!AE$61,0)*(1+AF47)*(1+Data!$E$91)</f>
        <v>0</v>
      </c>
      <c r="AG50" s="177">
        <f>IF($C$50=$F$50,AG33*Data!$E$131*Data!AF$61,0)*(1+AG47)*(1+Data!$E$91)</f>
        <v>0</v>
      </c>
      <c r="AH50" s="177">
        <f>IF($C$50=$F$50,AH33*Data!$E$131*Data!AG$61,0)*(1+AH47)*(1+Data!$E$91)</f>
        <v>0</v>
      </c>
      <c r="AI50" s="177">
        <f>IF($C$50=$F$50,AI33*Data!$E$131*Data!AH$61,0)*(1+AI47)*(1+Data!$E$91)</f>
        <v>0</v>
      </c>
      <c r="AJ50" s="177">
        <f>IF($C$50=$F$50,AJ33*Data!$E$131*Data!AI$61,0)*(1+AJ47)*(1+Data!$E$91)</f>
        <v>0</v>
      </c>
      <c r="AK50" s="177">
        <f>IF($C$50=$F$50,AK33*Data!$E$131*Data!AJ$61,0)*(1+AK47)*(1+Data!$E$91)</f>
        <v>0</v>
      </c>
      <c r="AL50" s="177">
        <f>IF($C$50=$F$50,AL33*Data!$E$131*Data!AK$61,0)*(1+AL47)*(1+Data!$E$91)</f>
        <v>0</v>
      </c>
      <c r="AM50" s="177">
        <f>IF($C$50=$F$50,AM33*Data!$E$131*Data!AL$61,0)*(1+AM47)*(1+Data!$E$91)</f>
        <v>0</v>
      </c>
      <c r="AN50" s="177">
        <f>IF($C$50=$F$50,AN33*Data!$E$131*Data!AM$61,0)*(1+AN47)*(1+Data!$E$91)</f>
        <v>0</v>
      </c>
      <c r="AO50" s="360">
        <f>IF($C$50=$F$50,AO33*Data!$E$131*Data!AN$61,0)*(1+AO47)*(1+Data!$E$91)</f>
        <v>0</v>
      </c>
      <c r="AP50" s="17"/>
    </row>
    <row r="51" spans="1:42" x14ac:dyDescent="0.25">
      <c r="A51" s="12"/>
      <c r="B51" s="13"/>
      <c r="C51" s="19" t="s">
        <v>476</v>
      </c>
      <c r="D51" s="45"/>
      <c r="E51" s="15"/>
      <c r="F51" s="158"/>
      <c r="G51" s="14"/>
      <c r="H51" s="28"/>
      <c r="I51" s="182">
        <f>SUM(I40:I42)+I44+SUM(I48:I50)</f>
        <v>7608.1323225148835</v>
      </c>
      <c r="J51" s="182">
        <f t="shared" ref="J51:AO51" si="2">SUM(J40:J42)+J44+SUM(J48:J50)</f>
        <v>6774.6738030463421</v>
      </c>
      <c r="K51" s="182">
        <f t="shared" si="2"/>
        <v>6774.6738030463421</v>
      </c>
      <c r="L51" s="182">
        <f t="shared" si="2"/>
        <v>6774.6738030463421</v>
      </c>
      <c r="M51" s="182">
        <f t="shared" si="2"/>
        <v>6774.6738030463421</v>
      </c>
      <c r="N51" s="182">
        <f t="shared" si="2"/>
        <v>6774.6738030463421</v>
      </c>
      <c r="O51" s="182">
        <f t="shared" si="2"/>
        <v>6774.6738030463421</v>
      </c>
      <c r="P51" s="182">
        <f t="shared" si="2"/>
        <v>6774.6738030463421</v>
      </c>
      <c r="Q51" s="182">
        <f t="shared" si="2"/>
        <v>6774.6738030463421</v>
      </c>
      <c r="R51" s="182">
        <f t="shared" si="2"/>
        <v>6774.6738030463421</v>
      </c>
      <c r="S51" s="182">
        <f t="shared" si="2"/>
        <v>6774.6738030463421</v>
      </c>
      <c r="T51" s="182">
        <f t="shared" si="2"/>
        <v>6774.6738030463421</v>
      </c>
      <c r="U51" s="182">
        <f t="shared" si="2"/>
        <v>0</v>
      </c>
      <c r="V51" s="182">
        <f t="shared" si="2"/>
        <v>0</v>
      </c>
      <c r="W51" s="182">
        <f t="shared" si="2"/>
        <v>0</v>
      </c>
      <c r="X51" s="182">
        <f t="shared" si="2"/>
        <v>0</v>
      </c>
      <c r="Y51" s="182">
        <f t="shared" si="2"/>
        <v>0</v>
      </c>
      <c r="Z51" s="182">
        <f t="shared" si="2"/>
        <v>0</v>
      </c>
      <c r="AA51" s="182">
        <f t="shared" si="2"/>
        <v>0</v>
      </c>
      <c r="AB51" s="182">
        <f t="shared" si="2"/>
        <v>0</v>
      </c>
      <c r="AC51" s="182">
        <f t="shared" si="2"/>
        <v>0</v>
      </c>
      <c r="AD51" s="182">
        <f t="shared" si="2"/>
        <v>0</v>
      </c>
      <c r="AE51" s="182">
        <f t="shared" si="2"/>
        <v>0</v>
      </c>
      <c r="AF51" s="182">
        <f t="shared" si="2"/>
        <v>0</v>
      </c>
      <c r="AG51" s="182">
        <f t="shared" si="2"/>
        <v>0</v>
      </c>
      <c r="AH51" s="182">
        <f t="shared" si="2"/>
        <v>0</v>
      </c>
      <c r="AI51" s="182">
        <f t="shared" si="2"/>
        <v>0</v>
      </c>
      <c r="AJ51" s="182">
        <f t="shared" si="2"/>
        <v>0</v>
      </c>
      <c r="AK51" s="182">
        <f t="shared" si="2"/>
        <v>0</v>
      </c>
      <c r="AL51" s="182">
        <f t="shared" si="2"/>
        <v>0</v>
      </c>
      <c r="AM51" s="182">
        <f t="shared" si="2"/>
        <v>0</v>
      </c>
      <c r="AN51" s="182">
        <f t="shared" si="2"/>
        <v>0</v>
      </c>
      <c r="AO51" s="362">
        <f t="shared" si="2"/>
        <v>0</v>
      </c>
      <c r="AP51" s="29"/>
    </row>
    <row r="52" spans="1:42" x14ac:dyDescent="0.25">
      <c r="A52" s="12"/>
      <c r="B52" s="13"/>
      <c r="C52" s="96"/>
      <c r="D52" s="45"/>
      <c r="E52" s="15"/>
      <c r="F52" s="158"/>
      <c r="G52" s="14"/>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357"/>
      <c r="AP52" s="29"/>
    </row>
    <row r="53" spans="1:42" x14ac:dyDescent="0.25">
      <c r="A53" s="12"/>
      <c r="B53" s="13"/>
      <c r="C53" s="37" t="s">
        <v>477</v>
      </c>
      <c r="D53" s="37"/>
      <c r="E53" s="38"/>
      <c r="F53" s="39"/>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17"/>
    </row>
    <row r="54" spans="1:42" x14ac:dyDescent="0.25">
      <c r="A54" s="12"/>
      <c r="B54" s="13"/>
      <c r="C54" s="96" t="s">
        <v>249</v>
      </c>
      <c r="D54" s="45"/>
      <c r="E54" s="15" t="s">
        <v>142</v>
      </c>
      <c r="F54" s="16"/>
      <c r="G54" s="14"/>
      <c r="H54" s="28"/>
      <c r="I54" s="177">
        <f>-IF(COUNT($I$3:I$3)=(Dashboard!$I$31+1),INDEX(Data!$E$99:$E$101,MATCH($F$50,Data!$B$99:$B$101,0)),0)</f>
        <v>0</v>
      </c>
      <c r="J54" s="177">
        <f>-IF(COUNT($I$3:J$3)=(Dashboard!$I$31+1),INDEX(Data!$E$99:$E$101,MATCH($F$50,Data!$B$99:$B$101,0)),0)</f>
        <v>0</v>
      </c>
      <c r="K54" s="177">
        <f>-IF(COUNT($I$3:K$3)=(Dashboard!$I$31+1),INDEX(Data!$E$99:$E$101,MATCH($F$50,Data!$B$99:$B$101,0)),0)</f>
        <v>0</v>
      </c>
      <c r="L54" s="177">
        <f>-IF(COUNT($I$3:L$3)=(Dashboard!$I$31+1),INDEX(Data!$E$99:$E$101,MATCH($F$50,Data!$B$99:$B$101,0)),0)</f>
        <v>0</v>
      </c>
      <c r="M54" s="177">
        <f>-IF(COUNT($I$3:M$3)=(Dashboard!$I$31+1),INDEX(Data!$E$99:$E$101,MATCH($F$50,Data!$B$99:$B$101,0)),0)</f>
        <v>0</v>
      </c>
      <c r="N54" s="177">
        <f>-IF(COUNT($I$3:N$3)=(Dashboard!$I$31+1),INDEX(Data!$E$99:$E$101,MATCH($F$50,Data!$B$99:$B$101,0)),0)</f>
        <v>0</v>
      </c>
      <c r="O54" s="177">
        <f>-IF(COUNT($I$3:O$3)=(Dashboard!$I$31+1),INDEX(Data!$E$99:$E$101,MATCH($F$50,Data!$B$99:$B$101,0)),0)</f>
        <v>0</v>
      </c>
      <c r="P54" s="177">
        <f>-IF(COUNT($I$3:P$3)=(Dashboard!$I$31+1),INDEX(Data!$E$99:$E$101,MATCH($F$50,Data!$B$99:$B$101,0)),0)</f>
        <v>0</v>
      </c>
      <c r="Q54" s="177">
        <f>-IF(COUNT($I$3:Q$3)=(Dashboard!$I$31+1),INDEX(Data!$E$99:$E$101,MATCH($F$50,Data!$B$99:$B$101,0)),0)</f>
        <v>0</v>
      </c>
      <c r="R54" s="177">
        <f>-IF(COUNT($I$3:R$3)=(Dashboard!$I$31+1),INDEX(Data!$E$99:$E$101,MATCH($F$50,Data!$B$99:$B$101,0)),0)</f>
        <v>0</v>
      </c>
      <c r="S54" s="177">
        <f>-IF(COUNT($I$3:S$3)=(Dashboard!$I$31+1),INDEX(Data!$E$99:$E$101,MATCH($F$50,Data!$B$99:$B$101,0)),0)</f>
        <v>0</v>
      </c>
      <c r="T54" s="177">
        <f>-IF(COUNT($I$3:T$3)=(Dashboard!$I$31+1),INDEX(Data!$E$99:$E$101,MATCH($F$50,Data!$B$99:$B$101,0)),0)</f>
        <v>0</v>
      </c>
      <c r="U54" s="177">
        <f>-IF(COUNT($I$3:U$3)=(Dashboard!$I$31+1),INDEX(Data!$E$99:$E$101,MATCH($F$50,Data!$B$99:$B$101,0)),0)</f>
        <v>-52500</v>
      </c>
      <c r="V54" s="177">
        <f>-IF(COUNT($I$3:V$3)=(Dashboard!$I$31+1),INDEX(Data!$E$99:$E$101,MATCH($F$50,Data!$B$99:$B$101,0)),0)</f>
        <v>0</v>
      </c>
      <c r="W54" s="177">
        <f>-IF(COUNT($I$3:W$3)=(Dashboard!$I$31+1),INDEX(Data!$E$99:$E$101,MATCH($F$50,Data!$B$99:$B$101,0)),0)</f>
        <v>0</v>
      </c>
      <c r="X54" s="177">
        <f>-IF(COUNT($I$3:X$3)=(Dashboard!$I$31+1),INDEX(Data!$E$99:$E$101,MATCH($F$50,Data!$B$99:$B$101,0)),0)</f>
        <v>0</v>
      </c>
      <c r="Y54" s="177">
        <f>-IF(COUNT($I$3:Y$3)=(Dashboard!$I$31+1),INDEX(Data!$E$99:$E$101,MATCH($F$50,Data!$B$99:$B$101,0)),0)</f>
        <v>0</v>
      </c>
      <c r="Z54" s="177">
        <f>-IF(COUNT($I$3:Z$3)=(Dashboard!$I$31+1),INDEX(Data!$E$99:$E$101,MATCH($F$50,Data!$B$99:$B$101,0)),0)</f>
        <v>0</v>
      </c>
      <c r="AA54" s="177">
        <f>-IF(COUNT($I$3:AA$3)=(Dashboard!$I$31+1),INDEX(Data!$E$99:$E$101,MATCH($F$50,Data!$B$99:$B$101,0)),0)</f>
        <v>0</v>
      </c>
      <c r="AB54" s="177">
        <f>-IF(COUNT($I$3:AB$3)=(Dashboard!$I$31+1),INDEX(Data!$E$99:$E$101,MATCH($F$50,Data!$B$99:$B$101,0)),0)</f>
        <v>0</v>
      </c>
      <c r="AC54" s="177">
        <f>-IF(COUNT($I$3:AC$3)=(Dashboard!$I$31+1),INDEX(Data!$E$99:$E$101,MATCH($F$50,Data!$B$99:$B$101,0)),0)</f>
        <v>0</v>
      </c>
      <c r="AD54" s="177">
        <f>-IF(COUNT($I$3:AD$3)=(Dashboard!$I$31+1),INDEX(Data!$E$99:$E$101,MATCH($F$50,Data!$B$99:$B$101,0)),0)</f>
        <v>0</v>
      </c>
      <c r="AE54" s="177">
        <f>-IF(COUNT($I$3:AE$3)=(Dashboard!$I$31+1),INDEX(Data!$E$99:$E$101,MATCH($F$50,Data!$B$99:$B$101,0)),0)</f>
        <v>0</v>
      </c>
      <c r="AF54" s="177">
        <f>-IF(COUNT($I$3:AF$3)=(Dashboard!$I$31+1),INDEX(Data!$E$99:$E$101,MATCH($F$50,Data!$B$99:$B$101,0)),0)</f>
        <v>0</v>
      </c>
      <c r="AG54" s="177">
        <f>-IF(COUNT($I$3:AG$3)=(Dashboard!$I$31+1),INDEX(Data!$E$99:$E$101,MATCH($F$50,Data!$B$99:$B$101,0)),0)</f>
        <v>0</v>
      </c>
      <c r="AH54" s="177">
        <f>-IF(COUNT($I$3:AH$3)=(Dashboard!$I$31+1),INDEX(Data!$E$99:$E$101,MATCH($F$50,Data!$B$99:$B$101,0)),0)</f>
        <v>0</v>
      </c>
      <c r="AI54" s="177">
        <f>-IF(COUNT($I$3:AI$3)=(Dashboard!$I$31+1),INDEX(Data!$E$99:$E$101,MATCH($F$50,Data!$B$99:$B$101,0)),0)</f>
        <v>0</v>
      </c>
      <c r="AJ54" s="177">
        <f>-IF(COUNT($I$3:AJ$3)=(Dashboard!$I$31+1),INDEX(Data!$E$99:$E$101,MATCH($F$50,Data!$B$99:$B$101,0)),0)</f>
        <v>0</v>
      </c>
      <c r="AK54" s="177">
        <f>-IF(COUNT($I$3:AK$3)=(Dashboard!$I$31+1),INDEX(Data!$E$99:$E$101,MATCH($F$50,Data!$B$99:$B$101,0)),0)</f>
        <v>0</v>
      </c>
      <c r="AL54" s="177">
        <f>-IF(COUNT($I$3:AL$3)=(Dashboard!$I$31+1),INDEX(Data!$E$99:$E$101,MATCH($F$50,Data!$B$99:$B$101,0)),0)</f>
        <v>0</v>
      </c>
      <c r="AM54" s="177">
        <f>-IF(COUNT($I$3:AM$3)=(Dashboard!$I$31+1),INDEX(Data!$E$99:$E$101,MATCH($F$50,Data!$B$99:$B$101,0)),0)</f>
        <v>0</v>
      </c>
      <c r="AN54" s="177">
        <f>-IF(COUNT($I$3:AN$3)=(Dashboard!$I$31+1),INDEX(Data!$E$99:$E$101,MATCH($F$50,Data!$B$99:$B$101,0)),0)</f>
        <v>0</v>
      </c>
      <c r="AO54" s="177">
        <f>-IF(COUNT($I$3:AO$3)=(Dashboard!$I$31+1),INDEX(Data!$E$99:$E$101,MATCH($F$50,Data!$B$99:$B$101,0)),0)</f>
        <v>0</v>
      </c>
      <c r="AP54" s="29"/>
    </row>
    <row r="55" spans="1:42" x14ac:dyDescent="0.25">
      <c r="A55" s="12"/>
      <c r="B55" s="13"/>
      <c r="C55" s="96"/>
      <c r="D55" s="45"/>
      <c r="E55" s="15"/>
      <c r="F55" s="16"/>
      <c r="G55" s="14"/>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357"/>
      <c r="AP55" s="29"/>
    </row>
    <row r="56" spans="1:42" x14ac:dyDescent="0.25">
      <c r="A56" s="12"/>
      <c r="B56" s="13"/>
      <c r="C56" s="20" t="s">
        <v>478</v>
      </c>
      <c r="D56" s="14"/>
      <c r="E56" s="15" t="s">
        <v>142</v>
      </c>
      <c r="F56" s="16"/>
      <c r="G56" s="14"/>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357"/>
      <c r="AP56" s="29"/>
    </row>
    <row r="57" spans="1:42" x14ac:dyDescent="0.25">
      <c r="A57" s="12"/>
      <c r="B57" s="13"/>
      <c r="C57" s="96"/>
      <c r="D57" s="45"/>
      <c r="E57" s="15"/>
      <c r="F57" s="16"/>
      <c r="G57" s="14"/>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357"/>
      <c r="AP57" s="29"/>
    </row>
    <row r="58" spans="1:42" x14ac:dyDescent="0.25">
      <c r="A58" s="12"/>
      <c r="B58" s="13"/>
      <c r="C58" s="37" t="s">
        <v>479</v>
      </c>
      <c r="D58" s="37"/>
      <c r="E58" s="38"/>
      <c r="F58" s="39"/>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17"/>
    </row>
    <row r="59" spans="1:42" x14ac:dyDescent="0.25">
      <c r="A59" s="12"/>
      <c r="B59" s="13"/>
      <c r="C59" s="14" t="s">
        <v>479</v>
      </c>
      <c r="D59" s="14"/>
      <c r="E59" s="15" t="s">
        <v>318</v>
      </c>
      <c r="F59" s="16"/>
      <c r="G59" s="14"/>
      <c r="H59" s="165"/>
      <c r="I59" s="165">
        <f>I51+I54</f>
        <v>7608.1323225148835</v>
      </c>
      <c r="J59" s="165">
        <f t="shared" ref="J59:AO59" si="3">J51+J54</f>
        <v>6774.6738030463421</v>
      </c>
      <c r="K59" s="165">
        <f t="shared" si="3"/>
        <v>6774.6738030463421</v>
      </c>
      <c r="L59" s="165">
        <f t="shared" si="3"/>
        <v>6774.6738030463421</v>
      </c>
      <c r="M59" s="165">
        <f t="shared" si="3"/>
        <v>6774.6738030463421</v>
      </c>
      <c r="N59" s="165">
        <f t="shared" si="3"/>
        <v>6774.6738030463421</v>
      </c>
      <c r="O59" s="165">
        <f t="shared" si="3"/>
        <v>6774.6738030463421</v>
      </c>
      <c r="P59" s="165">
        <f t="shared" si="3"/>
        <v>6774.6738030463421</v>
      </c>
      <c r="Q59" s="165">
        <f t="shared" si="3"/>
        <v>6774.6738030463421</v>
      </c>
      <c r="R59" s="165">
        <f t="shared" si="3"/>
        <v>6774.6738030463421</v>
      </c>
      <c r="S59" s="165">
        <f t="shared" si="3"/>
        <v>6774.6738030463421</v>
      </c>
      <c r="T59" s="165">
        <f t="shared" si="3"/>
        <v>6774.6738030463421</v>
      </c>
      <c r="U59" s="165">
        <f t="shared" si="3"/>
        <v>-52500</v>
      </c>
      <c r="V59" s="165">
        <f t="shared" si="3"/>
        <v>0</v>
      </c>
      <c r="W59" s="165">
        <f t="shared" si="3"/>
        <v>0</v>
      </c>
      <c r="X59" s="165">
        <f t="shared" si="3"/>
        <v>0</v>
      </c>
      <c r="Y59" s="165">
        <f t="shared" si="3"/>
        <v>0</v>
      </c>
      <c r="Z59" s="165">
        <f t="shared" si="3"/>
        <v>0</v>
      </c>
      <c r="AA59" s="165">
        <f t="shared" si="3"/>
        <v>0</v>
      </c>
      <c r="AB59" s="165">
        <f t="shared" si="3"/>
        <v>0</v>
      </c>
      <c r="AC59" s="165">
        <f t="shared" si="3"/>
        <v>0</v>
      </c>
      <c r="AD59" s="165">
        <f t="shared" si="3"/>
        <v>0</v>
      </c>
      <c r="AE59" s="165">
        <f t="shared" si="3"/>
        <v>0</v>
      </c>
      <c r="AF59" s="165">
        <f t="shared" si="3"/>
        <v>0</v>
      </c>
      <c r="AG59" s="165">
        <f t="shared" si="3"/>
        <v>0</v>
      </c>
      <c r="AH59" s="165">
        <f t="shared" si="3"/>
        <v>0</v>
      </c>
      <c r="AI59" s="165">
        <f t="shared" si="3"/>
        <v>0</v>
      </c>
      <c r="AJ59" s="165">
        <f t="shared" si="3"/>
        <v>0</v>
      </c>
      <c r="AK59" s="165">
        <f t="shared" si="3"/>
        <v>0</v>
      </c>
      <c r="AL59" s="165">
        <f t="shared" si="3"/>
        <v>0</v>
      </c>
      <c r="AM59" s="165">
        <f t="shared" si="3"/>
        <v>0</v>
      </c>
      <c r="AN59" s="165">
        <f t="shared" si="3"/>
        <v>0</v>
      </c>
      <c r="AO59" s="165">
        <f t="shared" si="3"/>
        <v>0</v>
      </c>
      <c r="AP59" s="29"/>
    </row>
    <row r="60" spans="1:42" s="140" customFormat="1" x14ac:dyDescent="0.25">
      <c r="A60" s="78"/>
      <c r="B60" s="19"/>
      <c r="C60" s="20" t="s">
        <v>480</v>
      </c>
      <c r="D60" s="20"/>
      <c r="E60" s="21" t="s">
        <v>318</v>
      </c>
      <c r="F60" s="48"/>
      <c r="G60" s="20"/>
      <c r="H60" s="182"/>
      <c r="I60" s="182">
        <f>I59*Data!H$9</f>
        <v>7315.5118485720031</v>
      </c>
      <c r="J60" s="182">
        <f>J59*Data!I$9</f>
        <v>6263.566755775094</v>
      </c>
      <c r="K60" s="182">
        <f>K59*Data!J$9</f>
        <v>6022.6603420914371</v>
      </c>
      <c r="L60" s="182">
        <f>L59*Data!K$9</f>
        <v>5791.0195597033035</v>
      </c>
      <c r="M60" s="182">
        <f>M59*Data!L$9</f>
        <v>5568.2880381762534</v>
      </c>
      <c r="N60" s="182">
        <f>N59*Data!M$9</f>
        <v>5354.1231136310125</v>
      </c>
      <c r="O60" s="182">
        <f>O59*Data!N$9</f>
        <v>5148.195301568282</v>
      </c>
      <c r="P60" s="182">
        <f>P59*Data!O$9</f>
        <v>4950.187789969501</v>
      </c>
      <c r="Q60" s="182">
        <f>Q59*Data!P$9</f>
        <v>4759.7959518937496</v>
      </c>
      <c r="R60" s="182">
        <f>R59*Data!Q$9</f>
        <v>4576.7268768209133</v>
      </c>
      <c r="S60" s="182">
        <f>S59*Data!R$9</f>
        <v>4400.6989200201097</v>
      </c>
      <c r="T60" s="182">
        <f>T59*Data!S$9</f>
        <v>4231.4412692501046</v>
      </c>
      <c r="U60" s="182">
        <f>U59*Data!T$9</f>
        <v>-31530.139522070596</v>
      </c>
      <c r="V60" s="182">
        <f>V59*Data!U$9</f>
        <v>0</v>
      </c>
      <c r="W60" s="182">
        <f>W59*Data!V$9</f>
        <v>0</v>
      </c>
      <c r="X60" s="182">
        <f>X59*Data!W$9</f>
        <v>0</v>
      </c>
      <c r="Y60" s="182">
        <f>Y59*Data!X$9</f>
        <v>0</v>
      </c>
      <c r="Z60" s="182">
        <f>Z59*Data!Y$9</f>
        <v>0</v>
      </c>
      <c r="AA60" s="182">
        <f>AA59*Data!Z$9</f>
        <v>0</v>
      </c>
      <c r="AB60" s="182">
        <f>AB59*Data!AA$9</f>
        <v>0</v>
      </c>
      <c r="AC60" s="182">
        <f>AC59*Data!AB$9</f>
        <v>0</v>
      </c>
      <c r="AD60" s="182">
        <f>AD59*Data!AC$9</f>
        <v>0</v>
      </c>
      <c r="AE60" s="182">
        <f>AE59*Data!AD$9</f>
        <v>0</v>
      </c>
      <c r="AF60" s="182">
        <f>AF59*Data!AE$9</f>
        <v>0</v>
      </c>
      <c r="AG60" s="182">
        <f>AG59*Data!AF$9</f>
        <v>0</v>
      </c>
      <c r="AH60" s="182">
        <f>AH59*Data!AG$9</f>
        <v>0</v>
      </c>
      <c r="AI60" s="182">
        <f>AI59*Data!AH$9</f>
        <v>0</v>
      </c>
      <c r="AJ60" s="182">
        <f>AJ59*Data!AI$9</f>
        <v>0</v>
      </c>
      <c r="AK60" s="182">
        <f>AK59*Data!AJ$9</f>
        <v>0</v>
      </c>
      <c r="AL60" s="182">
        <f>AL59*Data!AK$9</f>
        <v>0</v>
      </c>
      <c r="AM60" s="182">
        <f>AM59*Data!AL$9</f>
        <v>0</v>
      </c>
      <c r="AN60" s="182">
        <f>AN59*Data!AM$9</f>
        <v>0</v>
      </c>
      <c r="AO60" s="362">
        <f>AO59*Data!AN$9</f>
        <v>0</v>
      </c>
      <c r="AP60" s="50"/>
    </row>
    <row r="61" spans="1:42" x14ac:dyDescent="0.25">
      <c r="A61" s="12"/>
      <c r="B61" s="13"/>
      <c r="C61" s="20" t="s">
        <v>479</v>
      </c>
      <c r="D61" s="14"/>
      <c r="E61" s="21" t="s">
        <v>54</v>
      </c>
      <c r="F61" s="16"/>
      <c r="G61" s="185">
        <f>SUM(H60:AO60)</f>
        <v>32852.076245401164</v>
      </c>
      <c r="H61" s="165"/>
      <c r="I61" s="165"/>
      <c r="J61" s="165"/>
      <c r="K61" s="165"/>
      <c r="L61" s="165"/>
      <c r="M61" s="165"/>
      <c r="N61" s="165"/>
      <c r="O61" s="165"/>
      <c r="P61" s="165"/>
      <c r="Q61" s="165"/>
      <c r="R61" s="165"/>
      <c r="S61" s="165"/>
      <c r="T61" s="165"/>
      <c r="U61" s="165"/>
      <c r="V61" s="165"/>
      <c r="W61" s="28"/>
      <c r="X61" s="28"/>
      <c r="Y61" s="28"/>
      <c r="Z61" s="28"/>
      <c r="AA61" s="28"/>
      <c r="AB61" s="28"/>
      <c r="AC61" s="28"/>
      <c r="AD61" s="28"/>
      <c r="AE61" s="28"/>
      <c r="AF61" s="28"/>
      <c r="AG61" s="28"/>
      <c r="AH61" s="28"/>
      <c r="AI61" s="28"/>
      <c r="AJ61" s="28"/>
      <c r="AK61" s="28"/>
      <c r="AL61" s="28"/>
      <c r="AM61" s="28"/>
      <c r="AN61" s="28"/>
      <c r="AO61" s="357"/>
      <c r="AP61" s="29"/>
    </row>
    <row r="62" spans="1:42" x14ac:dyDescent="0.25">
      <c r="A62" s="12"/>
      <c r="B62" s="13"/>
      <c r="C62" s="44" t="s">
        <v>481</v>
      </c>
      <c r="D62" s="45"/>
      <c r="E62" s="15" t="s">
        <v>261</v>
      </c>
      <c r="F62" s="16"/>
      <c r="G62" s="183">
        <f>G61/SUM(I33:AO33)</f>
        <v>0.87745930142631312</v>
      </c>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357"/>
      <c r="AP62" s="29"/>
    </row>
    <row r="63" spans="1:42" x14ac:dyDescent="0.25">
      <c r="A63" s="12"/>
      <c r="B63" s="13"/>
      <c r="C63" s="44"/>
      <c r="D63" s="45"/>
      <c r="E63" s="15"/>
      <c r="F63" s="16"/>
      <c r="G63" s="284"/>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357"/>
      <c r="AP63" s="29"/>
    </row>
    <row r="64" spans="1:42" x14ac:dyDescent="0.25">
      <c r="A64" s="12"/>
      <c r="B64" s="13"/>
      <c r="C64" s="37" t="s">
        <v>482</v>
      </c>
      <c r="D64" s="37"/>
      <c r="E64" s="38"/>
      <c r="F64" s="39"/>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17"/>
    </row>
    <row r="65" spans="1:42" x14ac:dyDescent="0.25">
      <c r="A65" s="12"/>
      <c r="B65" s="13"/>
      <c r="C65" s="45"/>
      <c r="D65" s="45"/>
      <c r="E65" s="84"/>
      <c r="F65" s="158"/>
      <c r="G65" s="14"/>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360"/>
      <c r="AP65" s="29"/>
    </row>
    <row r="66" spans="1:42" ht="15.75" customHeight="1" x14ac:dyDescent="0.25">
      <c r="A66" s="12"/>
      <c r="B66" s="13"/>
      <c r="C66" s="14" t="s">
        <v>483</v>
      </c>
      <c r="D66" s="14"/>
      <c r="E66" s="15"/>
      <c r="F66" s="16"/>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4"/>
      <c r="AH66" s="14"/>
      <c r="AI66" s="14"/>
      <c r="AJ66" s="14"/>
      <c r="AK66" s="14"/>
      <c r="AL66" s="14"/>
      <c r="AM66" s="14"/>
      <c r="AN66" s="14"/>
      <c r="AO66" s="14"/>
      <c r="AP66" s="17"/>
    </row>
    <row r="67" spans="1:42" ht="14.25" customHeight="1" x14ac:dyDescent="0.25">
      <c r="A67" s="12"/>
      <c r="B67" s="13"/>
      <c r="C67" s="14" t="s">
        <v>205</v>
      </c>
      <c r="D67" s="14"/>
      <c r="E67" s="70" t="s">
        <v>352</v>
      </c>
      <c r="F67" s="201" cm="1">
        <f t="array" ref="F67">_xlfn.IFS(Dashboard!$I$71='Control panel'!$D$83,'Control panel'!D84,Dashboard!$I$71='Control panel'!$E$83,'Control panel'!E84,Dashboard!$I$71='Control panel'!$F$83,'Control panel'!F84)/1000</f>
        <v>4.0583752780418599E-3</v>
      </c>
      <c r="G67" s="159"/>
      <c r="H67" s="56"/>
      <c r="I67" s="56">
        <f>I$33*$F67</f>
        <v>12.662130867490603</v>
      </c>
      <c r="J67" s="56">
        <f t="shared" ref="J67:AP73" si="4">J$33*$F67</f>
        <v>12.662130867490603</v>
      </c>
      <c r="K67" s="56">
        <f t="shared" si="4"/>
        <v>12.662130867490603</v>
      </c>
      <c r="L67" s="56">
        <f t="shared" si="4"/>
        <v>12.662130867490603</v>
      </c>
      <c r="M67" s="56">
        <f t="shared" si="4"/>
        <v>12.662130867490603</v>
      </c>
      <c r="N67" s="56">
        <f t="shared" si="4"/>
        <v>12.662130867490603</v>
      </c>
      <c r="O67" s="56">
        <f t="shared" si="4"/>
        <v>12.662130867490603</v>
      </c>
      <c r="P67" s="56">
        <f t="shared" si="4"/>
        <v>12.662130867490603</v>
      </c>
      <c r="Q67" s="56">
        <f t="shared" si="4"/>
        <v>12.662130867490603</v>
      </c>
      <c r="R67" s="56">
        <f t="shared" si="4"/>
        <v>12.662130867490603</v>
      </c>
      <c r="S67" s="56">
        <f t="shared" si="4"/>
        <v>12.662130867490603</v>
      </c>
      <c r="T67" s="56">
        <f t="shared" si="4"/>
        <v>12.662130867490603</v>
      </c>
      <c r="U67" s="56">
        <f t="shared" si="4"/>
        <v>0</v>
      </c>
      <c r="V67" s="56">
        <f t="shared" si="4"/>
        <v>0</v>
      </c>
      <c r="W67" s="56">
        <f t="shared" si="4"/>
        <v>0</v>
      </c>
      <c r="X67" s="56">
        <f t="shared" si="4"/>
        <v>0</v>
      </c>
      <c r="Y67" s="56">
        <f t="shared" si="4"/>
        <v>0</v>
      </c>
      <c r="Z67" s="56">
        <f t="shared" si="4"/>
        <v>0</v>
      </c>
      <c r="AA67" s="56">
        <f t="shared" si="4"/>
        <v>0</v>
      </c>
      <c r="AB67" s="56">
        <f t="shared" si="4"/>
        <v>0</v>
      </c>
      <c r="AC67" s="56">
        <f t="shared" si="4"/>
        <v>0</v>
      </c>
      <c r="AD67" s="56">
        <f t="shared" si="4"/>
        <v>0</v>
      </c>
      <c r="AE67" s="56">
        <f t="shared" si="4"/>
        <v>0</v>
      </c>
      <c r="AF67" s="56">
        <f t="shared" si="4"/>
        <v>0</v>
      </c>
      <c r="AG67" s="56">
        <f t="shared" si="4"/>
        <v>0</v>
      </c>
      <c r="AH67" s="56">
        <f t="shared" si="4"/>
        <v>0</v>
      </c>
      <c r="AI67" s="56">
        <f t="shared" si="4"/>
        <v>0</v>
      </c>
      <c r="AJ67" s="56">
        <f t="shared" si="4"/>
        <v>0</v>
      </c>
      <c r="AK67" s="56">
        <f t="shared" si="4"/>
        <v>0</v>
      </c>
      <c r="AL67" s="56">
        <f t="shared" si="4"/>
        <v>0</v>
      </c>
      <c r="AM67" s="56">
        <f t="shared" si="4"/>
        <v>0</v>
      </c>
      <c r="AN67" s="56">
        <f t="shared" si="4"/>
        <v>0</v>
      </c>
      <c r="AO67" s="68">
        <f t="shared" si="4"/>
        <v>0</v>
      </c>
      <c r="AP67" s="29">
        <f t="shared" si="4"/>
        <v>0</v>
      </c>
    </row>
    <row r="68" spans="1:42" x14ac:dyDescent="0.25">
      <c r="A68" s="12"/>
      <c r="B68" s="13"/>
      <c r="C68" s="14" t="s">
        <v>484</v>
      </c>
      <c r="D68" s="14"/>
      <c r="E68" s="70" t="s">
        <v>352</v>
      </c>
      <c r="F68" s="201" cm="1">
        <f t="array" ref="F68">_xlfn.IFS(Dashboard!$I$71='Control panel'!$D$83,'Control panel'!D85,Dashboard!$I$71='Control panel'!$E$83,'Control panel'!E85,Dashboard!$I$71='Control panel'!$F$83,'Control panel'!F85)/1000</f>
        <v>1.0176439575523251</v>
      </c>
      <c r="G68" s="159"/>
      <c r="H68" s="56"/>
      <c r="I68" s="56">
        <f>I$33*$F68</f>
        <v>3175.0491475632543</v>
      </c>
      <c r="J68" s="56">
        <f t="shared" ref="I68:X73" si="5">J$33*$F68</f>
        <v>3175.0491475632543</v>
      </c>
      <c r="K68" s="56">
        <f t="shared" si="5"/>
        <v>3175.0491475632543</v>
      </c>
      <c r="L68" s="56">
        <f t="shared" si="5"/>
        <v>3175.0491475632543</v>
      </c>
      <c r="M68" s="56">
        <f t="shared" si="5"/>
        <v>3175.0491475632543</v>
      </c>
      <c r="N68" s="56">
        <f t="shared" si="5"/>
        <v>3175.0491475632543</v>
      </c>
      <c r="O68" s="56">
        <f t="shared" si="5"/>
        <v>3175.0491475632543</v>
      </c>
      <c r="P68" s="56">
        <f t="shared" si="5"/>
        <v>3175.0491475632543</v>
      </c>
      <c r="Q68" s="56">
        <f t="shared" si="5"/>
        <v>3175.0491475632543</v>
      </c>
      <c r="R68" s="56">
        <f t="shared" si="5"/>
        <v>3175.0491475632543</v>
      </c>
      <c r="S68" s="56">
        <f t="shared" si="5"/>
        <v>3175.0491475632543</v>
      </c>
      <c r="T68" s="56">
        <f t="shared" si="5"/>
        <v>3175.0491475632543</v>
      </c>
      <c r="U68" s="56">
        <f t="shared" si="5"/>
        <v>0</v>
      </c>
      <c r="V68" s="56">
        <f t="shared" si="5"/>
        <v>0</v>
      </c>
      <c r="W68" s="56">
        <f t="shared" si="5"/>
        <v>0</v>
      </c>
      <c r="X68" s="56">
        <f t="shared" si="5"/>
        <v>0</v>
      </c>
      <c r="Y68" s="56">
        <f t="shared" si="4"/>
        <v>0</v>
      </c>
      <c r="Z68" s="56">
        <f t="shared" si="4"/>
        <v>0</v>
      </c>
      <c r="AA68" s="56">
        <f t="shared" si="4"/>
        <v>0</v>
      </c>
      <c r="AB68" s="56">
        <f t="shared" si="4"/>
        <v>0</v>
      </c>
      <c r="AC68" s="56">
        <f t="shared" si="4"/>
        <v>0</v>
      </c>
      <c r="AD68" s="56">
        <f t="shared" si="4"/>
        <v>0</v>
      </c>
      <c r="AE68" s="56">
        <f t="shared" si="4"/>
        <v>0</v>
      </c>
      <c r="AF68" s="56">
        <f t="shared" si="4"/>
        <v>0</v>
      </c>
      <c r="AG68" s="56">
        <f t="shared" si="4"/>
        <v>0</v>
      </c>
      <c r="AH68" s="56">
        <f t="shared" si="4"/>
        <v>0</v>
      </c>
      <c r="AI68" s="56">
        <f t="shared" si="4"/>
        <v>0</v>
      </c>
      <c r="AJ68" s="56">
        <f t="shared" si="4"/>
        <v>0</v>
      </c>
      <c r="AK68" s="56">
        <f t="shared" si="4"/>
        <v>0</v>
      </c>
      <c r="AL68" s="56">
        <f t="shared" si="4"/>
        <v>0</v>
      </c>
      <c r="AM68" s="56">
        <f t="shared" si="4"/>
        <v>0</v>
      </c>
      <c r="AN68" s="56">
        <f t="shared" si="4"/>
        <v>0</v>
      </c>
      <c r="AO68" s="68">
        <f t="shared" si="4"/>
        <v>0</v>
      </c>
      <c r="AP68" s="29">
        <f t="shared" si="4"/>
        <v>0</v>
      </c>
    </row>
    <row r="69" spans="1:42" x14ac:dyDescent="0.25">
      <c r="A69" s="12"/>
      <c r="B69" s="13"/>
      <c r="C69" s="14" t="s">
        <v>285</v>
      </c>
      <c r="D69" s="14"/>
      <c r="E69" s="70" t="s">
        <v>352</v>
      </c>
      <c r="F69" s="201" cm="1">
        <f t="array" ref="F69">_xlfn.IFS(Dashboard!$I$71='Control panel'!$D$83,'Control panel'!D86,Dashboard!$I$71='Control panel'!$E$83,'Control panel'!E86,Dashboard!$I$71='Control panel'!$F$83,'Control panel'!F86)/1000</f>
        <v>2.8470339849987793E-4</v>
      </c>
      <c r="G69" s="159"/>
      <c r="H69" s="56"/>
      <c r="I69" s="56">
        <f t="shared" si="5"/>
        <v>0.88827460331961916</v>
      </c>
      <c r="J69" s="56">
        <f t="shared" si="4"/>
        <v>0.88827460331961916</v>
      </c>
      <c r="K69" s="56">
        <f t="shared" si="4"/>
        <v>0.88827460331961916</v>
      </c>
      <c r="L69" s="56">
        <f t="shared" si="4"/>
        <v>0.88827460331961916</v>
      </c>
      <c r="M69" s="56">
        <f t="shared" si="4"/>
        <v>0.88827460331961916</v>
      </c>
      <c r="N69" s="56">
        <f t="shared" si="4"/>
        <v>0.88827460331961916</v>
      </c>
      <c r="O69" s="56">
        <f t="shared" si="4"/>
        <v>0.88827460331961916</v>
      </c>
      <c r="P69" s="56">
        <f t="shared" si="4"/>
        <v>0.88827460331961916</v>
      </c>
      <c r="Q69" s="56">
        <f t="shared" si="4"/>
        <v>0.88827460331961916</v>
      </c>
      <c r="R69" s="56">
        <f t="shared" si="4"/>
        <v>0.88827460331961916</v>
      </c>
      <c r="S69" s="56">
        <f t="shared" si="4"/>
        <v>0.88827460331961916</v>
      </c>
      <c r="T69" s="56">
        <f t="shared" si="4"/>
        <v>0.88827460331961916</v>
      </c>
      <c r="U69" s="56">
        <f t="shared" si="4"/>
        <v>0</v>
      </c>
      <c r="V69" s="56">
        <f t="shared" si="4"/>
        <v>0</v>
      </c>
      <c r="W69" s="56">
        <f t="shared" si="4"/>
        <v>0</v>
      </c>
      <c r="X69" s="56">
        <f t="shared" si="4"/>
        <v>0</v>
      </c>
      <c r="Y69" s="56">
        <f t="shared" si="4"/>
        <v>0</v>
      </c>
      <c r="Z69" s="56">
        <f t="shared" si="4"/>
        <v>0</v>
      </c>
      <c r="AA69" s="56">
        <f t="shared" si="4"/>
        <v>0</v>
      </c>
      <c r="AB69" s="56">
        <f t="shared" si="4"/>
        <v>0</v>
      </c>
      <c r="AC69" s="56">
        <f t="shared" si="4"/>
        <v>0</v>
      </c>
      <c r="AD69" s="56">
        <f t="shared" si="4"/>
        <v>0</v>
      </c>
      <c r="AE69" s="56">
        <f t="shared" si="4"/>
        <v>0</v>
      </c>
      <c r="AF69" s="56">
        <f t="shared" si="4"/>
        <v>0</v>
      </c>
      <c r="AG69" s="56">
        <f t="shared" si="4"/>
        <v>0</v>
      </c>
      <c r="AH69" s="56">
        <f t="shared" si="4"/>
        <v>0</v>
      </c>
      <c r="AI69" s="56">
        <f t="shared" si="4"/>
        <v>0</v>
      </c>
      <c r="AJ69" s="56">
        <f t="shared" si="4"/>
        <v>0</v>
      </c>
      <c r="AK69" s="56">
        <f t="shared" si="4"/>
        <v>0</v>
      </c>
      <c r="AL69" s="56">
        <f t="shared" si="4"/>
        <v>0</v>
      </c>
      <c r="AM69" s="56">
        <f t="shared" si="4"/>
        <v>0</v>
      </c>
      <c r="AN69" s="56">
        <f t="shared" si="4"/>
        <v>0</v>
      </c>
      <c r="AO69" s="68">
        <f t="shared" si="4"/>
        <v>0</v>
      </c>
      <c r="AP69" s="29">
        <f t="shared" si="4"/>
        <v>0</v>
      </c>
    </row>
    <row r="70" spans="1:42" x14ac:dyDescent="0.25">
      <c r="A70" s="54"/>
      <c r="B70" s="13"/>
      <c r="C70" s="14" t="s">
        <v>220</v>
      </c>
      <c r="D70" s="14"/>
      <c r="E70" s="70" t="s">
        <v>352</v>
      </c>
      <c r="F70" s="201" cm="1">
        <f t="array" ref="F70">_xlfn.IFS(Dashboard!$I$71='Control panel'!$D$83,'Control panel'!D87,Dashboard!$I$71='Control panel'!$E$83,'Control panel'!E87,Dashboard!$I$71='Control panel'!$F$83,'Control panel'!F87)/1000</f>
        <v>1.0339278110249E-2</v>
      </c>
      <c r="G70" s="159"/>
      <c r="H70" s="56"/>
      <c r="I70" s="56">
        <f t="shared" si="5"/>
        <v>32.25854770397688</v>
      </c>
      <c r="J70" s="56">
        <f t="shared" si="4"/>
        <v>32.25854770397688</v>
      </c>
      <c r="K70" s="56">
        <f t="shared" si="4"/>
        <v>32.25854770397688</v>
      </c>
      <c r="L70" s="56">
        <f t="shared" si="4"/>
        <v>32.25854770397688</v>
      </c>
      <c r="M70" s="56">
        <f t="shared" si="4"/>
        <v>32.25854770397688</v>
      </c>
      <c r="N70" s="56">
        <f t="shared" si="4"/>
        <v>32.25854770397688</v>
      </c>
      <c r="O70" s="56">
        <f t="shared" si="4"/>
        <v>32.25854770397688</v>
      </c>
      <c r="P70" s="56">
        <f t="shared" si="4"/>
        <v>32.25854770397688</v>
      </c>
      <c r="Q70" s="56">
        <f t="shared" si="4"/>
        <v>32.25854770397688</v>
      </c>
      <c r="R70" s="56">
        <f t="shared" si="4"/>
        <v>32.25854770397688</v>
      </c>
      <c r="S70" s="56">
        <f t="shared" si="4"/>
        <v>32.25854770397688</v>
      </c>
      <c r="T70" s="56">
        <f t="shared" si="4"/>
        <v>32.25854770397688</v>
      </c>
      <c r="U70" s="56">
        <f t="shared" si="4"/>
        <v>0</v>
      </c>
      <c r="V70" s="56">
        <f t="shared" si="4"/>
        <v>0</v>
      </c>
      <c r="W70" s="56">
        <f t="shared" si="4"/>
        <v>0</v>
      </c>
      <c r="X70" s="56">
        <f t="shared" si="4"/>
        <v>0</v>
      </c>
      <c r="Y70" s="56">
        <f t="shared" si="4"/>
        <v>0</v>
      </c>
      <c r="Z70" s="56">
        <f t="shared" si="4"/>
        <v>0</v>
      </c>
      <c r="AA70" s="56">
        <f t="shared" si="4"/>
        <v>0</v>
      </c>
      <c r="AB70" s="56">
        <f t="shared" si="4"/>
        <v>0</v>
      </c>
      <c r="AC70" s="56">
        <f t="shared" si="4"/>
        <v>0</v>
      </c>
      <c r="AD70" s="56">
        <f t="shared" si="4"/>
        <v>0</v>
      </c>
      <c r="AE70" s="56">
        <f t="shared" si="4"/>
        <v>0</v>
      </c>
      <c r="AF70" s="56">
        <f t="shared" si="4"/>
        <v>0</v>
      </c>
      <c r="AG70" s="56">
        <f t="shared" si="4"/>
        <v>0</v>
      </c>
      <c r="AH70" s="56">
        <f t="shared" si="4"/>
        <v>0</v>
      </c>
      <c r="AI70" s="56">
        <f t="shared" si="4"/>
        <v>0</v>
      </c>
      <c r="AJ70" s="56">
        <f t="shared" si="4"/>
        <v>0</v>
      </c>
      <c r="AK70" s="56">
        <f t="shared" si="4"/>
        <v>0</v>
      </c>
      <c r="AL70" s="56">
        <f t="shared" si="4"/>
        <v>0</v>
      </c>
      <c r="AM70" s="56">
        <f t="shared" si="4"/>
        <v>0</v>
      </c>
      <c r="AN70" s="56">
        <f t="shared" si="4"/>
        <v>0</v>
      </c>
      <c r="AO70" s="68">
        <f t="shared" si="4"/>
        <v>0</v>
      </c>
      <c r="AP70" s="29">
        <f t="shared" si="4"/>
        <v>0</v>
      </c>
    </row>
    <row r="71" spans="1:42" x14ac:dyDescent="0.25">
      <c r="A71" s="54"/>
      <c r="B71" s="13"/>
      <c r="C71" s="14" t="s">
        <v>212</v>
      </c>
      <c r="D71" s="14"/>
      <c r="E71" s="70" t="s">
        <v>352</v>
      </c>
      <c r="F71" s="201" cm="1">
        <f t="array" ref="F71">_xlfn.IFS(Dashboard!$I$71='Control panel'!$D$83,'Control panel'!D88,Dashboard!$I$71='Control panel'!$E$83,'Control panel'!E88,Dashboard!$I$71='Control panel'!$F$83,'Control panel'!F88)/1000</f>
        <v>1.0831616103370489E-3</v>
      </c>
      <c r="G71" s="159"/>
      <c r="H71" s="56"/>
      <c r="I71" s="56">
        <f t="shared" si="5"/>
        <v>3.3794642242515929</v>
      </c>
      <c r="J71" s="56">
        <f t="shared" si="4"/>
        <v>3.3794642242515929</v>
      </c>
      <c r="K71" s="56">
        <f t="shared" si="4"/>
        <v>3.3794642242515929</v>
      </c>
      <c r="L71" s="56">
        <f t="shared" si="4"/>
        <v>3.3794642242515929</v>
      </c>
      <c r="M71" s="56">
        <f t="shared" si="4"/>
        <v>3.3794642242515929</v>
      </c>
      <c r="N71" s="56">
        <f t="shared" si="4"/>
        <v>3.3794642242515929</v>
      </c>
      <c r="O71" s="56">
        <f t="shared" si="4"/>
        <v>3.3794642242515929</v>
      </c>
      <c r="P71" s="56">
        <f t="shared" si="4"/>
        <v>3.3794642242515929</v>
      </c>
      <c r="Q71" s="56">
        <f t="shared" si="4"/>
        <v>3.3794642242515929</v>
      </c>
      <c r="R71" s="56">
        <f t="shared" si="4"/>
        <v>3.3794642242515929</v>
      </c>
      <c r="S71" s="56">
        <f t="shared" si="4"/>
        <v>3.3794642242515929</v>
      </c>
      <c r="T71" s="56">
        <f t="shared" si="4"/>
        <v>3.3794642242515929</v>
      </c>
      <c r="U71" s="56">
        <f t="shared" si="4"/>
        <v>0</v>
      </c>
      <c r="V71" s="56">
        <f t="shared" si="4"/>
        <v>0</v>
      </c>
      <c r="W71" s="56">
        <f t="shared" si="4"/>
        <v>0</v>
      </c>
      <c r="X71" s="56">
        <f t="shared" si="4"/>
        <v>0</v>
      </c>
      <c r="Y71" s="56">
        <f t="shared" si="4"/>
        <v>0</v>
      </c>
      <c r="Z71" s="56">
        <f t="shared" si="4"/>
        <v>0</v>
      </c>
      <c r="AA71" s="56">
        <f t="shared" si="4"/>
        <v>0</v>
      </c>
      <c r="AB71" s="56">
        <f t="shared" si="4"/>
        <v>0</v>
      </c>
      <c r="AC71" s="56">
        <f t="shared" si="4"/>
        <v>0</v>
      </c>
      <c r="AD71" s="56">
        <f t="shared" si="4"/>
        <v>0</v>
      </c>
      <c r="AE71" s="56">
        <f t="shared" si="4"/>
        <v>0</v>
      </c>
      <c r="AF71" s="56">
        <f t="shared" si="4"/>
        <v>0</v>
      </c>
      <c r="AG71" s="56">
        <f t="shared" si="4"/>
        <v>0</v>
      </c>
      <c r="AH71" s="56">
        <f t="shared" si="4"/>
        <v>0</v>
      </c>
      <c r="AI71" s="56">
        <f t="shared" si="4"/>
        <v>0</v>
      </c>
      <c r="AJ71" s="56">
        <f t="shared" si="4"/>
        <v>0</v>
      </c>
      <c r="AK71" s="56">
        <f t="shared" si="4"/>
        <v>0</v>
      </c>
      <c r="AL71" s="56">
        <f t="shared" si="4"/>
        <v>0</v>
      </c>
      <c r="AM71" s="56">
        <f t="shared" si="4"/>
        <v>0</v>
      </c>
      <c r="AN71" s="56">
        <f t="shared" si="4"/>
        <v>0</v>
      </c>
      <c r="AO71" s="68">
        <f t="shared" si="4"/>
        <v>0</v>
      </c>
      <c r="AP71" s="29">
        <f t="shared" si="4"/>
        <v>0</v>
      </c>
    </row>
    <row r="72" spans="1:42" x14ac:dyDescent="0.25">
      <c r="A72" s="54"/>
      <c r="B72" s="13"/>
      <c r="C72" s="14" t="s">
        <v>485</v>
      </c>
      <c r="D72" s="14"/>
      <c r="E72" s="70" t="s">
        <v>352</v>
      </c>
      <c r="F72" s="201" cm="1">
        <f t="array" ref="F72">_xlfn.IFS(Dashboard!$I$71='Control panel'!$D$83,'Control panel'!D89,Dashboard!$I$71='Control panel'!$E$83,'Control panel'!E89,Dashboard!$I$71='Control panel'!$F$83,'Control panel'!F89)/1000</f>
        <v>2.3599733894197369E-4</v>
      </c>
      <c r="G72" s="159"/>
      <c r="H72" s="56"/>
      <c r="I72" s="56">
        <f t="shared" si="5"/>
        <v>0.73631169749895786</v>
      </c>
      <c r="J72" s="56">
        <f t="shared" si="4"/>
        <v>0.73631169749895786</v>
      </c>
      <c r="K72" s="56">
        <f t="shared" si="4"/>
        <v>0.73631169749895786</v>
      </c>
      <c r="L72" s="56">
        <f t="shared" si="4"/>
        <v>0.73631169749895786</v>
      </c>
      <c r="M72" s="56">
        <f t="shared" si="4"/>
        <v>0.73631169749895786</v>
      </c>
      <c r="N72" s="56">
        <f t="shared" si="4"/>
        <v>0.73631169749895786</v>
      </c>
      <c r="O72" s="56">
        <f t="shared" si="4"/>
        <v>0.73631169749895786</v>
      </c>
      <c r="P72" s="56">
        <f t="shared" si="4"/>
        <v>0.73631169749895786</v>
      </c>
      <c r="Q72" s="56">
        <f t="shared" si="4"/>
        <v>0.73631169749895786</v>
      </c>
      <c r="R72" s="56">
        <f t="shared" si="4"/>
        <v>0.73631169749895786</v>
      </c>
      <c r="S72" s="56">
        <f t="shared" si="4"/>
        <v>0.73631169749895786</v>
      </c>
      <c r="T72" s="56">
        <f t="shared" si="4"/>
        <v>0.73631169749895786</v>
      </c>
      <c r="U72" s="56">
        <f t="shared" si="4"/>
        <v>0</v>
      </c>
      <c r="V72" s="56">
        <f t="shared" si="4"/>
        <v>0</v>
      </c>
      <c r="W72" s="56">
        <f t="shared" si="4"/>
        <v>0</v>
      </c>
      <c r="X72" s="56">
        <f t="shared" si="4"/>
        <v>0</v>
      </c>
      <c r="Y72" s="56">
        <f t="shared" si="4"/>
        <v>0</v>
      </c>
      <c r="Z72" s="56">
        <f t="shared" si="4"/>
        <v>0</v>
      </c>
      <c r="AA72" s="56">
        <f t="shared" si="4"/>
        <v>0</v>
      </c>
      <c r="AB72" s="56">
        <f t="shared" si="4"/>
        <v>0</v>
      </c>
      <c r="AC72" s="56">
        <f t="shared" si="4"/>
        <v>0</v>
      </c>
      <c r="AD72" s="56">
        <f t="shared" si="4"/>
        <v>0</v>
      </c>
      <c r="AE72" s="56">
        <f t="shared" si="4"/>
        <v>0</v>
      </c>
      <c r="AF72" s="56">
        <f t="shared" si="4"/>
        <v>0</v>
      </c>
      <c r="AG72" s="56">
        <f t="shared" si="4"/>
        <v>0</v>
      </c>
      <c r="AH72" s="56">
        <f t="shared" si="4"/>
        <v>0</v>
      </c>
      <c r="AI72" s="56">
        <f t="shared" si="4"/>
        <v>0</v>
      </c>
      <c r="AJ72" s="56">
        <f t="shared" si="4"/>
        <v>0</v>
      </c>
      <c r="AK72" s="56">
        <f t="shared" si="4"/>
        <v>0</v>
      </c>
      <c r="AL72" s="56">
        <f t="shared" si="4"/>
        <v>0</v>
      </c>
      <c r="AM72" s="56">
        <f t="shared" si="4"/>
        <v>0</v>
      </c>
      <c r="AN72" s="56">
        <f t="shared" si="4"/>
        <v>0</v>
      </c>
      <c r="AO72" s="68">
        <f t="shared" si="4"/>
        <v>0</v>
      </c>
      <c r="AP72" s="29">
        <f t="shared" si="4"/>
        <v>0</v>
      </c>
    </row>
    <row r="73" spans="1:42" x14ac:dyDescent="0.25">
      <c r="A73" s="54"/>
      <c r="B73" s="13"/>
      <c r="C73" s="14" t="s">
        <v>214</v>
      </c>
      <c r="D73" s="14"/>
      <c r="E73" s="70" t="s">
        <v>352</v>
      </c>
      <c r="F73" s="201" cm="1">
        <f t="array" ref="F73">_xlfn.IFS(Dashboard!$I$71='Control panel'!$D$83,'Control panel'!D90,Dashboard!$I$71='Control panel'!$E$83,'Control panel'!E90,Dashboard!$I$71='Control panel'!$F$83,'Control panel'!F90)/1000</f>
        <v>1.7486429999999991E-5</v>
      </c>
      <c r="G73" s="159"/>
      <c r="H73" s="56"/>
      <c r="I73" s="56">
        <f t="shared" si="5"/>
        <v>5.4557661599999974E-2</v>
      </c>
      <c r="J73" s="56">
        <f t="shared" si="4"/>
        <v>5.4557661599999974E-2</v>
      </c>
      <c r="K73" s="56">
        <f t="shared" si="4"/>
        <v>5.4557661599999974E-2</v>
      </c>
      <c r="L73" s="56">
        <f t="shared" si="4"/>
        <v>5.4557661599999974E-2</v>
      </c>
      <c r="M73" s="56">
        <f t="shared" si="4"/>
        <v>5.4557661599999974E-2</v>
      </c>
      <c r="N73" s="56">
        <f t="shared" si="4"/>
        <v>5.4557661599999974E-2</v>
      </c>
      <c r="O73" s="56">
        <f t="shared" si="4"/>
        <v>5.4557661599999974E-2</v>
      </c>
      <c r="P73" s="56">
        <f t="shared" si="4"/>
        <v>5.4557661599999974E-2</v>
      </c>
      <c r="Q73" s="56">
        <f t="shared" si="4"/>
        <v>5.4557661599999974E-2</v>
      </c>
      <c r="R73" s="56">
        <f t="shared" si="4"/>
        <v>5.4557661599999974E-2</v>
      </c>
      <c r="S73" s="56">
        <f t="shared" si="4"/>
        <v>5.4557661599999974E-2</v>
      </c>
      <c r="T73" s="56">
        <f t="shared" si="4"/>
        <v>5.4557661599999974E-2</v>
      </c>
      <c r="U73" s="56">
        <f t="shared" si="4"/>
        <v>0</v>
      </c>
      <c r="V73" s="56">
        <f t="shared" si="4"/>
        <v>0</v>
      </c>
      <c r="W73" s="56">
        <f t="shared" si="4"/>
        <v>0</v>
      </c>
      <c r="X73" s="56">
        <f t="shared" si="4"/>
        <v>0</v>
      </c>
      <c r="Y73" s="56">
        <f t="shared" si="4"/>
        <v>0</v>
      </c>
      <c r="Z73" s="56">
        <f t="shared" si="4"/>
        <v>0</v>
      </c>
      <c r="AA73" s="56">
        <f t="shared" si="4"/>
        <v>0</v>
      </c>
      <c r="AB73" s="56">
        <f t="shared" si="4"/>
        <v>0</v>
      </c>
      <c r="AC73" s="56">
        <f t="shared" si="4"/>
        <v>0</v>
      </c>
      <c r="AD73" s="56">
        <f t="shared" si="4"/>
        <v>0</v>
      </c>
      <c r="AE73" s="56">
        <f t="shared" si="4"/>
        <v>0</v>
      </c>
      <c r="AF73" s="56">
        <f t="shared" si="4"/>
        <v>0</v>
      </c>
      <c r="AG73" s="56">
        <f t="shared" si="4"/>
        <v>0</v>
      </c>
      <c r="AH73" s="56">
        <f t="shared" si="4"/>
        <v>0</v>
      </c>
      <c r="AI73" s="56">
        <f t="shared" si="4"/>
        <v>0</v>
      </c>
      <c r="AJ73" s="56">
        <f t="shared" si="4"/>
        <v>0</v>
      </c>
      <c r="AK73" s="56">
        <f t="shared" si="4"/>
        <v>0</v>
      </c>
      <c r="AL73" s="56">
        <f t="shared" si="4"/>
        <v>0</v>
      </c>
      <c r="AM73" s="56">
        <f t="shared" si="4"/>
        <v>0</v>
      </c>
      <c r="AN73" s="56">
        <f t="shared" si="4"/>
        <v>0</v>
      </c>
      <c r="AO73" s="68">
        <f t="shared" si="4"/>
        <v>0</v>
      </c>
      <c r="AP73" s="29">
        <f t="shared" si="4"/>
        <v>0</v>
      </c>
    </row>
    <row r="74" spans="1:42" x14ac:dyDescent="0.25">
      <c r="A74" s="12"/>
      <c r="B74" s="13"/>
      <c r="C74" s="14"/>
      <c r="D74" s="14"/>
      <c r="E74" s="15"/>
      <c r="F74" s="173"/>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366"/>
    </row>
    <row r="75" spans="1:42" x14ac:dyDescent="0.25">
      <c r="A75" s="54"/>
      <c r="B75" s="13"/>
      <c r="C75" s="14" t="s">
        <v>205</v>
      </c>
      <c r="D75" s="14"/>
      <c r="E75" s="70" t="s">
        <v>474</v>
      </c>
      <c r="F75" s="200">
        <f>Data!$E$35/1000</f>
        <v>3.4099438202247192E-3</v>
      </c>
      <c r="G75" s="159"/>
      <c r="H75" s="56"/>
      <c r="I75" s="56">
        <f>I67*$F75</f>
        <v>4.3177154902476249E-2</v>
      </c>
      <c r="J75" s="56">
        <f t="shared" ref="J75:AP75" si="6">J67*$F75</f>
        <v>4.3177154902476249E-2</v>
      </c>
      <c r="K75" s="56">
        <f t="shared" si="6"/>
        <v>4.3177154902476249E-2</v>
      </c>
      <c r="L75" s="56">
        <f t="shared" si="6"/>
        <v>4.3177154902476249E-2</v>
      </c>
      <c r="M75" s="56">
        <f t="shared" si="6"/>
        <v>4.3177154902476249E-2</v>
      </c>
      <c r="N75" s="56">
        <f t="shared" si="6"/>
        <v>4.3177154902476249E-2</v>
      </c>
      <c r="O75" s="56">
        <f t="shared" si="6"/>
        <v>4.3177154902476249E-2</v>
      </c>
      <c r="P75" s="56">
        <f t="shared" si="6"/>
        <v>4.3177154902476249E-2</v>
      </c>
      <c r="Q75" s="56">
        <f t="shared" si="6"/>
        <v>4.3177154902476249E-2</v>
      </c>
      <c r="R75" s="56">
        <f t="shared" si="6"/>
        <v>4.3177154902476249E-2</v>
      </c>
      <c r="S75" s="56">
        <f t="shared" si="6"/>
        <v>4.3177154902476249E-2</v>
      </c>
      <c r="T75" s="56">
        <f t="shared" si="6"/>
        <v>4.3177154902476249E-2</v>
      </c>
      <c r="U75" s="56">
        <f t="shared" si="6"/>
        <v>0</v>
      </c>
      <c r="V75" s="56">
        <f t="shared" si="6"/>
        <v>0</v>
      </c>
      <c r="W75" s="56">
        <f t="shared" si="6"/>
        <v>0</v>
      </c>
      <c r="X75" s="56">
        <f t="shared" si="6"/>
        <v>0</v>
      </c>
      <c r="Y75" s="56">
        <f t="shared" si="6"/>
        <v>0</v>
      </c>
      <c r="Z75" s="56">
        <f t="shared" si="6"/>
        <v>0</v>
      </c>
      <c r="AA75" s="56">
        <f t="shared" si="6"/>
        <v>0</v>
      </c>
      <c r="AB75" s="56">
        <f t="shared" si="6"/>
        <v>0</v>
      </c>
      <c r="AC75" s="56">
        <f t="shared" si="6"/>
        <v>0</v>
      </c>
      <c r="AD75" s="56">
        <f t="shared" si="6"/>
        <v>0</v>
      </c>
      <c r="AE75" s="56">
        <f t="shared" si="6"/>
        <v>0</v>
      </c>
      <c r="AF75" s="56">
        <f t="shared" si="6"/>
        <v>0</v>
      </c>
      <c r="AG75" s="56">
        <f t="shared" si="6"/>
        <v>0</v>
      </c>
      <c r="AH75" s="56">
        <f t="shared" si="6"/>
        <v>0</v>
      </c>
      <c r="AI75" s="56">
        <f t="shared" si="6"/>
        <v>0</v>
      </c>
      <c r="AJ75" s="56">
        <f t="shared" si="6"/>
        <v>0</v>
      </c>
      <c r="AK75" s="56">
        <f t="shared" si="6"/>
        <v>0</v>
      </c>
      <c r="AL75" s="56">
        <f t="shared" si="6"/>
        <v>0</v>
      </c>
      <c r="AM75" s="56">
        <f t="shared" si="6"/>
        <v>0</v>
      </c>
      <c r="AN75" s="56">
        <f t="shared" si="6"/>
        <v>0</v>
      </c>
      <c r="AO75" s="68">
        <f t="shared" si="6"/>
        <v>0</v>
      </c>
      <c r="AP75" s="29">
        <f t="shared" si="6"/>
        <v>0</v>
      </c>
    </row>
    <row r="76" spans="1:42" x14ac:dyDescent="0.25">
      <c r="A76" s="54"/>
      <c r="B76" s="13"/>
      <c r="C76" s="14" t="s">
        <v>484</v>
      </c>
      <c r="D76" s="14"/>
      <c r="E76" s="70" t="s">
        <v>474</v>
      </c>
      <c r="F76" s="200"/>
      <c r="G76" s="159"/>
      <c r="H76" s="56"/>
      <c r="I76" s="56">
        <f>I68*Data!H$16/1000</f>
        <v>307.97976731363565</v>
      </c>
      <c r="J76" s="56">
        <f>J68*Data!I$16/1000</f>
        <v>339.73025878926819</v>
      </c>
      <c r="K76" s="56">
        <f>K68*Data!J$16/1000</f>
        <v>368.30570111733749</v>
      </c>
      <c r="L76" s="56">
        <f>L68*Data!K$16/1000</f>
        <v>400.05619259297004</v>
      </c>
      <c r="M76" s="56">
        <f>M68*Data!L$16/1000</f>
        <v>431.80668406860258</v>
      </c>
      <c r="N76" s="56">
        <f>N68*Data!M$16/1000</f>
        <v>463.55717554423518</v>
      </c>
      <c r="O76" s="56">
        <f>O68*Data!N$16/1000</f>
        <v>492.13261787230442</v>
      </c>
      <c r="P76" s="56">
        <f>P68*Data!O$16/1000</f>
        <v>511.18291275768394</v>
      </c>
      <c r="Q76" s="56">
        <f>Q68*Data!P$16/1000</f>
        <v>530.23320764306345</v>
      </c>
      <c r="R76" s="56">
        <f>R68*Data!Q$16/1000</f>
        <v>552.45855167600632</v>
      </c>
      <c r="S76" s="56">
        <f>S68*Data!R$16/1000</f>
        <v>571.50884656138578</v>
      </c>
      <c r="T76" s="56">
        <f>T68*Data!S$16/1000</f>
        <v>590.55914144676524</v>
      </c>
      <c r="U76" s="56">
        <f>U68*Data!T$16/1000</f>
        <v>0</v>
      </c>
      <c r="V76" s="56">
        <f>V68*Data!U$16/1000</f>
        <v>0</v>
      </c>
      <c r="W76" s="56">
        <f>W68*Data!V$16/1000</f>
        <v>0</v>
      </c>
      <c r="X76" s="56">
        <f>X68*Data!W$16/1000</f>
        <v>0</v>
      </c>
      <c r="Y76" s="56">
        <f>Y68*Data!X$16/1000</f>
        <v>0</v>
      </c>
      <c r="Z76" s="56">
        <f>Z68*Data!Y$16/1000</f>
        <v>0</v>
      </c>
      <c r="AA76" s="56">
        <f>AA68*Data!Z$16/1000</f>
        <v>0</v>
      </c>
      <c r="AB76" s="56">
        <f>AB68*Data!AA$16/1000</f>
        <v>0</v>
      </c>
      <c r="AC76" s="56">
        <f>AC68*Data!AB$16/1000</f>
        <v>0</v>
      </c>
      <c r="AD76" s="56">
        <f>AD68*Data!AC$16/1000</f>
        <v>0</v>
      </c>
      <c r="AE76" s="56">
        <f>AE68*Data!AD$16/1000</f>
        <v>0</v>
      </c>
      <c r="AF76" s="56">
        <f>AF68*Data!AE$16/1000</f>
        <v>0</v>
      </c>
      <c r="AG76" s="56">
        <f>AG68*Data!AF$16/1000</f>
        <v>0</v>
      </c>
      <c r="AH76" s="56">
        <f>AH68*Data!AG$16/1000</f>
        <v>0</v>
      </c>
      <c r="AI76" s="56">
        <f>AI68*Data!AH$16/1000</f>
        <v>0</v>
      </c>
      <c r="AJ76" s="56">
        <f>AJ68*Data!AI$16/1000</f>
        <v>0</v>
      </c>
      <c r="AK76" s="56">
        <f>AK68*Data!AJ$16/1000</f>
        <v>0</v>
      </c>
      <c r="AL76" s="56">
        <f>AL68*Data!AK$16/1000</f>
        <v>0</v>
      </c>
      <c r="AM76" s="56">
        <f>AM68*Data!AL$16/1000</f>
        <v>0</v>
      </c>
      <c r="AN76" s="56">
        <f>AN68*Data!AM$16/1000</f>
        <v>0</v>
      </c>
      <c r="AO76" s="68">
        <f>AO68*Data!AN$16/1000</f>
        <v>0</v>
      </c>
      <c r="AP76" s="29">
        <f>AP68*Data!AO$16/1000</f>
        <v>0</v>
      </c>
    </row>
    <row r="77" spans="1:42" x14ac:dyDescent="0.25">
      <c r="A77" s="54"/>
      <c r="B77" s="13"/>
      <c r="C77" s="14" t="s">
        <v>285</v>
      </c>
      <c r="D77" s="14"/>
      <c r="E77" s="70" t="s">
        <v>474</v>
      </c>
      <c r="F77" s="200">
        <f>Data!$E$36/1000</f>
        <v>1.0822865168539326</v>
      </c>
      <c r="G77" s="159"/>
      <c r="H77" s="56"/>
      <c r="I77" s="56">
        <f>I69*$F77</f>
        <v>0.96136762643659934</v>
      </c>
      <c r="J77" s="56">
        <f t="shared" ref="J77:AP81" si="7">J69*$F77</f>
        <v>0.96136762643659934</v>
      </c>
      <c r="K77" s="56">
        <f t="shared" si="7"/>
        <v>0.96136762643659934</v>
      </c>
      <c r="L77" s="56">
        <f t="shared" si="7"/>
        <v>0.96136762643659934</v>
      </c>
      <c r="M77" s="56">
        <f t="shared" si="7"/>
        <v>0.96136762643659934</v>
      </c>
      <c r="N77" s="56">
        <f t="shared" si="7"/>
        <v>0.96136762643659934</v>
      </c>
      <c r="O77" s="56">
        <f t="shared" si="7"/>
        <v>0.96136762643659934</v>
      </c>
      <c r="P77" s="56">
        <f t="shared" si="7"/>
        <v>0.96136762643659934</v>
      </c>
      <c r="Q77" s="56">
        <f t="shared" si="7"/>
        <v>0.96136762643659934</v>
      </c>
      <c r="R77" s="56">
        <f t="shared" si="7"/>
        <v>0.96136762643659934</v>
      </c>
      <c r="S77" s="56">
        <f t="shared" si="7"/>
        <v>0.96136762643659934</v>
      </c>
      <c r="T77" s="56">
        <f t="shared" si="7"/>
        <v>0.96136762643659934</v>
      </c>
      <c r="U77" s="56">
        <f t="shared" si="7"/>
        <v>0</v>
      </c>
      <c r="V77" s="56">
        <f t="shared" si="7"/>
        <v>0</v>
      </c>
      <c r="W77" s="56">
        <f t="shared" si="7"/>
        <v>0</v>
      </c>
      <c r="X77" s="56">
        <f t="shared" si="7"/>
        <v>0</v>
      </c>
      <c r="Y77" s="56">
        <f t="shared" si="7"/>
        <v>0</v>
      </c>
      <c r="Z77" s="56">
        <f t="shared" si="7"/>
        <v>0</v>
      </c>
      <c r="AA77" s="56">
        <f t="shared" si="7"/>
        <v>0</v>
      </c>
      <c r="AB77" s="56">
        <f t="shared" si="7"/>
        <v>0</v>
      </c>
      <c r="AC77" s="56">
        <f t="shared" si="7"/>
        <v>0</v>
      </c>
      <c r="AD77" s="56">
        <f t="shared" si="7"/>
        <v>0</v>
      </c>
      <c r="AE77" s="56">
        <f t="shared" si="7"/>
        <v>0</v>
      </c>
      <c r="AF77" s="56">
        <f t="shared" si="7"/>
        <v>0</v>
      </c>
      <c r="AG77" s="56">
        <f t="shared" si="7"/>
        <v>0</v>
      </c>
      <c r="AH77" s="56">
        <f t="shared" si="7"/>
        <v>0</v>
      </c>
      <c r="AI77" s="56">
        <f t="shared" si="7"/>
        <v>0</v>
      </c>
      <c r="AJ77" s="56">
        <f t="shared" si="7"/>
        <v>0</v>
      </c>
      <c r="AK77" s="56">
        <f t="shared" si="7"/>
        <v>0</v>
      </c>
      <c r="AL77" s="56">
        <f t="shared" si="7"/>
        <v>0</v>
      </c>
      <c r="AM77" s="56">
        <f t="shared" si="7"/>
        <v>0</v>
      </c>
      <c r="AN77" s="56">
        <f t="shared" si="7"/>
        <v>0</v>
      </c>
      <c r="AO77" s="68">
        <f t="shared" si="7"/>
        <v>0</v>
      </c>
      <c r="AP77" s="29">
        <f t="shared" si="7"/>
        <v>0</v>
      </c>
    </row>
    <row r="78" spans="1:42" x14ac:dyDescent="0.25">
      <c r="A78" s="54"/>
      <c r="B78" s="13"/>
      <c r="C78" s="14" t="s">
        <v>220</v>
      </c>
      <c r="D78" s="14"/>
      <c r="E78" s="70" t="s">
        <v>474</v>
      </c>
      <c r="F78" s="200">
        <f>Data!$E$37/1000</f>
        <v>371.00188764044947</v>
      </c>
      <c r="G78" s="159"/>
      <c r="H78" s="56"/>
      <c r="I78" s="56">
        <f>I70*$F78</f>
        <v>11967.98209071491</v>
      </c>
      <c r="J78" s="56">
        <f t="shared" ref="I78:X80" si="8">J70*$F78</f>
        <v>11967.98209071491</v>
      </c>
      <c r="K78" s="56">
        <f t="shared" si="8"/>
        <v>11967.98209071491</v>
      </c>
      <c r="L78" s="56">
        <f t="shared" si="8"/>
        <v>11967.98209071491</v>
      </c>
      <c r="M78" s="56">
        <f t="shared" si="8"/>
        <v>11967.98209071491</v>
      </c>
      <c r="N78" s="56">
        <f t="shared" si="8"/>
        <v>11967.98209071491</v>
      </c>
      <c r="O78" s="56">
        <f t="shared" si="8"/>
        <v>11967.98209071491</v>
      </c>
      <c r="P78" s="56">
        <f t="shared" si="8"/>
        <v>11967.98209071491</v>
      </c>
      <c r="Q78" s="56">
        <f t="shared" si="8"/>
        <v>11967.98209071491</v>
      </c>
      <c r="R78" s="56">
        <f t="shared" si="8"/>
        <v>11967.98209071491</v>
      </c>
      <c r="S78" s="56">
        <f t="shared" si="8"/>
        <v>11967.98209071491</v>
      </c>
      <c r="T78" s="56">
        <f t="shared" si="8"/>
        <v>11967.98209071491</v>
      </c>
      <c r="U78" s="56">
        <f t="shared" si="8"/>
        <v>0</v>
      </c>
      <c r="V78" s="56">
        <f t="shared" si="8"/>
        <v>0</v>
      </c>
      <c r="W78" s="56">
        <f t="shared" si="8"/>
        <v>0</v>
      </c>
      <c r="X78" s="56">
        <f t="shared" si="8"/>
        <v>0</v>
      </c>
      <c r="Y78" s="56">
        <f t="shared" si="7"/>
        <v>0</v>
      </c>
      <c r="Z78" s="56">
        <f t="shared" si="7"/>
        <v>0</v>
      </c>
      <c r="AA78" s="56">
        <f t="shared" si="7"/>
        <v>0</v>
      </c>
      <c r="AB78" s="56">
        <f t="shared" si="7"/>
        <v>0</v>
      </c>
      <c r="AC78" s="56">
        <f t="shared" si="7"/>
        <v>0</v>
      </c>
      <c r="AD78" s="56">
        <f t="shared" si="7"/>
        <v>0</v>
      </c>
      <c r="AE78" s="56">
        <f t="shared" si="7"/>
        <v>0</v>
      </c>
      <c r="AF78" s="56">
        <f t="shared" si="7"/>
        <v>0</v>
      </c>
      <c r="AG78" s="56">
        <f t="shared" si="7"/>
        <v>0</v>
      </c>
      <c r="AH78" s="56">
        <f t="shared" si="7"/>
        <v>0</v>
      </c>
      <c r="AI78" s="56">
        <f t="shared" si="7"/>
        <v>0</v>
      </c>
      <c r="AJ78" s="56">
        <f t="shared" si="7"/>
        <v>0</v>
      </c>
      <c r="AK78" s="56">
        <f t="shared" si="7"/>
        <v>0</v>
      </c>
      <c r="AL78" s="56">
        <f t="shared" si="7"/>
        <v>0</v>
      </c>
      <c r="AM78" s="56">
        <f t="shared" si="7"/>
        <v>0</v>
      </c>
      <c r="AN78" s="56">
        <f t="shared" si="7"/>
        <v>0</v>
      </c>
      <c r="AO78" s="68">
        <f t="shared" si="7"/>
        <v>0</v>
      </c>
      <c r="AP78" s="29">
        <f t="shared" si="7"/>
        <v>0</v>
      </c>
    </row>
    <row r="79" spans="1:42" x14ac:dyDescent="0.25">
      <c r="A79" s="54"/>
      <c r="B79" s="13"/>
      <c r="C79" s="14" t="s">
        <v>212</v>
      </c>
      <c r="D79" s="14"/>
      <c r="E79" s="70" t="s">
        <v>474</v>
      </c>
      <c r="F79" s="200">
        <f>Data!$E$39/1000</f>
        <v>0</v>
      </c>
      <c r="G79" s="159"/>
      <c r="H79" s="56"/>
      <c r="I79" s="56">
        <f t="shared" si="8"/>
        <v>0</v>
      </c>
      <c r="J79" s="56">
        <f t="shared" si="7"/>
        <v>0</v>
      </c>
      <c r="K79" s="56">
        <f t="shared" si="7"/>
        <v>0</v>
      </c>
      <c r="L79" s="56">
        <f t="shared" si="7"/>
        <v>0</v>
      </c>
      <c r="M79" s="56">
        <f t="shared" si="7"/>
        <v>0</v>
      </c>
      <c r="N79" s="56">
        <f t="shared" si="7"/>
        <v>0</v>
      </c>
      <c r="O79" s="56">
        <f t="shared" si="7"/>
        <v>0</v>
      </c>
      <c r="P79" s="56">
        <f t="shared" si="7"/>
        <v>0</v>
      </c>
      <c r="Q79" s="56">
        <f t="shared" si="7"/>
        <v>0</v>
      </c>
      <c r="R79" s="56">
        <f t="shared" si="7"/>
        <v>0</v>
      </c>
      <c r="S79" s="56">
        <f t="shared" si="7"/>
        <v>0</v>
      </c>
      <c r="T79" s="56">
        <f t="shared" si="7"/>
        <v>0</v>
      </c>
      <c r="U79" s="56">
        <f t="shared" si="7"/>
        <v>0</v>
      </c>
      <c r="V79" s="56">
        <f t="shared" si="7"/>
        <v>0</v>
      </c>
      <c r="W79" s="56">
        <f t="shared" si="7"/>
        <v>0</v>
      </c>
      <c r="X79" s="56">
        <f t="shared" si="7"/>
        <v>0</v>
      </c>
      <c r="Y79" s="56">
        <f t="shared" si="7"/>
        <v>0</v>
      </c>
      <c r="Z79" s="56">
        <f t="shared" si="7"/>
        <v>0</v>
      </c>
      <c r="AA79" s="56">
        <f t="shared" si="7"/>
        <v>0</v>
      </c>
      <c r="AB79" s="56">
        <f t="shared" si="7"/>
        <v>0</v>
      </c>
      <c r="AC79" s="56">
        <f t="shared" si="7"/>
        <v>0</v>
      </c>
      <c r="AD79" s="56">
        <f t="shared" si="7"/>
        <v>0</v>
      </c>
      <c r="AE79" s="56">
        <f t="shared" si="7"/>
        <v>0</v>
      </c>
      <c r="AF79" s="56">
        <f t="shared" si="7"/>
        <v>0</v>
      </c>
      <c r="AG79" s="56">
        <f t="shared" si="7"/>
        <v>0</v>
      </c>
      <c r="AH79" s="56">
        <f t="shared" si="7"/>
        <v>0</v>
      </c>
      <c r="AI79" s="56">
        <f t="shared" si="7"/>
        <v>0</v>
      </c>
      <c r="AJ79" s="56">
        <f t="shared" si="7"/>
        <v>0</v>
      </c>
      <c r="AK79" s="56">
        <f t="shared" si="7"/>
        <v>0</v>
      </c>
      <c r="AL79" s="56">
        <f t="shared" si="7"/>
        <v>0</v>
      </c>
      <c r="AM79" s="56">
        <f t="shared" si="7"/>
        <v>0</v>
      </c>
      <c r="AN79" s="56">
        <f t="shared" si="7"/>
        <v>0</v>
      </c>
      <c r="AO79" s="68">
        <f t="shared" si="7"/>
        <v>0</v>
      </c>
      <c r="AP79" s="29">
        <f t="shared" si="7"/>
        <v>0</v>
      </c>
    </row>
    <row r="80" spans="1:42" x14ac:dyDescent="0.25">
      <c r="A80" s="54"/>
      <c r="B80" s="13"/>
      <c r="C80" s="14" t="s">
        <v>485</v>
      </c>
      <c r="D80" s="14"/>
      <c r="E80" s="70" t="s">
        <v>474</v>
      </c>
      <c r="F80" s="200">
        <f>Data!$E$40/1000</f>
        <v>605.20914606741576</v>
      </c>
      <c r="G80" s="159"/>
      <c r="H80" s="56"/>
      <c r="I80" s="56">
        <f t="shared" si="8"/>
        <v>445.62257368279364</v>
      </c>
      <c r="J80" s="56">
        <f t="shared" si="7"/>
        <v>445.62257368279364</v>
      </c>
      <c r="K80" s="56">
        <f t="shared" si="7"/>
        <v>445.62257368279364</v>
      </c>
      <c r="L80" s="56">
        <f t="shared" si="7"/>
        <v>445.62257368279364</v>
      </c>
      <c r="M80" s="56">
        <f t="shared" si="7"/>
        <v>445.62257368279364</v>
      </c>
      <c r="N80" s="56">
        <f t="shared" si="7"/>
        <v>445.62257368279364</v>
      </c>
      <c r="O80" s="56">
        <f t="shared" si="7"/>
        <v>445.62257368279364</v>
      </c>
      <c r="P80" s="56">
        <f t="shared" si="7"/>
        <v>445.62257368279364</v>
      </c>
      <c r="Q80" s="56">
        <f t="shared" si="7"/>
        <v>445.62257368279364</v>
      </c>
      <c r="R80" s="56">
        <f t="shared" si="7"/>
        <v>445.62257368279364</v>
      </c>
      <c r="S80" s="56">
        <f t="shared" si="7"/>
        <v>445.62257368279364</v>
      </c>
      <c r="T80" s="56">
        <f t="shared" si="7"/>
        <v>445.62257368279364</v>
      </c>
      <c r="U80" s="56">
        <f t="shared" si="7"/>
        <v>0</v>
      </c>
      <c r="V80" s="56">
        <f t="shared" si="7"/>
        <v>0</v>
      </c>
      <c r="W80" s="56">
        <f t="shared" si="7"/>
        <v>0</v>
      </c>
      <c r="X80" s="56">
        <f t="shared" si="7"/>
        <v>0</v>
      </c>
      <c r="Y80" s="56">
        <f t="shared" si="7"/>
        <v>0</v>
      </c>
      <c r="Z80" s="56">
        <f t="shared" si="7"/>
        <v>0</v>
      </c>
      <c r="AA80" s="56">
        <f t="shared" si="7"/>
        <v>0</v>
      </c>
      <c r="AB80" s="56">
        <f t="shared" si="7"/>
        <v>0</v>
      </c>
      <c r="AC80" s="56">
        <f t="shared" si="7"/>
        <v>0</v>
      </c>
      <c r="AD80" s="56">
        <f t="shared" si="7"/>
        <v>0</v>
      </c>
      <c r="AE80" s="56">
        <f t="shared" si="7"/>
        <v>0</v>
      </c>
      <c r="AF80" s="56">
        <f t="shared" si="7"/>
        <v>0</v>
      </c>
      <c r="AG80" s="56">
        <f t="shared" si="7"/>
        <v>0</v>
      </c>
      <c r="AH80" s="56">
        <f t="shared" si="7"/>
        <v>0</v>
      </c>
      <c r="AI80" s="56">
        <f t="shared" si="7"/>
        <v>0</v>
      </c>
      <c r="AJ80" s="56">
        <f t="shared" si="7"/>
        <v>0</v>
      </c>
      <c r="AK80" s="56">
        <f t="shared" si="7"/>
        <v>0</v>
      </c>
      <c r="AL80" s="56">
        <f t="shared" si="7"/>
        <v>0</v>
      </c>
      <c r="AM80" s="56">
        <f t="shared" si="7"/>
        <v>0</v>
      </c>
      <c r="AN80" s="56">
        <f t="shared" si="7"/>
        <v>0</v>
      </c>
      <c r="AO80" s="68">
        <f t="shared" si="7"/>
        <v>0</v>
      </c>
      <c r="AP80" s="29">
        <f t="shared" si="7"/>
        <v>0</v>
      </c>
    </row>
    <row r="81" spans="1:42" x14ac:dyDescent="0.25">
      <c r="A81" s="54"/>
      <c r="B81" s="13"/>
      <c r="C81" s="14" t="s">
        <v>214</v>
      </c>
      <c r="D81" s="14"/>
      <c r="E81" s="70" t="s">
        <v>474</v>
      </c>
      <c r="F81" s="200">
        <f>Data!$E$41/1000</f>
        <v>0</v>
      </c>
      <c r="G81" s="159"/>
      <c r="H81" s="56"/>
      <c r="I81" s="56">
        <f>I73*$F81</f>
        <v>0</v>
      </c>
      <c r="J81" s="56">
        <f t="shared" si="7"/>
        <v>0</v>
      </c>
      <c r="K81" s="56">
        <f t="shared" si="7"/>
        <v>0</v>
      </c>
      <c r="L81" s="56">
        <f t="shared" si="7"/>
        <v>0</v>
      </c>
      <c r="M81" s="56">
        <f t="shared" si="7"/>
        <v>0</v>
      </c>
      <c r="N81" s="56">
        <f t="shared" si="7"/>
        <v>0</v>
      </c>
      <c r="O81" s="56">
        <f t="shared" si="7"/>
        <v>0</v>
      </c>
      <c r="P81" s="56">
        <f t="shared" si="7"/>
        <v>0</v>
      </c>
      <c r="Q81" s="56">
        <f t="shared" si="7"/>
        <v>0</v>
      </c>
      <c r="R81" s="56">
        <f t="shared" si="7"/>
        <v>0</v>
      </c>
      <c r="S81" s="56">
        <f t="shared" si="7"/>
        <v>0</v>
      </c>
      <c r="T81" s="56">
        <f t="shared" si="7"/>
        <v>0</v>
      </c>
      <c r="U81" s="56">
        <f t="shared" si="7"/>
        <v>0</v>
      </c>
      <c r="V81" s="56">
        <f t="shared" si="7"/>
        <v>0</v>
      </c>
      <c r="W81" s="56">
        <f t="shared" si="7"/>
        <v>0</v>
      </c>
      <c r="X81" s="56">
        <f t="shared" si="7"/>
        <v>0</v>
      </c>
      <c r="Y81" s="56">
        <f t="shared" si="7"/>
        <v>0</v>
      </c>
      <c r="Z81" s="56">
        <f t="shared" si="7"/>
        <v>0</v>
      </c>
      <c r="AA81" s="56">
        <f t="shared" si="7"/>
        <v>0</v>
      </c>
      <c r="AB81" s="56">
        <f t="shared" si="7"/>
        <v>0</v>
      </c>
      <c r="AC81" s="56">
        <f t="shared" si="7"/>
        <v>0</v>
      </c>
      <c r="AD81" s="56">
        <f t="shared" si="7"/>
        <v>0</v>
      </c>
      <c r="AE81" s="56">
        <f t="shared" si="7"/>
        <v>0</v>
      </c>
      <c r="AF81" s="56">
        <f t="shared" si="7"/>
        <v>0</v>
      </c>
      <c r="AG81" s="56">
        <f t="shared" si="7"/>
        <v>0</v>
      </c>
      <c r="AH81" s="56">
        <f t="shared" si="7"/>
        <v>0</v>
      </c>
      <c r="AI81" s="56">
        <f t="shared" si="7"/>
        <v>0</v>
      </c>
      <c r="AJ81" s="56">
        <f t="shared" si="7"/>
        <v>0</v>
      </c>
      <c r="AK81" s="56">
        <f t="shared" si="7"/>
        <v>0</v>
      </c>
      <c r="AL81" s="56">
        <f t="shared" si="7"/>
        <v>0</v>
      </c>
      <c r="AM81" s="56">
        <f t="shared" si="7"/>
        <v>0</v>
      </c>
      <c r="AN81" s="56">
        <f t="shared" si="7"/>
        <v>0</v>
      </c>
      <c r="AO81" s="68">
        <f t="shared" si="7"/>
        <v>0</v>
      </c>
      <c r="AP81" s="29">
        <f t="shared" si="7"/>
        <v>0</v>
      </c>
    </row>
    <row r="82" spans="1:42" ht="13.5" customHeight="1" x14ac:dyDescent="0.25">
      <c r="A82" s="12"/>
      <c r="B82" s="13"/>
      <c r="C82" s="20" t="s">
        <v>486</v>
      </c>
      <c r="D82" s="14"/>
      <c r="E82" s="70" t="s">
        <v>474</v>
      </c>
      <c r="F82" s="16"/>
      <c r="G82" s="159"/>
      <c r="H82" s="185"/>
      <c r="I82" s="185">
        <f>SUM(I75:I81)</f>
        <v>12722.588976492678</v>
      </c>
      <c r="J82" s="185">
        <f t="shared" ref="J82:AP82" si="9">SUM(J75:J81)</f>
        <v>12754.33946796831</v>
      </c>
      <c r="K82" s="185">
        <f t="shared" si="9"/>
        <v>12782.914910296378</v>
      </c>
      <c r="L82" s="185">
        <f t="shared" si="9"/>
        <v>12814.665401772012</v>
      </c>
      <c r="M82" s="185">
        <f t="shared" si="9"/>
        <v>12846.415893247644</v>
      </c>
      <c r="N82" s="185">
        <f t="shared" si="9"/>
        <v>12878.166384723276</v>
      </c>
      <c r="O82" s="185">
        <f t="shared" si="9"/>
        <v>12906.741827051346</v>
      </c>
      <c r="P82" s="185">
        <f t="shared" si="9"/>
        <v>12925.792121936725</v>
      </c>
      <c r="Q82" s="185">
        <f t="shared" si="9"/>
        <v>12944.842416822104</v>
      </c>
      <c r="R82" s="185">
        <f t="shared" si="9"/>
        <v>12967.067760855049</v>
      </c>
      <c r="S82" s="185">
        <f t="shared" si="9"/>
        <v>12986.118055740428</v>
      </c>
      <c r="T82" s="185">
        <f t="shared" si="9"/>
        <v>13005.168350625807</v>
      </c>
      <c r="U82" s="185">
        <f t="shared" si="9"/>
        <v>0</v>
      </c>
      <c r="V82" s="185">
        <f t="shared" si="9"/>
        <v>0</v>
      </c>
      <c r="W82" s="185">
        <f t="shared" si="9"/>
        <v>0</v>
      </c>
      <c r="X82" s="185">
        <f t="shared" si="9"/>
        <v>0</v>
      </c>
      <c r="Y82" s="185">
        <f t="shared" si="9"/>
        <v>0</v>
      </c>
      <c r="Z82" s="185">
        <f t="shared" si="9"/>
        <v>0</v>
      </c>
      <c r="AA82" s="185">
        <f t="shared" si="9"/>
        <v>0</v>
      </c>
      <c r="AB82" s="185">
        <f t="shared" si="9"/>
        <v>0</v>
      </c>
      <c r="AC82" s="185">
        <f t="shared" si="9"/>
        <v>0</v>
      </c>
      <c r="AD82" s="185">
        <f t="shared" si="9"/>
        <v>0</v>
      </c>
      <c r="AE82" s="185">
        <f t="shared" si="9"/>
        <v>0</v>
      </c>
      <c r="AF82" s="185">
        <f t="shared" si="9"/>
        <v>0</v>
      </c>
      <c r="AG82" s="185">
        <f t="shared" si="9"/>
        <v>0</v>
      </c>
      <c r="AH82" s="185">
        <f t="shared" si="9"/>
        <v>0</v>
      </c>
      <c r="AI82" s="185">
        <f t="shared" si="9"/>
        <v>0</v>
      </c>
      <c r="AJ82" s="185">
        <f t="shared" si="9"/>
        <v>0</v>
      </c>
      <c r="AK82" s="185">
        <f t="shared" si="9"/>
        <v>0</v>
      </c>
      <c r="AL82" s="185">
        <f t="shared" si="9"/>
        <v>0</v>
      </c>
      <c r="AM82" s="185">
        <f t="shared" si="9"/>
        <v>0</v>
      </c>
      <c r="AN82" s="185">
        <f t="shared" si="9"/>
        <v>0</v>
      </c>
      <c r="AO82" s="185">
        <f t="shared" si="9"/>
        <v>0</v>
      </c>
      <c r="AP82" s="367">
        <f t="shared" si="9"/>
        <v>0</v>
      </c>
    </row>
    <row r="83" spans="1:42" x14ac:dyDescent="0.25">
      <c r="A83" s="12"/>
      <c r="B83" s="13"/>
      <c r="C83" s="14"/>
      <c r="D83" s="14"/>
      <c r="E83" s="15"/>
      <c r="F83" s="16"/>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366"/>
    </row>
    <row r="84" spans="1:42" x14ac:dyDescent="0.25">
      <c r="A84" s="12"/>
      <c r="B84" s="13"/>
      <c r="C84" s="14" t="s">
        <v>487</v>
      </c>
      <c r="D84" s="14"/>
      <c r="E84" s="15" t="s">
        <v>474</v>
      </c>
      <c r="F84" s="48"/>
      <c r="G84" s="185"/>
      <c r="H84" s="185"/>
      <c r="I84" s="185">
        <f>I82*Data!H$9</f>
        <v>12233.258631242958</v>
      </c>
      <c r="J84" s="185">
        <f>J82*Data!I$9</f>
        <v>11792.103798047623</v>
      </c>
      <c r="K84" s="185">
        <f>K82*Data!J$9</f>
        <v>11363.964808453624</v>
      </c>
      <c r="L84" s="185">
        <f>L82*Data!K$9</f>
        <v>10954.02969207834</v>
      </c>
      <c r="M84" s="185">
        <f>M82*Data!L$9</f>
        <v>10558.817447364387</v>
      </c>
      <c r="N84" s="185">
        <f>N82*Data!M$9</f>
        <v>10177.801958616481</v>
      </c>
      <c r="O84" s="185">
        <f>O82*Data!N$9</f>
        <v>9808.063024776462</v>
      </c>
      <c r="P84" s="185">
        <f>P82*Data!O$9</f>
        <v>9444.7496953909722</v>
      </c>
      <c r="Q84" s="185">
        <f>Q82*Data!P$9</f>
        <v>9094.8745762174203</v>
      </c>
      <c r="R84" s="185">
        <f>R82*Data!Q$9</f>
        <v>8760.0863539698494</v>
      </c>
      <c r="S84" s="185">
        <f>S82*Data!R$9</f>
        <v>8435.5346640384396</v>
      </c>
      <c r="T84" s="185">
        <f>T82*Data!S$9</f>
        <v>8122.9897810929206</v>
      </c>
      <c r="U84" s="185">
        <f>U82*Data!T$9</f>
        <v>0</v>
      </c>
      <c r="V84" s="185">
        <f>V82*Data!U$9</f>
        <v>0</v>
      </c>
      <c r="W84" s="185">
        <f>W82*Data!V$9</f>
        <v>0</v>
      </c>
      <c r="X84" s="185">
        <f>X82*Data!W$9</f>
        <v>0</v>
      </c>
      <c r="Y84" s="185">
        <f>Y82*Data!X$9</f>
        <v>0</v>
      </c>
      <c r="Z84" s="185">
        <f>Z82*Data!Y$9</f>
        <v>0</v>
      </c>
      <c r="AA84" s="185">
        <f>AA82*Data!Z$9</f>
        <v>0</v>
      </c>
      <c r="AB84" s="185">
        <f>AB82*Data!AA$9</f>
        <v>0</v>
      </c>
      <c r="AC84" s="185">
        <f>AC82*Data!AB$9</f>
        <v>0</v>
      </c>
      <c r="AD84" s="185">
        <f>AD82*Data!AC$9</f>
        <v>0</v>
      </c>
      <c r="AE84" s="185">
        <f>AE82*Data!AD$9</f>
        <v>0</v>
      </c>
      <c r="AF84" s="185">
        <f>AF82*Data!AE$9</f>
        <v>0</v>
      </c>
      <c r="AG84" s="185">
        <f>AG82*Data!AF$9</f>
        <v>0</v>
      </c>
      <c r="AH84" s="185">
        <f>AH82*Data!AG$9</f>
        <v>0</v>
      </c>
      <c r="AI84" s="185">
        <f>AI82*Data!AH$9</f>
        <v>0</v>
      </c>
      <c r="AJ84" s="185">
        <f>AJ82*Data!AI$9</f>
        <v>0</v>
      </c>
      <c r="AK84" s="185">
        <f>AK82*Data!AJ$9</f>
        <v>0</v>
      </c>
      <c r="AL84" s="185">
        <f>AL82*Data!AK$9</f>
        <v>0</v>
      </c>
      <c r="AM84" s="185">
        <f>AM82*Data!AL$9</f>
        <v>0</v>
      </c>
      <c r="AN84" s="185">
        <f>AN82*Data!AM$9</f>
        <v>0</v>
      </c>
      <c r="AO84" s="185">
        <f>AO82*Data!AN$9</f>
        <v>0</v>
      </c>
      <c r="AP84" s="367">
        <f>AP82*Data!AO$9</f>
        <v>0</v>
      </c>
    </row>
    <row r="85" spans="1:42" x14ac:dyDescent="0.25">
      <c r="A85" s="12"/>
      <c r="B85" s="13"/>
      <c r="C85" s="14" t="s">
        <v>488</v>
      </c>
      <c r="D85" s="13"/>
      <c r="E85" s="15" t="s">
        <v>142</v>
      </c>
      <c r="F85" s="16"/>
      <c r="G85" s="159">
        <f>SUM(H84:AP84)</f>
        <v>120746.27443128949</v>
      </c>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7"/>
    </row>
    <row r="86" spans="1:42" x14ac:dyDescent="0.25">
      <c r="A86" s="12"/>
      <c r="B86" s="13"/>
      <c r="C86" s="20" t="s">
        <v>489</v>
      </c>
      <c r="D86" s="19"/>
      <c r="E86" s="15" t="s">
        <v>261</v>
      </c>
      <c r="F86" s="16"/>
      <c r="G86" s="183">
        <f>G85/(SUM(H33:AE33))</f>
        <v>3.2250607486989713</v>
      </c>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7"/>
    </row>
    <row r="87" spans="1:42" x14ac:dyDescent="0.25">
      <c r="A87" s="12"/>
      <c r="B87" s="13"/>
      <c r="C87" s="20"/>
      <c r="D87" s="19"/>
      <c r="E87" s="15"/>
      <c r="F87" s="16"/>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7"/>
    </row>
    <row r="88" spans="1:42" x14ac:dyDescent="0.25">
      <c r="A88" s="12"/>
      <c r="B88" s="13"/>
      <c r="C88" s="37" t="s">
        <v>490</v>
      </c>
      <c r="D88" s="37"/>
      <c r="E88" s="87"/>
      <c r="F88" s="39"/>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17"/>
    </row>
    <row r="89" spans="1:42" x14ac:dyDescent="0.25">
      <c r="A89" s="12"/>
      <c r="B89" s="13"/>
      <c r="C89" s="45"/>
      <c r="D89" s="45"/>
      <c r="E89" s="84"/>
      <c r="F89" s="16"/>
      <c r="G89" s="14"/>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360"/>
      <c r="AP89" s="29"/>
    </row>
    <row r="90" spans="1:42" x14ac:dyDescent="0.25">
      <c r="A90" s="12"/>
      <c r="B90" s="13"/>
      <c r="C90" s="45"/>
      <c r="D90" s="45"/>
      <c r="E90" s="84"/>
      <c r="F90" s="16"/>
      <c r="G90" s="14"/>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360"/>
      <c r="AP90" s="29"/>
    </row>
    <row r="91" spans="1:42" x14ac:dyDescent="0.25">
      <c r="A91" s="12"/>
      <c r="B91" s="13"/>
      <c r="C91" s="14" t="s">
        <v>491</v>
      </c>
      <c r="D91" s="45"/>
      <c r="E91" s="84"/>
      <c r="F91" s="212">
        <f>Dashboard!I73</f>
        <v>0.7</v>
      </c>
      <c r="G91" s="14"/>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360"/>
      <c r="AP91" s="29"/>
    </row>
    <row r="92" spans="1:42" x14ac:dyDescent="0.25">
      <c r="A92" s="12"/>
      <c r="B92" s="13"/>
      <c r="C92" s="14" t="s">
        <v>492</v>
      </c>
      <c r="D92" s="45"/>
      <c r="E92" s="84"/>
      <c r="F92" s="158">
        <f>Data!E630</f>
        <v>1.51</v>
      </c>
      <c r="G92" s="14"/>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360"/>
      <c r="AP92" s="29"/>
    </row>
    <row r="93" spans="1:42" x14ac:dyDescent="0.25">
      <c r="A93" s="12"/>
      <c r="B93" s="13"/>
      <c r="C93" s="14" t="s">
        <v>493</v>
      </c>
      <c r="D93" s="45"/>
      <c r="E93" s="84" t="s">
        <v>494</v>
      </c>
      <c r="F93" s="211">
        <f>((INDEX('Control panel'!E24:E26,MATCH(Route!F40,'Control panel'!C24:C26,0))/F92)*F91)</f>
        <v>3.1986754966887414</v>
      </c>
      <c r="G93" s="14"/>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360"/>
      <c r="AP93" s="29"/>
    </row>
    <row r="94" spans="1:42" x14ac:dyDescent="0.25">
      <c r="A94" s="12"/>
      <c r="B94" s="13"/>
      <c r="C94" s="14" t="s">
        <v>495</v>
      </c>
      <c r="D94" s="45"/>
      <c r="E94" s="84"/>
      <c r="F94" s="211">
        <f>F93*INDEX('Control panel'!D24:D26,MATCH(Route!F40,'Control panel'!C24:C26,0))</f>
        <v>15.179711421581533</v>
      </c>
      <c r="G94" s="14"/>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360"/>
      <c r="AP94" s="29"/>
    </row>
    <row r="95" spans="1:42" x14ac:dyDescent="0.25">
      <c r="A95" s="12"/>
      <c r="B95" s="13"/>
      <c r="C95" s="14" t="s">
        <v>496</v>
      </c>
      <c r="D95" s="45"/>
      <c r="E95" s="84" t="s">
        <v>116</v>
      </c>
      <c r="F95" s="213">
        <f>Dashboard!I70*Route!F34</f>
        <v>520</v>
      </c>
      <c r="G95" s="14"/>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360"/>
      <c r="AP95" s="29"/>
    </row>
    <row r="96" spans="1:42" x14ac:dyDescent="0.25">
      <c r="A96" s="12"/>
      <c r="B96" s="13"/>
      <c r="C96" s="14" t="s">
        <v>497</v>
      </c>
      <c r="D96" s="45"/>
      <c r="E96" s="84" t="s">
        <v>112</v>
      </c>
      <c r="F96" s="275">
        <f>F95*F94</f>
        <v>7893.449939222397</v>
      </c>
      <c r="G96" s="14"/>
      <c r="H96" s="177"/>
      <c r="I96" s="150">
        <f>$F$96</f>
        <v>7893.449939222397</v>
      </c>
      <c r="J96" s="150">
        <f t="shared" ref="J96:AO96" si="10">$F$96</f>
        <v>7893.449939222397</v>
      </c>
      <c r="K96" s="150">
        <f t="shared" si="10"/>
        <v>7893.449939222397</v>
      </c>
      <c r="L96" s="150">
        <f t="shared" si="10"/>
        <v>7893.449939222397</v>
      </c>
      <c r="M96" s="150">
        <f t="shared" si="10"/>
        <v>7893.449939222397</v>
      </c>
      <c r="N96" s="150">
        <f t="shared" si="10"/>
        <v>7893.449939222397</v>
      </c>
      <c r="O96" s="150">
        <f t="shared" si="10"/>
        <v>7893.449939222397</v>
      </c>
      <c r="P96" s="150">
        <f t="shared" si="10"/>
        <v>7893.449939222397</v>
      </c>
      <c r="Q96" s="150">
        <f t="shared" si="10"/>
        <v>7893.449939222397</v>
      </c>
      <c r="R96" s="150">
        <f t="shared" si="10"/>
        <v>7893.449939222397</v>
      </c>
      <c r="S96" s="150">
        <f t="shared" si="10"/>
        <v>7893.449939222397</v>
      </c>
      <c r="T96" s="150">
        <f t="shared" si="10"/>
        <v>7893.449939222397</v>
      </c>
      <c r="U96" s="150">
        <f t="shared" si="10"/>
        <v>7893.449939222397</v>
      </c>
      <c r="V96" s="150">
        <f t="shared" si="10"/>
        <v>7893.449939222397</v>
      </c>
      <c r="W96" s="150">
        <f t="shared" si="10"/>
        <v>7893.449939222397</v>
      </c>
      <c r="X96" s="150">
        <f t="shared" si="10"/>
        <v>7893.449939222397</v>
      </c>
      <c r="Y96" s="150">
        <f t="shared" si="10"/>
        <v>7893.449939222397</v>
      </c>
      <c r="Z96" s="150">
        <f t="shared" si="10"/>
        <v>7893.449939222397</v>
      </c>
      <c r="AA96" s="150">
        <f t="shared" si="10"/>
        <v>7893.449939222397</v>
      </c>
      <c r="AB96" s="150">
        <f t="shared" si="10"/>
        <v>7893.449939222397</v>
      </c>
      <c r="AC96" s="150">
        <f t="shared" si="10"/>
        <v>7893.449939222397</v>
      </c>
      <c r="AD96" s="150">
        <f t="shared" si="10"/>
        <v>7893.449939222397</v>
      </c>
      <c r="AE96" s="150">
        <f t="shared" si="10"/>
        <v>7893.449939222397</v>
      </c>
      <c r="AF96" s="150">
        <f t="shared" si="10"/>
        <v>7893.449939222397</v>
      </c>
      <c r="AG96" s="150">
        <f t="shared" si="10"/>
        <v>7893.449939222397</v>
      </c>
      <c r="AH96" s="150">
        <f t="shared" si="10"/>
        <v>7893.449939222397</v>
      </c>
      <c r="AI96" s="150">
        <f t="shared" si="10"/>
        <v>7893.449939222397</v>
      </c>
      <c r="AJ96" s="150">
        <f t="shared" si="10"/>
        <v>7893.449939222397</v>
      </c>
      <c r="AK96" s="150">
        <f t="shared" si="10"/>
        <v>7893.449939222397</v>
      </c>
      <c r="AL96" s="150">
        <f t="shared" si="10"/>
        <v>7893.449939222397</v>
      </c>
      <c r="AM96" s="150">
        <f t="shared" si="10"/>
        <v>7893.449939222397</v>
      </c>
      <c r="AN96" s="150">
        <f t="shared" si="10"/>
        <v>7893.449939222397</v>
      </c>
      <c r="AO96" s="368">
        <f t="shared" si="10"/>
        <v>7893.449939222397</v>
      </c>
      <c r="AP96" s="29"/>
    </row>
    <row r="97" spans="1:42" x14ac:dyDescent="0.25">
      <c r="A97" s="12"/>
      <c r="B97" s="13"/>
      <c r="C97" s="14"/>
      <c r="D97" s="45"/>
      <c r="E97" s="84"/>
      <c r="F97" s="275"/>
      <c r="G97" s="14"/>
      <c r="H97" s="177"/>
      <c r="I97" s="177">
        <f>IF(COUNT($I$3:I$3)&lt;=(Dashboard!$I$31),I96,0)</f>
        <v>7893.449939222397</v>
      </c>
      <c r="J97" s="177">
        <f>IF(COUNT($I$3:J$3)&lt;=(Dashboard!$I$31),J96,0)</f>
        <v>7893.449939222397</v>
      </c>
      <c r="K97" s="177">
        <f>IF(COUNT($I$3:K$3)&lt;=(Dashboard!$I$31),K96,0)</f>
        <v>7893.449939222397</v>
      </c>
      <c r="L97" s="177">
        <f>IF(COUNT($I$3:L$3)&lt;=(Dashboard!$I$31),L96,0)</f>
        <v>7893.449939222397</v>
      </c>
      <c r="M97" s="177">
        <f>IF(COUNT($I$3:M$3)&lt;=(Dashboard!$I$31),M96,0)</f>
        <v>7893.449939222397</v>
      </c>
      <c r="N97" s="177">
        <f>IF(COUNT($I$3:N$3)&lt;=(Dashboard!$I$31),N96,0)</f>
        <v>7893.449939222397</v>
      </c>
      <c r="O97" s="177">
        <f>IF(COUNT($I$3:O$3)&lt;=(Dashboard!$I$31),O96,0)</f>
        <v>7893.449939222397</v>
      </c>
      <c r="P97" s="177">
        <f>IF(COUNT($I$3:P$3)&lt;=(Dashboard!$I$31),P96,0)</f>
        <v>7893.449939222397</v>
      </c>
      <c r="Q97" s="177">
        <f>IF(COUNT($I$3:Q$3)&lt;=(Dashboard!$I$31),Q96,0)</f>
        <v>7893.449939222397</v>
      </c>
      <c r="R97" s="177">
        <f>IF(COUNT($I$3:R$3)&lt;=(Dashboard!$I$31),R96,0)</f>
        <v>7893.449939222397</v>
      </c>
      <c r="S97" s="177">
        <f>IF(COUNT($I$3:S$3)&lt;=(Dashboard!$I$31),S96,0)</f>
        <v>7893.449939222397</v>
      </c>
      <c r="T97" s="177">
        <f>IF(COUNT($I$3:T$3)&lt;=(Dashboard!$I$31),T96,0)</f>
        <v>7893.449939222397</v>
      </c>
      <c r="U97" s="177">
        <f>IF(COUNT($I$3:U$3)&lt;=(Dashboard!$I$31),U96,0)</f>
        <v>0</v>
      </c>
      <c r="V97" s="177">
        <f>IF(COUNT($I$3:V$3)&lt;=(Dashboard!$I$31),V96,0)</f>
        <v>0</v>
      </c>
      <c r="W97" s="177">
        <f>IF(COUNT($I$3:W$3)&lt;=(Dashboard!$I$31),W96,0)</f>
        <v>0</v>
      </c>
      <c r="X97" s="177">
        <f>IF(COUNT($I$3:X$3)&lt;=(Dashboard!$I$31),X96,0)</f>
        <v>0</v>
      </c>
      <c r="Y97" s="177">
        <f>IF(COUNT($I$3:Y$3)&lt;=(Dashboard!$I$31),Y96,0)</f>
        <v>0</v>
      </c>
      <c r="Z97" s="177">
        <f>IF(COUNT($I$3:Z$3)&lt;=(Dashboard!$I$31),Z96,0)</f>
        <v>0</v>
      </c>
      <c r="AA97" s="177">
        <f>IF(COUNT($I$3:AA$3)&lt;=(Dashboard!$I$31),AA96,0)</f>
        <v>0</v>
      </c>
      <c r="AB97" s="177">
        <f>IF(COUNT($I$3:AB$3)&lt;=(Dashboard!$I$31),AB96,0)</f>
        <v>0</v>
      </c>
      <c r="AC97" s="177">
        <f>IF(COUNT($I$3:AC$3)&lt;=(Dashboard!$I$31),AC96,0)</f>
        <v>0</v>
      </c>
      <c r="AD97" s="177">
        <f>IF(COUNT($I$3:AD$3)&lt;=(Dashboard!$I$31),AD96,0)</f>
        <v>0</v>
      </c>
      <c r="AE97" s="177">
        <f>IF(COUNT($I$3:AE$3)&lt;=(Dashboard!$I$31),AE96,0)</f>
        <v>0</v>
      </c>
      <c r="AF97" s="177">
        <f>IF(COUNT($I$3:AF$3)&lt;=(Dashboard!$I$31),AF96,0)</f>
        <v>0</v>
      </c>
      <c r="AG97" s="177">
        <f>IF(COUNT($I$3:AG$3)&lt;=(Dashboard!$I$31),AG96,0)</f>
        <v>0</v>
      </c>
      <c r="AH97" s="177">
        <f>IF(COUNT($I$3:AH$3)&lt;=(Dashboard!$I$31),AH96,0)</f>
        <v>0</v>
      </c>
      <c r="AI97" s="177">
        <f>IF(COUNT($I$3:AI$3)&lt;=(Dashboard!$I$31),AI96,0)</f>
        <v>0</v>
      </c>
      <c r="AJ97" s="177">
        <f>IF(COUNT($I$3:AJ$3)&lt;=(Dashboard!$I$31),AJ96,0)</f>
        <v>0</v>
      </c>
      <c r="AK97" s="177">
        <f>IF(COUNT($I$3:AK$3)&lt;=(Dashboard!$I$31),AK96,0)</f>
        <v>0</v>
      </c>
      <c r="AL97" s="177">
        <f>IF(COUNT($I$3:AL$3)&lt;=(Dashboard!$I$31),AL96,0)</f>
        <v>0</v>
      </c>
      <c r="AM97" s="177">
        <f>IF(COUNT($I$3:AM$3)&lt;=(Dashboard!$I$31),AM96,0)</f>
        <v>0</v>
      </c>
      <c r="AN97" s="177">
        <f>IF(COUNT($I$3:AN$3)&lt;=(Dashboard!$I$31),AN96,0)</f>
        <v>0</v>
      </c>
      <c r="AO97" s="360">
        <f>IF(COUNT($I$3:AO$3)&lt;=(Dashboard!$I$31),AO96,0)</f>
        <v>0</v>
      </c>
      <c r="AP97" s="29"/>
    </row>
    <row r="98" spans="1:42" x14ac:dyDescent="0.25">
      <c r="A98" s="12"/>
      <c r="B98" s="13"/>
      <c r="C98" s="37" t="s">
        <v>498</v>
      </c>
      <c r="D98" s="37"/>
      <c r="E98" s="87"/>
      <c r="F98" s="39"/>
      <c r="G98" s="40"/>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c r="AL98" s="281"/>
      <c r="AM98" s="281"/>
      <c r="AN98" s="281"/>
      <c r="AO98" s="281"/>
      <c r="AP98" s="17"/>
    </row>
    <row r="99" spans="1:42" x14ac:dyDescent="0.25">
      <c r="A99" s="12"/>
      <c r="B99" s="13"/>
      <c r="C99" s="14"/>
      <c r="D99" s="14"/>
      <c r="E99" s="84"/>
      <c r="F99" s="48"/>
      <c r="G99" s="14"/>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17"/>
    </row>
    <row r="100" spans="1:42" x14ac:dyDescent="0.25">
      <c r="A100" s="12"/>
      <c r="B100" s="13"/>
      <c r="C100" s="14" t="s">
        <v>499</v>
      </c>
      <c r="D100" s="14"/>
      <c r="E100" s="84"/>
      <c r="F100" s="48"/>
      <c r="G100" s="14"/>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17"/>
    </row>
    <row r="101" spans="1:42" x14ac:dyDescent="0.25">
      <c r="A101" s="12"/>
      <c r="B101" s="13"/>
      <c r="C101" s="14" t="s">
        <v>283</v>
      </c>
      <c r="D101" s="14"/>
      <c r="E101" s="70" t="s">
        <v>352</v>
      </c>
      <c r="F101" s="276">
        <f>Data!E633/1000</f>
        <v>2.6375202808244101E-3</v>
      </c>
      <c r="G101" s="14"/>
      <c r="H101" s="219"/>
      <c r="I101" s="282">
        <f t="shared" ref="I101:I107" si="11">$F101*I$97</f>
        <v>20.819134300371278</v>
      </c>
      <c r="J101" s="282">
        <f t="shared" ref="J101:AO107" si="12">$F101*J$97</f>
        <v>20.819134300371278</v>
      </c>
      <c r="K101" s="282">
        <f t="shared" si="12"/>
        <v>20.819134300371278</v>
      </c>
      <c r="L101" s="282">
        <f t="shared" si="12"/>
        <v>20.819134300371278</v>
      </c>
      <c r="M101" s="282">
        <f t="shared" si="12"/>
        <v>20.819134300371278</v>
      </c>
      <c r="N101" s="282">
        <f t="shared" si="12"/>
        <v>20.819134300371278</v>
      </c>
      <c r="O101" s="282">
        <f t="shared" si="12"/>
        <v>20.819134300371278</v>
      </c>
      <c r="P101" s="282">
        <f t="shared" si="12"/>
        <v>20.819134300371278</v>
      </c>
      <c r="Q101" s="282">
        <f t="shared" si="12"/>
        <v>20.819134300371278</v>
      </c>
      <c r="R101" s="282">
        <f t="shared" si="12"/>
        <v>20.819134300371278</v>
      </c>
      <c r="S101" s="282">
        <f t="shared" si="12"/>
        <v>20.819134300371278</v>
      </c>
      <c r="T101" s="282">
        <f t="shared" si="12"/>
        <v>20.819134300371278</v>
      </c>
      <c r="U101" s="282">
        <f t="shared" si="12"/>
        <v>0</v>
      </c>
      <c r="V101" s="282">
        <f t="shared" si="12"/>
        <v>0</v>
      </c>
      <c r="W101" s="282">
        <f t="shared" si="12"/>
        <v>0</v>
      </c>
      <c r="X101" s="282">
        <f t="shared" si="12"/>
        <v>0</v>
      </c>
      <c r="Y101" s="282">
        <f t="shared" si="12"/>
        <v>0</v>
      </c>
      <c r="Z101" s="282">
        <f t="shared" si="12"/>
        <v>0</v>
      </c>
      <c r="AA101" s="282">
        <f t="shared" si="12"/>
        <v>0</v>
      </c>
      <c r="AB101" s="282">
        <f t="shared" si="12"/>
        <v>0</v>
      </c>
      <c r="AC101" s="282">
        <f t="shared" si="12"/>
        <v>0</v>
      </c>
      <c r="AD101" s="282">
        <f t="shared" si="12"/>
        <v>0</v>
      </c>
      <c r="AE101" s="282">
        <f t="shared" si="12"/>
        <v>0</v>
      </c>
      <c r="AF101" s="282">
        <f t="shared" si="12"/>
        <v>0</v>
      </c>
      <c r="AG101" s="282">
        <f t="shared" si="12"/>
        <v>0</v>
      </c>
      <c r="AH101" s="282">
        <f t="shared" si="12"/>
        <v>0</v>
      </c>
      <c r="AI101" s="282">
        <f t="shared" si="12"/>
        <v>0</v>
      </c>
      <c r="AJ101" s="282">
        <f t="shared" si="12"/>
        <v>0</v>
      </c>
      <c r="AK101" s="282">
        <f t="shared" si="12"/>
        <v>0</v>
      </c>
      <c r="AL101" s="282">
        <f t="shared" si="12"/>
        <v>0</v>
      </c>
      <c r="AM101" s="282">
        <f t="shared" si="12"/>
        <v>0</v>
      </c>
      <c r="AN101" s="282">
        <f t="shared" si="12"/>
        <v>0</v>
      </c>
      <c r="AO101" s="282">
        <f t="shared" si="12"/>
        <v>0</v>
      </c>
      <c r="AP101" s="17"/>
    </row>
    <row r="102" spans="1:42" x14ac:dyDescent="0.25">
      <c r="A102" s="12"/>
      <c r="B102" s="13"/>
      <c r="C102" s="14" t="s">
        <v>284</v>
      </c>
      <c r="D102" s="14"/>
      <c r="E102" s="70" t="s">
        <v>352</v>
      </c>
      <c r="F102" s="276">
        <f>Data!E634/1000</f>
        <v>0.23163813786582532</v>
      </c>
      <c r="G102" s="14"/>
      <c r="H102" s="219"/>
      <c r="I102" s="282">
        <f>$F102*I$97</f>
        <v>1828.4240452585882</v>
      </c>
      <c r="J102" s="282">
        <f t="shared" ref="J102:X102" si="13">$F102*J$97</f>
        <v>1828.4240452585882</v>
      </c>
      <c r="K102" s="282">
        <f t="shared" si="13"/>
        <v>1828.4240452585882</v>
      </c>
      <c r="L102" s="282">
        <f t="shared" si="13"/>
        <v>1828.4240452585882</v>
      </c>
      <c r="M102" s="282">
        <f t="shared" si="13"/>
        <v>1828.4240452585882</v>
      </c>
      <c r="N102" s="282">
        <f t="shared" si="13"/>
        <v>1828.4240452585882</v>
      </c>
      <c r="O102" s="282">
        <f t="shared" si="13"/>
        <v>1828.4240452585882</v>
      </c>
      <c r="P102" s="282">
        <f t="shared" si="13"/>
        <v>1828.4240452585882</v>
      </c>
      <c r="Q102" s="282">
        <f t="shared" si="13"/>
        <v>1828.4240452585882</v>
      </c>
      <c r="R102" s="282">
        <f t="shared" si="13"/>
        <v>1828.4240452585882</v>
      </c>
      <c r="S102" s="282">
        <f t="shared" si="13"/>
        <v>1828.4240452585882</v>
      </c>
      <c r="T102" s="282">
        <f t="shared" si="13"/>
        <v>1828.4240452585882</v>
      </c>
      <c r="U102" s="282">
        <f t="shared" si="13"/>
        <v>0</v>
      </c>
      <c r="V102" s="282">
        <f t="shared" si="13"/>
        <v>0</v>
      </c>
      <c r="W102" s="282">
        <f t="shared" si="13"/>
        <v>0</v>
      </c>
      <c r="X102" s="282">
        <f t="shared" si="13"/>
        <v>0</v>
      </c>
      <c r="Y102" s="282">
        <f t="shared" si="12"/>
        <v>0</v>
      </c>
      <c r="Z102" s="282">
        <f t="shared" si="12"/>
        <v>0</v>
      </c>
      <c r="AA102" s="282">
        <f t="shared" si="12"/>
        <v>0</v>
      </c>
      <c r="AB102" s="282">
        <f t="shared" si="12"/>
        <v>0</v>
      </c>
      <c r="AC102" s="282">
        <f t="shared" si="12"/>
        <v>0</v>
      </c>
      <c r="AD102" s="282">
        <f t="shared" si="12"/>
        <v>0</v>
      </c>
      <c r="AE102" s="282">
        <f t="shared" si="12"/>
        <v>0</v>
      </c>
      <c r="AF102" s="282">
        <f t="shared" si="12"/>
        <v>0</v>
      </c>
      <c r="AG102" s="282">
        <f t="shared" si="12"/>
        <v>0</v>
      </c>
      <c r="AH102" s="282">
        <f t="shared" si="12"/>
        <v>0</v>
      </c>
      <c r="AI102" s="282">
        <f t="shared" si="12"/>
        <v>0</v>
      </c>
      <c r="AJ102" s="282">
        <f t="shared" si="12"/>
        <v>0</v>
      </c>
      <c r="AK102" s="282">
        <f t="shared" si="12"/>
        <v>0</v>
      </c>
      <c r="AL102" s="282">
        <f t="shared" si="12"/>
        <v>0</v>
      </c>
      <c r="AM102" s="282">
        <f t="shared" si="12"/>
        <v>0</v>
      </c>
      <c r="AN102" s="282">
        <f t="shared" si="12"/>
        <v>0</v>
      </c>
      <c r="AO102" s="282">
        <f t="shared" si="12"/>
        <v>0</v>
      </c>
      <c r="AP102" s="17"/>
    </row>
    <row r="103" spans="1:42" x14ac:dyDescent="0.25">
      <c r="A103" s="12"/>
      <c r="B103" s="13"/>
      <c r="C103" s="14" t="s">
        <v>285</v>
      </c>
      <c r="D103" s="14"/>
      <c r="E103" s="70" t="s">
        <v>352</v>
      </c>
      <c r="F103" s="276">
        <f>Data!E635/1000</f>
        <v>1.7166394537127891E-4</v>
      </c>
      <c r="G103" s="14"/>
      <c r="H103" s="219"/>
      <c r="I103" s="282">
        <f t="shared" si="11"/>
        <v>1.3550207591575985</v>
      </c>
      <c r="J103" s="282">
        <f t="shared" si="12"/>
        <v>1.3550207591575985</v>
      </c>
      <c r="K103" s="282">
        <f t="shared" si="12"/>
        <v>1.3550207591575985</v>
      </c>
      <c r="L103" s="282">
        <f t="shared" si="12"/>
        <v>1.3550207591575985</v>
      </c>
      <c r="M103" s="282">
        <f t="shared" si="12"/>
        <v>1.3550207591575985</v>
      </c>
      <c r="N103" s="282">
        <f t="shared" si="12"/>
        <v>1.3550207591575985</v>
      </c>
      <c r="O103" s="282">
        <f t="shared" si="12"/>
        <v>1.3550207591575985</v>
      </c>
      <c r="P103" s="282">
        <f t="shared" si="12"/>
        <v>1.3550207591575985</v>
      </c>
      <c r="Q103" s="282">
        <f t="shared" si="12"/>
        <v>1.3550207591575985</v>
      </c>
      <c r="R103" s="282">
        <f t="shared" si="12"/>
        <v>1.3550207591575985</v>
      </c>
      <c r="S103" s="282">
        <f t="shared" si="12"/>
        <v>1.3550207591575985</v>
      </c>
      <c r="T103" s="282">
        <f t="shared" si="12"/>
        <v>1.3550207591575985</v>
      </c>
      <c r="U103" s="282">
        <f t="shared" si="12"/>
        <v>0</v>
      </c>
      <c r="V103" s="282">
        <f t="shared" si="12"/>
        <v>0</v>
      </c>
      <c r="W103" s="282">
        <f t="shared" si="12"/>
        <v>0</v>
      </c>
      <c r="X103" s="282">
        <f t="shared" si="12"/>
        <v>0</v>
      </c>
      <c r="Y103" s="282">
        <f t="shared" si="12"/>
        <v>0</v>
      </c>
      <c r="Z103" s="282">
        <f t="shared" si="12"/>
        <v>0</v>
      </c>
      <c r="AA103" s="282">
        <f t="shared" si="12"/>
        <v>0</v>
      </c>
      <c r="AB103" s="282">
        <f t="shared" si="12"/>
        <v>0</v>
      </c>
      <c r="AC103" s="282">
        <f t="shared" si="12"/>
        <v>0</v>
      </c>
      <c r="AD103" s="282">
        <f t="shared" si="12"/>
        <v>0</v>
      </c>
      <c r="AE103" s="282">
        <f t="shared" si="12"/>
        <v>0</v>
      </c>
      <c r="AF103" s="282">
        <f t="shared" si="12"/>
        <v>0</v>
      </c>
      <c r="AG103" s="282">
        <f t="shared" si="12"/>
        <v>0</v>
      </c>
      <c r="AH103" s="282">
        <f t="shared" si="12"/>
        <v>0</v>
      </c>
      <c r="AI103" s="282">
        <f t="shared" si="12"/>
        <v>0</v>
      </c>
      <c r="AJ103" s="282">
        <f t="shared" si="12"/>
        <v>0</v>
      </c>
      <c r="AK103" s="282">
        <f t="shared" si="12"/>
        <v>0</v>
      </c>
      <c r="AL103" s="282">
        <f t="shared" si="12"/>
        <v>0</v>
      </c>
      <c r="AM103" s="282">
        <f t="shared" si="12"/>
        <v>0</v>
      </c>
      <c r="AN103" s="282">
        <f t="shared" si="12"/>
        <v>0</v>
      </c>
      <c r="AO103" s="282">
        <f t="shared" si="12"/>
        <v>0</v>
      </c>
      <c r="AP103" s="17"/>
    </row>
    <row r="104" spans="1:42" x14ac:dyDescent="0.25">
      <c r="A104" s="12"/>
      <c r="B104" s="13"/>
      <c r="C104" s="14" t="s">
        <v>220</v>
      </c>
      <c r="D104" s="14"/>
      <c r="E104" s="70" t="s">
        <v>352</v>
      </c>
      <c r="F104" s="276">
        <f>Data!E636/1000</f>
        <v>4.3699871270386713E-4</v>
      </c>
      <c r="G104" s="14"/>
      <c r="H104" s="219"/>
      <c r="I104" s="282">
        <f t="shared" si="11"/>
        <v>3.4494274622326055</v>
      </c>
      <c r="J104" s="282">
        <f t="shared" si="12"/>
        <v>3.4494274622326055</v>
      </c>
      <c r="K104" s="282">
        <f t="shared" si="12"/>
        <v>3.4494274622326055</v>
      </c>
      <c r="L104" s="282">
        <f t="shared" si="12"/>
        <v>3.4494274622326055</v>
      </c>
      <c r="M104" s="282">
        <f t="shared" si="12"/>
        <v>3.4494274622326055</v>
      </c>
      <c r="N104" s="282">
        <f t="shared" si="12"/>
        <v>3.4494274622326055</v>
      </c>
      <c r="O104" s="282">
        <f t="shared" si="12"/>
        <v>3.4494274622326055</v>
      </c>
      <c r="P104" s="282">
        <f t="shared" si="12"/>
        <v>3.4494274622326055</v>
      </c>
      <c r="Q104" s="282">
        <f t="shared" si="12"/>
        <v>3.4494274622326055</v>
      </c>
      <c r="R104" s="282">
        <f t="shared" si="12"/>
        <v>3.4494274622326055</v>
      </c>
      <c r="S104" s="282">
        <f t="shared" si="12"/>
        <v>3.4494274622326055</v>
      </c>
      <c r="T104" s="282">
        <f t="shared" si="12"/>
        <v>3.4494274622326055</v>
      </c>
      <c r="U104" s="282">
        <f t="shared" si="12"/>
        <v>0</v>
      </c>
      <c r="V104" s="282">
        <f t="shared" si="12"/>
        <v>0</v>
      </c>
      <c r="W104" s="282">
        <f t="shared" si="12"/>
        <v>0</v>
      </c>
      <c r="X104" s="282">
        <f t="shared" si="12"/>
        <v>0</v>
      </c>
      <c r="Y104" s="282">
        <f t="shared" si="12"/>
        <v>0</v>
      </c>
      <c r="Z104" s="282">
        <f t="shared" si="12"/>
        <v>0</v>
      </c>
      <c r="AA104" s="282">
        <f t="shared" si="12"/>
        <v>0</v>
      </c>
      <c r="AB104" s="282">
        <f t="shared" si="12"/>
        <v>0</v>
      </c>
      <c r="AC104" s="282">
        <f t="shared" si="12"/>
        <v>0</v>
      </c>
      <c r="AD104" s="282">
        <f t="shared" si="12"/>
        <v>0</v>
      </c>
      <c r="AE104" s="282">
        <f t="shared" si="12"/>
        <v>0</v>
      </c>
      <c r="AF104" s="282">
        <f t="shared" si="12"/>
        <v>0</v>
      </c>
      <c r="AG104" s="282">
        <f t="shared" si="12"/>
        <v>0</v>
      </c>
      <c r="AH104" s="282">
        <f t="shared" si="12"/>
        <v>0</v>
      </c>
      <c r="AI104" s="282">
        <f t="shared" si="12"/>
        <v>0</v>
      </c>
      <c r="AJ104" s="282">
        <f t="shared" si="12"/>
        <v>0</v>
      </c>
      <c r="AK104" s="282">
        <f t="shared" si="12"/>
        <v>0</v>
      </c>
      <c r="AL104" s="282">
        <f t="shared" si="12"/>
        <v>0</v>
      </c>
      <c r="AM104" s="282">
        <f t="shared" si="12"/>
        <v>0</v>
      </c>
      <c r="AN104" s="282">
        <f t="shared" si="12"/>
        <v>0</v>
      </c>
      <c r="AO104" s="282">
        <f t="shared" si="12"/>
        <v>0</v>
      </c>
      <c r="AP104" s="17"/>
    </row>
    <row r="105" spans="1:42" x14ac:dyDescent="0.25">
      <c r="A105" s="12"/>
      <c r="B105" s="13"/>
      <c r="C105" s="14" t="s">
        <v>212</v>
      </c>
      <c r="D105" s="14"/>
      <c r="E105" s="70" t="s">
        <v>352</v>
      </c>
      <c r="F105" s="276">
        <f>Data!E637/1000</f>
        <v>1.2794648495232454E-4</v>
      </c>
      <c r="G105" s="14"/>
      <c r="H105" s="219"/>
      <c r="I105" s="282">
        <f t="shared" si="11"/>
        <v>1.0099391738706454</v>
      </c>
      <c r="J105" s="282">
        <f t="shared" si="12"/>
        <v>1.0099391738706454</v>
      </c>
      <c r="K105" s="282">
        <f t="shared" si="12"/>
        <v>1.0099391738706454</v>
      </c>
      <c r="L105" s="282">
        <f t="shared" si="12"/>
        <v>1.0099391738706454</v>
      </c>
      <c r="M105" s="282">
        <f t="shared" si="12"/>
        <v>1.0099391738706454</v>
      </c>
      <c r="N105" s="282">
        <f t="shared" si="12"/>
        <v>1.0099391738706454</v>
      </c>
      <c r="O105" s="282">
        <f t="shared" si="12"/>
        <v>1.0099391738706454</v>
      </c>
      <c r="P105" s="282">
        <f t="shared" si="12"/>
        <v>1.0099391738706454</v>
      </c>
      <c r="Q105" s="282">
        <f t="shared" si="12"/>
        <v>1.0099391738706454</v>
      </c>
      <c r="R105" s="282">
        <f t="shared" si="12"/>
        <v>1.0099391738706454</v>
      </c>
      <c r="S105" s="282">
        <f t="shared" si="12"/>
        <v>1.0099391738706454</v>
      </c>
      <c r="T105" s="282">
        <f t="shared" si="12"/>
        <v>1.0099391738706454</v>
      </c>
      <c r="U105" s="282">
        <f t="shared" si="12"/>
        <v>0</v>
      </c>
      <c r="V105" s="282">
        <f t="shared" si="12"/>
        <v>0</v>
      </c>
      <c r="W105" s="282">
        <f t="shared" si="12"/>
        <v>0</v>
      </c>
      <c r="X105" s="282">
        <f t="shared" si="12"/>
        <v>0</v>
      </c>
      <c r="Y105" s="282">
        <f t="shared" si="12"/>
        <v>0</v>
      </c>
      <c r="Z105" s="282">
        <f t="shared" si="12"/>
        <v>0</v>
      </c>
      <c r="AA105" s="282">
        <f t="shared" si="12"/>
        <v>0</v>
      </c>
      <c r="AB105" s="282">
        <f t="shared" si="12"/>
        <v>0</v>
      </c>
      <c r="AC105" s="282">
        <f t="shared" si="12"/>
        <v>0</v>
      </c>
      <c r="AD105" s="282">
        <f t="shared" si="12"/>
        <v>0</v>
      </c>
      <c r="AE105" s="282">
        <f t="shared" si="12"/>
        <v>0</v>
      </c>
      <c r="AF105" s="282">
        <f t="shared" si="12"/>
        <v>0</v>
      </c>
      <c r="AG105" s="282">
        <f t="shared" si="12"/>
        <v>0</v>
      </c>
      <c r="AH105" s="282">
        <f t="shared" si="12"/>
        <v>0</v>
      </c>
      <c r="AI105" s="282">
        <f t="shared" si="12"/>
        <v>0</v>
      </c>
      <c r="AJ105" s="282">
        <f t="shared" si="12"/>
        <v>0</v>
      </c>
      <c r="AK105" s="282">
        <f t="shared" si="12"/>
        <v>0</v>
      </c>
      <c r="AL105" s="282">
        <f t="shared" si="12"/>
        <v>0</v>
      </c>
      <c r="AM105" s="282">
        <f t="shared" si="12"/>
        <v>0</v>
      </c>
      <c r="AN105" s="282">
        <f t="shared" si="12"/>
        <v>0</v>
      </c>
      <c r="AO105" s="282">
        <f t="shared" si="12"/>
        <v>0</v>
      </c>
      <c r="AP105" s="17"/>
    </row>
    <row r="106" spans="1:42" x14ac:dyDescent="0.25">
      <c r="A106" s="12"/>
      <c r="B106" s="13"/>
      <c r="C106" s="14" t="s">
        <v>286</v>
      </c>
      <c r="D106" s="14"/>
      <c r="E106" s="70" t="s">
        <v>352</v>
      </c>
      <c r="F106" s="276">
        <f>Data!E638/1000</f>
        <v>2.5684219374862287E-5</v>
      </c>
      <c r="G106" s="14"/>
      <c r="H106" s="219"/>
      <c r="I106" s="282">
        <f t="shared" si="11"/>
        <v>0.20273709986348143</v>
      </c>
      <c r="J106" s="282">
        <f t="shared" si="12"/>
        <v>0.20273709986348143</v>
      </c>
      <c r="K106" s="282">
        <f t="shared" si="12"/>
        <v>0.20273709986348143</v>
      </c>
      <c r="L106" s="282">
        <f t="shared" si="12"/>
        <v>0.20273709986348143</v>
      </c>
      <c r="M106" s="282">
        <f t="shared" si="12"/>
        <v>0.20273709986348143</v>
      </c>
      <c r="N106" s="282">
        <f t="shared" si="12"/>
        <v>0.20273709986348143</v>
      </c>
      <c r="O106" s="282">
        <f t="shared" si="12"/>
        <v>0.20273709986348143</v>
      </c>
      <c r="P106" s="282">
        <f t="shared" si="12"/>
        <v>0.20273709986348143</v>
      </c>
      <c r="Q106" s="282">
        <f t="shared" si="12"/>
        <v>0.20273709986348143</v>
      </c>
      <c r="R106" s="282">
        <f t="shared" si="12"/>
        <v>0.20273709986348143</v>
      </c>
      <c r="S106" s="282">
        <f t="shared" si="12"/>
        <v>0.20273709986348143</v>
      </c>
      <c r="T106" s="282">
        <f t="shared" si="12"/>
        <v>0.20273709986348143</v>
      </c>
      <c r="U106" s="282">
        <f t="shared" si="12"/>
        <v>0</v>
      </c>
      <c r="V106" s="282">
        <f t="shared" si="12"/>
        <v>0</v>
      </c>
      <c r="W106" s="282">
        <f t="shared" si="12"/>
        <v>0</v>
      </c>
      <c r="X106" s="282">
        <f t="shared" si="12"/>
        <v>0</v>
      </c>
      <c r="Y106" s="282">
        <f t="shared" si="12"/>
        <v>0</v>
      </c>
      <c r="Z106" s="282">
        <f t="shared" si="12"/>
        <v>0</v>
      </c>
      <c r="AA106" s="282">
        <f t="shared" si="12"/>
        <v>0</v>
      </c>
      <c r="AB106" s="282">
        <f t="shared" si="12"/>
        <v>0</v>
      </c>
      <c r="AC106" s="282">
        <f t="shared" si="12"/>
        <v>0</v>
      </c>
      <c r="AD106" s="282">
        <f t="shared" si="12"/>
        <v>0</v>
      </c>
      <c r="AE106" s="282">
        <f t="shared" si="12"/>
        <v>0</v>
      </c>
      <c r="AF106" s="282">
        <f t="shared" si="12"/>
        <v>0</v>
      </c>
      <c r="AG106" s="282">
        <f t="shared" si="12"/>
        <v>0</v>
      </c>
      <c r="AH106" s="282">
        <f t="shared" si="12"/>
        <v>0</v>
      </c>
      <c r="AI106" s="282">
        <f t="shared" si="12"/>
        <v>0</v>
      </c>
      <c r="AJ106" s="282">
        <f t="shared" si="12"/>
        <v>0</v>
      </c>
      <c r="AK106" s="282">
        <f t="shared" si="12"/>
        <v>0</v>
      </c>
      <c r="AL106" s="282">
        <f t="shared" si="12"/>
        <v>0</v>
      </c>
      <c r="AM106" s="282">
        <f t="shared" si="12"/>
        <v>0</v>
      </c>
      <c r="AN106" s="282">
        <f t="shared" si="12"/>
        <v>0</v>
      </c>
      <c r="AO106" s="282">
        <f t="shared" si="12"/>
        <v>0</v>
      </c>
      <c r="AP106" s="17"/>
    </row>
    <row r="107" spans="1:42" x14ac:dyDescent="0.25">
      <c r="A107" s="12"/>
      <c r="B107" s="13"/>
      <c r="C107" s="14" t="s">
        <v>287</v>
      </c>
      <c r="D107" s="14"/>
      <c r="E107" s="70" t="s">
        <v>352</v>
      </c>
      <c r="F107" s="276">
        <f>Data!E639/1000</f>
        <v>1.2998502134374784E-5</v>
      </c>
      <c r="G107" s="14"/>
      <c r="H107" s="219"/>
      <c r="I107" s="282">
        <f t="shared" si="11"/>
        <v>0.10260302588256283</v>
      </c>
      <c r="J107" s="282">
        <f t="shared" si="12"/>
        <v>0.10260302588256283</v>
      </c>
      <c r="K107" s="282">
        <f t="shared" si="12"/>
        <v>0.10260302588256283</v>
      </c>
      <c r="L107" s="282">
        <f t="shared" si="12"/>
        <v>0.10260302588256283</v>
      </c>
      <c r="M107" s="282">
        <f t="shared" si="12"/>
        <v>0.10260302588256283</v>
      </c>
      <c r="N107" s="282">
        <f t="shared" si="12"/>
        <v>0.10260302588256283</v>
      </c>
      <c r="O107" s="282">
        <f t="shared" si="12"/>
        <v>0.10260302588256283</v>
      </c>
      <c r="P107" s="282">
        <f t="shared" si="12"/>
        <v>0.10260302588256283</v>
      </c>
      <c r="Q107" s="282">
        <f t="shared" si="12"/>
        <v>0.10260302588256283</v>
      </c>
      <c r="R107" s="282">
        <f t="shared" si="12"/>
        <v>0.10260302588256283</v>
      </c>
      <c r="S107" s="282">
        <f t="shared" si="12"/>
        <v>0.10260302588256283</v>
      </c>
      <c r="T107" s="282">
        <f t="shared" si="12"/>
        <v>0.10260302588256283</v>
      </c>
      <c r="U107" s="282">
        <f t="shared" si="12"/>
        <v>0</v>
      </c>
      <c r="V107" s="282">
        <f t="shared" si="12"/>
        <v>0</v>
      </c>
      <c r="W107" s="282">
        <f t="shared" si="12"/>
        <v>0</v>
      </c>
      <c r="X107" s="282">
        <f t="shared" si="12"/>
        <v>0</v>
      </c>
      <c r="Y107" s="282">
        <f t="shared" si="12"/>
        <v>0</v>
      </c>
      <c r="Z107" s="282">
        <f t="shared" si="12"/>
        <v>0</v>
      </c>
      <c r="AA107" s="282">
        <f t="shared" si="12"/>
        <v>0</v>
      </c>
      <c r="AB107" s="282">
        <f t="shared" si="12"/>
        <v>0</v>
      </c>
      <c r="AC107" s="282">
        <f t="shared" si="12"/>
        <v>0</v>
      </c>
      <c r="AD107" s="282">
        <f t="shared" si="12"/>
        <v>0</v>
      </c>
      <c r="AE107" s="282">
        <f t="shared" si="12"/>
        <v>0</v>
      </c>
      <c r="AF107" s="282">
        <f t="shared" si="12"/>
        <v>0</v>
      </c>
      <c r="AG107" s="282">
        <f t="shared" si="12"/>
        <v>0</v>
      </c>
      <c r="AH107" s="282">
        <f t="shared" si="12"/>
        <v>0</v>
      </c>
      <c r="AI107" s="282">
        <f t="shared" si="12"/>
        <v>0</v>
      </c>
      <c r="AJ107" s="282">
        <f t="shared" si="12"/>
        <v>0</v>
      </c>
      <c r="AK107" s="282">
        <f t="shared" si="12"/>
        <v>0</v>
      </c>
      <c r="AL107" s="282">
        <f t="shared" si="12"/>
        <v>0</v>
      </c>
      <c r="AM107" s="282">
        <f t="shared" si="12"/>
        <v>0</v>
      </c>
      <c r="AN107" s="282">
        <f t="shared" si="12"/>
        <v>0</v>
      </c>
      <c r="AO107" s="282">
        <f t="shared" si="12"/>
        <v>0</v>
      </c>
      <c r="AP107" s="17"/>
    </row>
    <row r="108" spans="1:42" x14ac:dyDescent="0.25">
      <c r="A108" s="12"/>
      <c r="B108" s="13"/>
      <c r="C108" s="13"/>
      <c r="D108" s="13"/>
      <c r="E108" s="13"/>
      <c r="F108" s="48"/>
      <c r="G108" s="14"/>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17"/>
    </row>
    <row r="109" spans="1:42" x14ac:dyDescent="0.25">
      <c r="A109" s="12"/>
      <c r="B109" s="13"/>
      <c r="C109" s="14" t="s">
        <v>205</v>
      </c>
      <c r="D109" s="14"/>
      <c r="E109" s="70" t="s">
        <v>500</v>
      </c>
      <c r="F109" s="200">
        <f>Data!$E$35/1000</f>
        <v>3.4099438202247192E-3</v>
      </c>
      <c r="G109" s="14"/>
      <c r="H109" s="219"/>
      <c r="I109" s="282">
        <f>$F109*I$101</f>
        <v>7.0992078349979518E-2</v>
      </c>
      <c r="J109" s="282">
        <f>$F109*J$101</f>
        <v>7.0992078349979518E-2</v>
      </c>
      <c r="K109" s="282">
        <f t="shared" ref="K109:AO109" si="14">$F109*K$101</f>
        <v>7.0992078349979518E-2</v>
      </c>
      <c r="L109" s="282">
        <f t="shared" si="14"/>
        <v>7.0992078349979518E-2</v>
      </c>
      <c r="M109" s="282">
        <f t="shared" si="14"/>
        <v>7.0992078349979518E-2</v>
      </c>
      <c r="N109" s="282">
        <f t="shared" si="14"/>
        <v>7.0992078349979518E-2</v>
      </c>
      <c r="O109" s="282">
        <f t="shared" si="14"/>
        <v>7.0992078349979518E-2</v>
      </c>
      <c r="P109" s="282">
        <f t="shared" si="14"/>
        <v>7.0992078349979518E-2</v>
      </c>
      <c r="Q109" s="282">
        <f t="shared" si="14"/>
        <v>7.0992078349979518E-2</v>
      </c>
      <c r="R109" s="282">
        <f t="shared" si="14"/>
        <v>7.0992078349979518E-2</v>
      </c>
      <c r="S109" s="282">
        <f t="shared" si="14"/>
        <v>7.0992078349979518E-2</v>
      </c>
      <c r="T109" s="282">
        <f t="shared" si="14"/>
        <v>7.0992078349979518E-2</v>
      </c>
      <c r="U109" s="282">
        <f t="shared" si="14"/>
        <v>0</v>
      </c>
      <c r="V109" s="282">
        <f t="shared" si="14"/>
        <v>0</v>
      </c>
      <c r="W109" s="282">
        <f t="shared" si="14"/>
        <v>0</v>
      </c>
      <c r="X109" s="282">
        <f t="shared" si="14"/>
        <v>0</v>
      </c>
      <c r="Y109" s="282">
        <f t="shared" si="14"/>
        <v>0</v>
      </c>
      <c r="Z109" s="282">
        <f t="shared" si="14"/>
        <v>0</v>
      </c>
      <c r="AA109" s="282">
        <f t="shared" si="14"/>
        <v>0</v>
      </c>
      <c r="AB109" s="282">
        <f t="shared" si="14"/>
        <v>0</v>
      </c>
      <c r="AC109" s="282">
        <f t="shared" si="14"/>
        <v>0</v>
      </c>
      <c r="AD109" s="282">
        <f t="shared" si="14"/>
        <v>0</v>
      </c>
      <c r="AE109" s="282">
        <f t="shared" si="14"/>
        <v>0</v>
      </c>
      <c r="AF109" s="282">
        <f t="shared" si="14"/>
        <v>0</v>
      </c>
      <c r="AG109" s="282">
        <f t="shared" si="14"/>
        <v>0</v>
      </c>
      <c r="AH109" s="282">
        <f t="shared" si="14"/>
        <v>0</v>
      </c>
      <c r="AI109" s="282">
        <f t="shared" si="14"/>
        <v>0</v>
      </c>
      <c r="AJ109" s="282">
        <f t="shared" si="14"/>
        <v>0</v>
      </c>
      <c r="AK109" s="282">
        <f t="shared" si="14"/>
        <v>0</v>
      </c>
      <c r="AL109" s="282">
        <f t="shared" si="14"/>
        <v>0</v>
      </c>
      <c r="AM109" s="282">
        <f t="shared" si="14"/>
        <v>0</v>
      </c>
      <c r="AN109" s="282">
        <f t="shared" si="14"/>
        <v>0</v>
      </c>
      <c r="AO109" s="282">
        <f t="shared" si="14"/>
        <v>0</v>
      </c>
      <c r="AP109" s="17"/>
    </row>
    <row r="110" spans="1:42" x14ac:dyDescent="0.25">
      <c r="A110" s="12"/>
      <c r="B110" s="13"/>
      <c r="C110" s="14" t="s">
        <v>484</v>
      </c>
      <c r="D110" s="14"/>
      <c r="E110" s="70" t="s">
        <v>500</v>
      </c>
      <c r="F110" s="200"/>
      <c r="G110" s="14"/>
      <c r="H110" s="219"/>
      <c r="I110" s="177">
        <f>I102*Data!H$16/1000</f>
        <v>177.35713239008305</v>
      </c>
      <c r="J110" s="177">
        <f>J102*Data!I$16/1000</f>
        <v>195.64137284266894</v>
      </c>
      <c r="K110" s="177">
        <f>K102*Data!J$16/1000</f>
        <v>212.09718924999623</v>
      </c>
      <c r="L110" s="177">
        <f>L102*Data!K$16/1000</f>
        <v>230.3814297025821</v>
      </c>
      <c r="M110" s="177">
        <f>M102*Data!L$16/1000</f>
        <v>248.66567015516799</v>
      </c>
      <c r="N110" s="177">
        <f>N102*Data!M$16/1000</f>
        <v>266.94991060775391</v>
      </c>
      <c r="O110" s="177">
        <f>O102*Data!N$16/1000</f>
        <v>283.40572701508114</v>
      </c>
      <c r="P110" s="177">
        <f>P102*Data!O$16/1000</f>
        <v>294.37627128663269</v>
      </c>
      <c r="Q110" s="177">
        <f>Q102*Data!P$16/1000</f>
        <v>305.34681555818423</v>
      </c>
      <c r="R110" s="177">
        <f>R102*Data!Q$16/1000</f>
        <v>318.14578387499432</v>
      </c>
      <c r="S110" s="177">
        <f>S102*Data!R$16/1000</f>
        <v>329.11632814654587</v>
      </c>
      <c r="T110" s="177">
        <f>T102*Data!S$16/1000</f>
        <v>340.08687241809741</v>
      </c>
      <c r="U110" s="177">
        <f>U102*Data!T$16/1000</f>
        <v>0</v>
      </c>
      <c r="V110" s="177">
        <f>V102*Data!U$16/1000</f>
        <v>0</v>
      </c>
      <c r="W110" s="177">
        <f>W102*Data!V$16/1000</f>
        <v>0</v>
      </c>
      <c r="X110" s="177">
        <f>X102*Data!W$16/1000</f>
        <v>0</v>
      </c>
      <c r="Y110" s="177">
        <f>Y102*Data!X$16/1000</f>
        <v>0</v>
      </c>
      <c r="Z110" s="177">
        <f>Z102*Data!Y$16/1000</f>
        <v>0</v>
      </c>
      <c r="AA110" s="177">
        <f>AA102*Data!Z$16/1000</f>
        <v>0</v>
      </c>
      <c r="AB110" s="177">
        <f>AB102*Data!AA$16/1000</f>
        <v>0</v>
      </c>
      <c r="AC110" s="177">
        <f>AC102*Data!AB$16/1000</f>
        <v>0</v>
      </c>
      <c r="AD110" s="177">
        <f>AD102*Data!AC$16/1000</f>
        <v>0</v>
      </c>
      <c r="AE110" s="177">
        <f>AE102*Data!AD$16/1000</f>
        <v>0</v>
      </c>
      <c r="AF110" s="177">
        <f>AF102*Data!AE$16/1000</f>
        <v>0</v>
      </c>
      <c r="AG110" s="177">
        <f>AG102*Data!AF$16/1000</f>
        <v>0</v>
      </c>
      <c r="AH110" s="177">
        <f>AH102*Data!AG$16/1000</f>
        <v>0</v>
      </c>
      <c r="AI110" s="177">
        <f>AI102*Data!AH$16/1000</f>
        <v>0</v>
      </c>
      <c r="AJ110" s="177">
        <f>AJ102*Data!AI$16/1000</f>
        <v>0</v>
      </c>
      <c r="AK110" s="177">
        <f>AK102*Data!AJ$16/1000</f>
        <v>0</v>
      </c>
      <c r="AL110" s="177">
        <f>AL102*Data!AK$16/1000</f>
        <v>0</v>
      </c>
      <c r="AM110" s="177">
        <f>AM102*Data!AL$16/1000</f>
        <v>0</v>
      </c>
      <c r="AN110" s="177">
        <f>AN102*Data!AM$16/1000</f>
        <v>0</v>
      </c>
      <c r="AO110" s="360">
        <f>AO102*Data!AN$16/1000</f>
        <v>0</v>
      </c>
      <c r="AP110" s="17"/>
    </row>
    <row r="111" spans="1:42" x14ac:dyDescent="0.25">
      <c r="A111" s="12"/>
      <c r="B111" s="13"/>
      <c r="C111" s="14" t="s">
        <v>285</v>
      </c>
      <c r="D111" s="14"/>
      <c r="E111" s="70" t="s">
        <v>500</v>
      </c>
      <c r="F111" s="200">
        <f>Data!$E$36/1000</f>
        <v>1.0822865168539326</v>
      </c>
      <c r="G111" s="14"/>
      <c r="H111" s="219"/>
      <c r="I111" s="282">
        <f>$F111*I103</f>
        <v>1.4665206976934488</v>
      </c>
      <c r="J111" s="282">
        <f t="shared" ref="J111:AO115" si="15">$F111*J103</f>
        <v>1.4665206976934488</v>
      </c>
      <c r="K111" s="282">
        <f t="shared" si="15"/>
        <v>1.4665206976934488</v>
      </c>
      <c r="L111" s="282">
        <f t="shared" si="15"/>
        <v>1.4665206976934488</v>
      </c>
      <c r="M111" s="282">
        <f t="shared" si="15"/>
        <v>1.4665206976934488</v>
      </c>
      <c r="N111" s="282">
        <f t="shared" si="15"/>
        <v>1.4665206976934488</v>
      </c>
      <c r="O111" s="282">
        <f t="shared" si="15"/>
        <v>1.4665206976934488</v>
      </c>
      <c r="P111" s="282">
        <f t="shared" si="15"/>
        <v>1.4665206976934488</v>
      </c>
      <c r="Q111" s="282">
        <f t="shared" si="15"/>
        <v>1.4665206976934488</v>
      </c>
      <c r="R111" s="282">
        <f t="shared" si="15"/>
        <v>1.4665206976934488</v>
      </c>
      <c r="S111" s="282">
        <f t="shared" si="15"/>
        <v>1.4665206976934488</v>
      </c>
      <c r="T111" s="282">
        <f t="shared" si="15"/>
        <v>1.4665206976934488</v>
      </c>
      <c r="U111" s="282">
        <f t="shared" si="15"/>
        <v>0</v>
      </c>
      <c r="V111" s="282">
        <f t="shared" si="15"/>
        <v>0</v>
      </c>
      <c r="W111" s="282">
        <f t="shared" si="15"/>
        <v>0</v>
      </c>
      <c r="X111" s="282">
        <f t="shared" si="15"/>
        <v>0</v>
      </c>
      <c r="Y111" s="282">
        <f t="shared" si="15"/>
        <v>0</v>
      </c>
      <c r="Z111" s="282">
        <f t="shared" si="15"/>
        <v>0</v>
      </c>
      <c r="AA111" s="282">
        <f t="shared" si="15"/>
        <v>0</v>
      </c>
      <c r="AB111" s="282">
        <f t="shared" si="15"/>
        <v>0</v>
      </c>
      <c r="AC111" s="282">
        <f t="shared" si="15"/>
        <v>0</v>
      </c>
      <c r="AD111" s="282">
        <f t="shared" si="15"/>
        <v>0</v>
      </c>
      <c r="AE111" s="282">
        <f t="shared" si="15"/>
        <v>0</v>
      </c>
      <c r="AF111" s="282">
        <f t="shared" si="15"/>
        <v>0</v>
      </c>
      <c r="AG111" s="282">
        <f t="shared" si="15"/>
        <v>0</v>
      </c>
      <c r="AH111" s="282">
        <f t="shared" si="15"/>
        <v>0</v>
      </c>
      <c r="AI111" s="282">
        <f t="shared" si="15"/>
        <v>0</v>
      </c>
      <c r="AJ111" s="282">
        <f t="shared" si="15"/>
        <v>0</v>
      </c>
      <c r="AK111" s="282">
        <f t="shared" si="15"/>
        <v>0</v>
      </c>
      <c r="AL111" s="282">
        <f t="shared" si="15"/>
        <v>0</v>
      </c>
      <c r="AM111" s="282">
        <f t="shared" si="15"/>
        <v>0</v>
      </c>
      <c r="AN111" s="282">
        <f t="shared" si="15"/>
        <v>0</v>
      </c>
      <c r="AO111" s="282">
        <f t="shared" si="15"/>
        <v>0</v>
      </c>
      <c r="AP111" s="17"/>
    </row>
    <row r="112" spans="1:42" x14ac:dyDescent="0.25">
      <c r="A112" s="12"/>
      <c r="B112" s="13"/>
      <c r="C112" s="14" t="s">
        <v>220</v>
      </c>
      <c r="D112" s="14"/>
      <c r="E112" s="70" t="s">
        <v>500</v>
      </c>
      <c r="F112" s="200">
        <f>Data!$E$37/1000</f>
        <v>371.00188764044947</v>
      </c>
      <c r="G112" s="14"/>
      <c r="H112" s="219"/>
      <c r="I112" s="282">
        <f>$F112*I104</f>
        <v>1279.7440997671019</v>
      </c>
      <c r="J112" s="282">
        <f t="shared" ref="I112:X115" si="16">$F112*J104</f>
        <v>1279.7440997671019</v>
      </c>
      <c r="K112" s="282">
        <f t="shared" si="16"/>
        <v>1279.7440997671019</v>
      </c>
      <c r="L112" s="282">
        <f t="shared" si="16"/>
        <v>1279.7440997671019</v>
      </c>
      <c r="M112" s="282">
        <f t="shared" si="16"/>
        <v>1279.7440997671019</v>
      </c>
      <c r="N112" s="282">
        <f t="shared" si="16"/>
        <v>1279.7440997671019</v>
      </c>
      <c r="O112" s="282">
        <f t="shared" si="16"/>
        <v>1279.7440997671019</v>
      </c>
      <c r="P112" s="282">
        <f t="shared" si="16"/>
        <v>1279.7440997671019</v>
      </c>
      <c r="Q112" s="282">
        <f t="shared" si="16"/>
        <v>1279.7440997671019</v>
      </c>
      <c r="R112" s="282">
        <f t="shared" si="16"/>
        <v>1279.7440997671019</v>
      </c>
      <c r="S112" s="282">
        <f t="shared" si="16"/>
        <v>1279.7440997671019</v>
      </c>
      <c r="T112" s="282">
        <f t="shared" si="16"/>
        <v>1279.7440997671019</v>
      </c>
      <c r="U112" s="282">
        <f t="shared" si="16"/>
        <v>0</v>
      </c>
      <c r="V112" s="282">
        <f t="shared" si="16"/>
        <v>0</v>
      </c>
      <c r="W112" s="282">
        <f t="shared" si="16"/>
        <v>0</v>
      </c>
      <c r="X112" s="282">
        <f t="shared" si="16"/>
        <v>0</v>
      </c>
      <c r="Y112" s="282">
        <f t="shared" si="15"/>
        <v>0</v>
      </c>
      <c r="Z112" s="282">
        <f t="shared" si="15"/>
        <v>0</v>
      </c>
      <c r="AA112" s="282">
        <f t="shared" si="15"/>
        <v>0</v>
      </c>
      <c r="AB112" s="282">
        <f t="shared" si="15"/>
        <v>0</v>
      </c>
      <c r="AC112" s="282">
        <f t="shared" si="15"/>
        <v>0</v>
      </c>
      <c r="AD112" s="282">
        <f t="shared" si="15"/>
        <v>0</v>
      </c>
      <c r="AE112" s="282">
        <f t="shared" si="15"/>
        <v>0</v>
      </c>
      <c r="AF112" s="282">
        <f t="shared" si="15"/>
        <v>0</v>
      </c>
      <c r="AG112" s="282">
        <f t="shared" si="15"/>
        <v>0</v>
      </c>
      <c r="AH112" s="282">
        <f t="shared" si="15"/>
        <v>0</v>
      </c>
      <c r="AI112" s="282">
        <f t="shared" si="15"/>
        <v>0</v>
      </c>
      <c r="AJ112" s="282">
        <f t="shared" si="15"/>
        <v>0</v>
      </c>
      <c r="AK112" s="282">
        <f t="shared" si="15"/>
        <v>0</v>
      </c>
      <c r="AL112" s="282">
        <f t="shared" si="15"/>
        <v>0</v>
      </c>
      <c r="AM112" s="282">
        <f t="shared" si="15"/>
        <v>0</v>
      </c>
      <c r="AN112" s="282">
        <f t="shared" si="15"/>
        <v>0</v>
      </c>
      <c r="AO112" s="282">
        <f t="shared" si="15"/>
        <v>0</v>
      </c>
      <c r="AP112" s="17"/>
    </row>
    <row r="113" spans="1:42" x14ac:dyDescent="0.25">
      <c r="A113" s="12"/>
      <c r="B113" s="13"/>
      <c r="C113" s="14" t="s">
        <v>212</v>
      </c>
      <c r="D113" s="14"/>
      <c r="E113" s="70" t="s">
        <v>500</v>
      </c>
      <c r="F113" s="200">
        <f>Data!$E$39/1000</f>
        <v>0</v>
      </c>
      <c r="G113" s="14"/>
      <c r="H113" s="219"/>
      <c r="I113" s="282">
        <f>$F113*I105</f>
        <v>0</v>
      </c>
      <c r="J113" s="282">
        <f t="shared" si="15"/>
        <v>0</v>
      </c>
      <c r="K113" s="282">
        <f t="shared" si="15"/>
        <v>0</v>
      </c>
      <c r="L113" s="282">
        <f t="shared" si="15"/>
        <v>0</v>
      </c>
      <c r="M113" s="282">
        <f t="shared" si="15"/>
        <v>0</v>
      </c>
      <c r="N113" s="282">
        <f t="shared" si="15"/>
        <v>0</v>
      </c>
      <c r="O113" s="282">
        <f t="shared" si="15"/>
        <v>0</v>
      </c>
      <c r="P113" s="282">
        <f t="shared" si="15"/>
        <v>0</v>
      </c>
      <c r="Q113" s="282">
        <f t="shared" si="15"/>
        <v>0</v>
      </c>
      <c r="R113" s="282">
        <f t="shared" si="15"/>
        <v>0</v>
      </c>
      <c r="S113" s="282">
        <f t="shared" si="15"/>
        <v>0</v>
      </c>
      <c r="T113" s="282">
        <f t="shared" si="15"/>
        <v>0</v>
      </c>
      <c r="U113" s="282">
        <f t="shared" si="15"/>
        <v>0</v>
      </c>
      <c r="V113" s="282">
        <f t="shared" si="15"/>
        <v>0</v>
      </c>
      <c r="W113" s="282">
        <f t="shared" si="15"/>
        <v>0</v>
      </c>
      <c r="X113" s="282">
        <f t="shared" si="15"/>
        <v>0</v>
      </c>
      <c r="Y113" s="282">
        <f t="shared" si="15"/>
        <v>0</v>
      </c>
      <c r="Z113" s="282">
        <f t="shared" si="15"/>
        <v>0</v>
      </c>
      <c r="AA113" s="282">
        <f t="shared" si="15"/>
        <v>0</v>
      </c>
      <c r="AB113" s="282">
        <f t="shared" si="15"/>
        <v>0</v>
      </c>
      <c r="AC113" s="282">
        <f t="shared" si="15"/>
        <v>0</v>
      </c>
      <c r="AD113" s="282">
        <f t="shared" si="15"/>
        <v>0</v>
      </c>
      <c r="AE113" s="282">
        <f t="shared" si="15"/>
        <v>0</v>
      </c>
      <c r="AF113" s="282">
        <f t="shared" si="15"/>
        <v>0</v>
      </c>
      <c r="AG113" s="282">
        <f t="shared" si="15"/>
        <v>0</v>
      </c>
      <c r="AH113" s="282">
        <f t="shared" si="15"/>
        <v>0</v>
      </c>
      <c r="AI113" s="282">
        <f t="shared" si="15"/>
        <v>0</v>
      </c>
      <c r="AJ113" s="282">
        <f t="shared" si="15"/>
        <v>0</v>
      </c>
      <c r="AK113" s="282">
        <f t="shared" si="15"/>
        <v>0</v>
      </c>
      <c r="AL113" s="282">
        <f t="shared" si="15"/>
        <v>0</v>
      </c>
      <c r="AM113" s="282">
        <f t="shared" si="15"/>
        <v>0</v>
      </c>
      <c r="AN113" s="282">
        <f t="shared" si="15"/>
        <v>0</v>
      </c>
      <c r="AO113" s="282">
        <f t="shared" si="15"/>
        <v>0</v>
      </c>
      <c r="AP113" s="17"/>
    </row>
    <row r="114" spans="1:42" x14ac:dyDescent="0.25">
      <c r="A114" s="12"/>
      <c r="B114" s="13"/>
      <c r="C114" s="14" t="s">
        <v>485</v>
      </c>
      <c r="D114" s="14"/>
      <c r="E114" s="70" t="s">
        <v>500</v>
      </c>
      <c r="F114" s="200">
        <f>Data!$E$40/1000</f>
        <v>605.20914606741576</v>
      </c>
      <c r="G114" s="14"/>
      <c r="H114" s="219"/>
      <c r="I114" s="282">
        <f>$F114*I106</f>
        <v>122.69834708456199</v>
      </c>
      <c r="J114" s="282">
        <f t="shared" si="15"/>
        <v>122.69834708456199</v>
      </c>
      <c r="K114" s="282">
        <f t="shared" si="15"/>
        <v>122.69834708456199</v>
      </c>
      <c r="L114" s="282">
        <f t="shared" si="15"/>
        <v>122.69834708456199</v>
      </c>
      <c r="M114" s="282">
        <f t="shared" si="15"/>
        <v>122.69834708456199</v>
      </c>
      <c r="N114" s="282">
        <f t="shared" si="15"/>
        <v>122.69834708456199</v>
      </c>
      <c r="O114" s="282">
        <f t="shared" si="15"/>
        <v>122.69834708456199</v>
      </c>
      <c r="P114" s="282">
        <f t="shared" si="15"/>
        <v>122.69834708456199</v>
      </c>
      <c r="Q114" s="282">
        <f t="shared" si="15"/>
        <v>122.69834708456199</v>
      </c>
      <c r="R114" s="282">
        <f t="shared" si="15"/>
        <v>122.69834708456199</v>
      </c>
      <c r="S114" s="282">
        <f t="shared" si="15"/>
        <v>122.69834708456199</v>
      </c>
      <c r="T114" s="282">
        <f t="shared" si="15"/>
        <v>122.69834708456199</v>
      </c>
      <c r="U114" s="282">
        <f t="shared" si="15"/>
        <v>0</v>
      </c>
      <c r="V114" s="282">
        <f t="shared" si="15"/>
        <v>0</v>
      </c>
      <c r="W114" s="282">
        <f t="shared" si="15"/>
        <v>0</v>
      </c>
      <c r="X114" s="282">
        <f t="shared" si="15"/>
        <v>0</v>
      </c>
      <c r="Y114" s="282">
        <f t="shared" si="15"/>
        <v>0</v>
      </c>
      <c r="Z114" s="282">
        <f t="shared" si="15"/>
        <v>0</v>
      </c>
      <c r="AA114" s="282">
        <f t="shared" si="15"/>
        <v>0</v>
      </c>
      <c r="AB114" s="282">
        <f t="shared" si="15"/>
        <v>0</v>
      </c>
      <c r="AC114" s="282">
        <f t="shared" si="15"/>
        <v>0</v>
      </c>
      <c r="AD114" s="282">
        <f t="shared" si="15"/>
        <v>0</v>
      </c>
      <c r="AE114" s="282">
        <f t="shared" si="15"/>
        <v>0</v>
      </c>
      <c r="AF114" s="282">
        <f t="shared" si="15"/>
        <v>0</v>
      </c>
      <c r="AG114" s="282">
        <f t="shared" si="15"/>
        <v>0</v>
      </c>
      <c r="AH114" s="282">
        <f t="shared" si="15"/>
        <v>0</v>
      </c>
      <c r="AI114" s="282">
        <f t="shared" si="15"/>
        <v>0</v>
      </c>
      <c r="AJ114" s="282">
        <f t="shared" si="15"/>
        <v>0</v>
      </c>
      <c r="AK114" s="282">
        <f t="shared" si="15"/>
        <v>0</v>
      </c>
      <c r="AL114" s="282">
        <f t="shared" si="15"/>
        <v>0</v>
      </c>
      <c r="AM114" s="282">
        <f t="shared" si="15"/>
        <v>0</v>
      </c>
      <c r="AN114" s="282">
        <f t="shared" si="15"/>
        <v>0</v>
      </c>
      <c r="AO114" s="282">
        <f t="shared" si="15"/>
        <v>0</v>
      </c>
      <c r="AP114" s="17"/>
    </row>
    <row r="115" spans="1:42" x14ac:dyDescent="0.25">
      <c r="A115" s="12"/>
      <c r="B115" s="13"/>
      <c r="C115" s="14" t="s">
        <v>214</v>
      </c>
      <c r="D115" s="14"/>
      <c r="E115" s="70" t="s">
        <v>500</v>
      </c>
      <c r="F115" s="200">
        <f>Data!$E$41/1000</f>
        <v>0</v>
      </c>
      <c r="G115" s="14"/>
      <c r="H115" s="219"/>
      <c r="I115" s="282">
        <f t="shared" si="16"/>
        <v>0</v>
      </c>
      <c r="J115" s="282">
        <f t="shared" si="15"/>
        <v>0</v>
      </c>
      <c r="K115" s="282">
        <f t="shared" si="15"/>
        <v>0</v>
      </c>
      <c r="L115" s="282">
        <f t="shared" si="15"/>
        <v>0</v>
      </c>
      <c r="M115" s="282">
        <f t="shared" si="15"/>
        <v>0</v>
      </c>
      <c r="N115" s="282">
        <f t="shared" si="15"/>
        <v>0</v>
      </c>
      <c r="O115" s="282">
        <f t="shared" si="15"/>
        <v>0</v>
      </c>
      <c r="P115" s="282">
        <f t="shared" si="15"/>
        <v>0</v>
      </c>
      <c r="Q115" s="282">
        <f t="shared" si="15"/>
        <v>0</v>
      </c>
      <c r="R115" s="282">
        <f t="shared" si="15"/>
        <v>0</v>
      </c>
      <c r="S115" s="282">
        <f t="shared" si="15"/>
        <v>0</v>
      </c>
      <c r="T115" s="282">
        <f t="shared" si="15"/>
        <v>0</v>
      </c>
      <c r="U115" s="282">
        <f t="shared" si="15"/>
        <v>0</v>
      </c>
      <c r="V115" s="282">
        <f t="shared" si="15"/>
        <v>0</v>
      </c>
      <c r="W115" s="282">
        <f t="shared" si="15"/>
        <v>0</v>
      </c>
      <c r="X115" s="282">
        <f t="shared" si="15"/>
        <v>0</v>
      </c>
      <c r="Y115" s="282">
        <f t="shared" si="15"/>
        <v>0</v>
      </c>
      <c r="Z115" s="282">
        <f t="shared" si="15"/>
        <v>0</v>
      </c>
      <c r="AA115" s="282">
        <f t="shared" si="15"/>
        <v>0</v>
      </c>
      <c r="AB115" s="282">
        <f t="shared" si="15"/>
        <v>0</v>
      </c>
      <c r="AC115" s="282">
        <f t="shared" si="15"/>
        <v>0</v>
      </c>
      <c r="AD115" s="282">
        <f t="shared" si="15"/>
        <v>0</v>
      </c>
      <c r="AE115" s="282">
        <f t="shared" si="15"/>
        <v>0</v>
      </c>
      <c r="AF115" s="282">
        <f t="shared" si="15"/>
        <v>0</v>
      </c>
      <c r="AG115" s="282">
        <f t="shared" si="15"/>
        <v>0</v>
      </c>
      <c r="AH115" s="282">
        <f t="shared" si="15"/>
        <v>0</v>
      </c>
      <c r="AI115" s="282">
        <f t="shared" si="15"/>
        <v>0</v>
      </c>
      <c r="AJ115" s="282">
        <f t="shared" si="15"/>
        <v>0</v>
      </c>
      <c r="AK115" s="282">
        <f t="shared" si="15"/>
        <v>0</v>
      </c>
      <c r="AL115" s="282">
        <f t="shared" si="15"/>
        <v>0</v>
      </c>
      <c r="AM115" s="282">
        <f t="shared" si="15"/>
        <v>0</v>
      </c>
      <c r="AN115" s="282">
        <f t="shared" si="15"/>
        <v>0</v>
      </c>
      <c r="AO115" s="282">
        <f t="shared" si="15"/>
        <v>0</v>
      </c>
      <c r="AP115" s="17"/>
    </row>
    <row r="116" spans="1:42" x14ac:dyDescent="0.25">
      <c r="A116" s="12"/>
      <c r="B116" s="13"/>
      <c r="C116" s="14" t="s">
        <v>486</v>
      </c>
      <c r="D116" s="14"/>
      <c r="E116" s="70" t="s">
        <v>500</v>
      </c>
      <c r="F116" s="16"/>
      <c r="G116" s="14"/>
      <c r="H116" s="219"/>
      <c r="I116" s="185">
        <f>SUM(I109:I115)</f>
        <v>1581.3370920177904</v>
      </c>
      <c r="J116" s="185">
        <f t="shared" ref="J116:AO116" si="17">SUM(J109:J115)</f>
        <v>1599.6213324703763</v>
      </c>
      <c r="K116" s="185">
        <f t="shared" si="17"/>
        <v>1616.0771488777036</v>
      </c>
      <c r="L116" s="185">
        <f t="shared" si="17"/>
        <v>1634.3613893302895</v>
      </c>
      <c r="M116" s="185">
        <f t="shared" si="17"/>
        <v>1652.6456297828754</v>
      </c>
      <c r="N116" s="185">
        <f t="shared" si="17"/>
        <v>1670.9298702354613</v>
      </c>
      <c r="O116" s="185">
        <f t="shared" si="17"/>
        <v>1687.3856866427886</v>
      </c>
      <c r="P116" s="185">
        <f t="shared" si="17"/>
        <v>1698.3562309143399</v>
      </c>
      <c r="Q116" s="185">
        <f t="shared" si="17"/>
        <v>1709.3267751858916</v>
      </c>
      <c r="R116" s="185">
        <f t="shared" si="17"/>
        <v>1722.1257435027019</v>
      </c>
      <c r="S116" s="185">
        <f t="shared" si="17"/>
        <v>1733.0962877742531</v>
      </c>
      <c r="T116" s="185">
        <f t="shared" si="17"/>
        <v>1744.0668320458049</v>
      </c>
      <c r="U116" s="185">
        <f t="shared" si="17"/>
        <v>0</v>
      </c>
      <c r="V116" s="185">
        <f t="shared" si="17"/>
        <v>0</v>
      </c>
      <c r="W116" s="185">
        <f t="shared" si="17"/>
        <v>0</v>
      </c>
      <c r="X116" s="185">
        <f t="shared" si="17"/>
        <v>0</v>
      </c>
      <c r="Y116" s="185">
        <f t="shared" si="17"/>
        <v>0</v>
      </c>
      <c r="Z116" s="185">
        <f t="shared" si="17"/>
        <v>0</v>
      </c>
      <c r="AA116" s="185">
        <f t="shared" si="17"/>
        <v>0</v>
      </c>
      <c r="AB116" s="185">
        <f t="shared" si="17"/>
        <v>0</v>
      </c>
      <c r="AC116" s="185">
        <f t="shared" si="17"/>
        <v>0</v>
      </c>
      <c r="AD116" s="185">
        <f t="shared" si="17"/>
        <v>0</v>
      </c>
      <c r="AE116" s="185">
        <f t="shared" si="17"/>
        <v>0</v>
      </c>
      <c r="AF116" s="185">
        <f t="shared" si="17"/>
        <v>0</v>
      </c>
      <c r="AG116" s="185">
        <f t="shared" si="17"/>
        <v>0</v>
      </c>
      <c r="AH116" s="185">
        <f t="shared" si="17"/>
        <v>0</v>
      </c>
      <c r="AI116" s="185">
        <f t="shared" si="17"/>
        <v>0</v>
      </c>
      <c r="AJ116" s="185">
        <f t="shared" si="17"/>
        <v>0</v>
      </c>
      <c r="AK116" s="185">
        <f t="shared" si="17"/>
        <v>0</v>
      </c>
      <c r="AL116" s="185">
        <f t="shared" si="17"/>
        <v>0</v>
      </c>
      <c r="AM116" s="185">
        <f t="shared" si="17"/>
        <v>0</v>
      </c>
      <c r="AN116" s="185">
        <f t="shared" si="17"/>
        <v>0</v>
      </c>
      <c r="AO116" s="185">
        <f t="shared" si="17"/>
        <v>0</v>
      </c>
      <c r="AP116" s="17"/>
    </row>
    <row r="117" spans="1:42" x14ac:dyDescent="0.25">
      <c r="A117" s="12"/>
      <c r="B117" s="13"/>
      <c r="C117" s="20" t="s">
        <v>486</v>
      </c>
      <c r="D117" s="20"/>
      <c r="E117" s="236" t="s">
        <v>501</v>
      </c>
      <c r="F117" s="48"/>
      <c r="G117" s="238">
        <f>SUM(I116:AO116)</f>
        <v>20049.330018780278</v>
      </c>
      <c r="H117" s="219"/>
      <c r="I117" s="219"/>
      <c r="J117" s="219"/>
      <c r="K117" s="219"/>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c r="AL117" s="219"/>
      <c r="AM117" s="219"/>
      <c r="AN117" s="219"/>
      <c r="AO117" s="219"/>
      <c r="AP117" s="17"/>
    </row>
    <row r="118" spans="1:42" x14ac:dyDescent="0.25">
      <c r="A118" s="12"/>
      <c r="B118" s="13"/>
      <c r="C118" s="14"/>
      <c r="D118" s="14"/>
      <c r="E118" s="70"/>
      <c r="F118" s="48"/>
      <c r="G118" s="238"/>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17"/>
    </row>
    <row r="119" spans="1:42" x14ac:dyDescent="0.25">
      <c r="A119" s="12"/>
      <c r="B119" s="13"/>
      <c r="C119" s="20" t="s">
        <v>502</v>
      </c>
      <c r="D119" s="20"/>
      <c r="E119" s="236"/>
      <c r="F119" s="48"/>
      <c r="G119" s="238">
        <f>G85-G117</f>
        <v>100696.94441250921</v>
      </c>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17"/>
    </row>
    <row r="120" spans="1:42" x14ac:dyDescent="0.25">
      <c r="A120" s="12"/>
      <c r="B120" s="13"/>
      <c r="C120" s="14"/>
      <c r="D120" s="14"/>
      <c r="E120" s="84"/>
      <c r="F120" s="48"/>
      <c r="G120" s="238"/>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17"/>
    </row>
    <row r="121" spans="1:42" x14ac:dyDescent="0.25">
      <c r="A121" s="12"/>
      <c r="B121" s="13"/>
      <c r="C121" s="14" t="s">
        <v>503</v>
      </c>
      <c r="E121" s="21" t="s">
        <v>261</v>
      </c>
      <c r="F121" s="48"/>
      <c r="G121" s="285">
        <f>G117/SUM(I33:AO33)</f>
        <v>0.53550560947596892</v>
      </c>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17"/>
    </row>
    <row r="122" spans="1:42" x14ac:dyDescent="0.25">
      <c r="A122" s="12"/>
      <c r="B122" s="13"/>
      <c r="C122" s="280" t="s">
        <v>504</v>
      </c>
      <c r="D122" s="280"/>
      <c r="E122" s="283" t="s">
        <v>261</v>
      </c>
      <c r="F122" s="48"/>
      <c r="G122" s="286">
        <f>G86-G121</f>
        <v>2.6895551392230024</v>
      </c>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17"/>
    </row>
    <row r="123" spans="1:42" x14ac:dyDescent="0.25">
      <c r="A123" s="12"/>
      <c r="B123" s="13"/>
      <c r="C123" s="14"/>
      <c r="D123" s="14"/>
      <c r="E123" s="84"/>
      <c r="F123" s="48"/>
      <c r="G123" s="46"/>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c r="AL123" s="219"/>
      <c r="AM123" s="219"/>
      <c r="AN123" s="219"/>
      <c r="AO123" s="219"/>
      <c r="AP123" s="17"/>
    </row>
    <row r="124" spans="1:42" x14ac:dyDescent="0.25">
      <c r="A124" s="12"/>
      <c r="B124" s="12"/>
      <c r="C124" s="12"/>
      <c r="D124" s="12"/>
      <c r="E124" s="12"/>
      <c r="F124" s="48"/>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17"/>
    </row>
  </sheetData>
  <conditionalFormatting sqref="H3:AN3 AP3">
    <cfRule type="cellIs" dxfId="925" priority="31" operator="equal">
      <formula>start_hist</formula>
    </cfRule>
    <cfRule type="cellIs" dxfId="924" priority="32" operator="greaterThan">
      <formula>start_proj</formula>
    </cfRule>
  </conditionalFormatting>
  <conditionalFormatting sqref="H10:AO13 H16:AP16 H17:AO20">
    <cfRule type="expression" dxfId="923" priority="141">
      <formula>ISNA(H10)</formula>
    </cfRule>
    <cfRule type="expression" dxfId="922" priority="143">
      <formula>H$2&gt;=start_proj</formula>
    </cfRule>
  </conditionalFormatting>
  <conditionalFormatting sqref="H24:AO25">
    <cfRule type="expression" dxfId="921" priority="19">
      <formula>ISNA(H24)</formula>
    </cfRule>
    <cfRule type="expression" dxfId="920" priority="20">
      <formula>H$2&gt;=start_proj</formula>
    </cfRule>
  </conditionalFormatting>
  <conditionalFormatting sqref="H47:AO50">
    <cfRule type="expression" dxfId="919" priority="7">
      <formula>ISNA(H47)</formula>
    </cfRule>
    <cfRule type="expression" dxfId="918" priority="8">
      <formula>H$2&gt;=start_proj</formula>
    </cfRule>
  </conditionalFormatting>
  <conditionalFormatting sqref="H2:AP2">
    <cfRule type="cellIs" dxfId="917" priority="41" operator="equal">
      <formula>start_hist</formula>
    </cfRule>
    <cfRule type="cellIs" dxfId="916" priority="42" operator="greaterThan">
      <formula>start_proj</formula>
    </cfRule>
  </conditionalFormatting>
  <conditionalFormatting sqref="H2:AP3">
    <cfRule type="cellIs" dxfId="915" priority="23" operator="equal">
      <formula>end_proj</formula>
    </cfRule>
    <cfRule type="expression" dxfId="914" priority="24">
      <formula>ISNA(H2)</formula>
    </cfRule>
    <cfRule type="cellIs" dxfId="913" priority="25" operator="equal">
      <formula>start_proj</formula>
    </cfRule>
  </conditionalFormatting>
  <conditionalFormatting sqref="H28:AP28">
    <cfRule type="expression" dxfId="912" priority="73">
      <formula>ISNA(H28)</formula>
    </cfRule>
    <cfRule type="expression" dxfId="911" priority="74">
      <formula>H$2&gt;=start_proj</formula>
    </cfRule>
  </conditionalFormatting>
  <conditionalFormatting sqref="H33:AP38">
    <cfRule type="expression" dxfId="910" priority="9">
      <formula>ISNA(H33)</formula>
    </cfRule>
    <cfRule type="expression" dxfId="909" priority="10">
      <formula>H$2&gt;=start_proj</formula>
    </cfRule>
  </conditionalFormatting>
  <conditionalFormatting sqref="H40:AP43">
    <cfRule type="expression" dxfId="908" priority="5">
      <formula>ISNA(H40)</formula>
    </cfRule>
    <cfRule type="expression" dxfId="907" priority="6">
      <formula>H$2&gt;=start_proj</formula>
    </cfRule>
  </conditionalFormatting>
  <conditionalFormatting sqref="H46:AP46 AP47:AP49">
    <cfRule type="expression" dxfId="906" priority="3">
      <formula>ISNA(H46)</formula>
    </cfRule>
    <cfRule type="expression" dxfId="905" priority="4">
      <formula>H$2&gt;=start_proj</formula>
    </cfRule>
  </conditionalFormatting>
  <conditionalFormatting sqref="H51:AP57">
    <cfRule type="expression" dxfId="904" priority="1">
      <formula>ISNA(H51)</formula>
    </cfRule>
    <cfRule type="expression" dxfId="903" priority="2">
      <formula>H$2&gt;=start_proj</formula>
    </cfRule>
  </conditionalFormatting>
  <conditionalFormatting sqref="H59:AP63">
    <cfRule type="expression" dxfId="902" priority="11">
      <formula>ISNA(H59)</formula>
    </cfRule>
    <cfRule type="expression" dxfId="901" priority="12">
      <formula>H$2&gt;=start_proj</formula>
    </cfRule>
  </conditionalFormatting>
  <conditionalFormatting sqref="H65:AP65">
    <cfRule type="expression" dxfId="900" priority="107">
      <formula>ISNA(H65)</formula>
    </cfRule>
    <cfRule type="expression" dxfId="899" priority="108">
      <formula>H$2&gt;=start_proj</formula>
    </cfRule>
  </conditionalFormatting>
  <conditionalFormatting sqref="H67:AP73">
    <cfRule type="expression" dxfId="898" priority="15">
      <formula>ISNA(H67)</formula>
    </cfRule>
    <cfRule type="expression" dxfId="897" priority="16">
      <formula>H$2&gt;=start_proj</formula>
    </cfRule>
  </conditionalFormatting>
  <conditionalFormatting sqref="H75:AP81">
    <cfRule type="expression" dxfId="896" priority="17">
      <formula>ISNA(H75)</formula>
    </cfRule>
    <cfRule type="expression" dxfId="895" priority="18">
      <formula>H$2&gt;=start_proj</formula>
    </cfRule>
  </conditionalFormatting>
  <conditionalFormatting sqref="I26:AP26">
    <cfRule type="expression" dxfId="894" priority="13">
      <formula>ISNA(I26)</formula>
    </cfRule>
    <cfRule type="expression" dxfId="893" priority="14">
      <formula>I$2&gt;=start_proj</formula>
    </cfRule>
  </conditionalFormatting>
  <conditionalFormatting sqref="AO3">
    <cfRule type="cellIs" dxfId="892" priority="26" operator="equal">
      <formula>start_proj-hist_years</formula>
    </cfRule>
    <cfRule type="cellIs" dxfId="891" priority="27" operator="greaterThan">
      <formula>start_proj</formula>
    </cfRule>
  </conditionalFormatting>
  <conditionalFormatting sqref="AP12:AP13 H23:AP23 AP31:AP32 H32:AO32 H89:AP92 H93:H94 I93:AP95 H95:AP97">
    <cfRule type="expression" dxfId="890" priority="89">
      <formula>ISNA(H12)</formula>
    </cfRule>
    <cfRule type="expression" dxfId="889" priority="90">
      <formula>H$2&gt;=start_proj</formula>
    </cfRule>
  </conditionalFormatting>
  <conditionalFormatting sqref="AP19:AP20">
    <cfRule type="expression" dxfId="888" priority="91">
      <formula>ISNA(AP19)</formula>
    </cfRule>
    <cfRule type="expression" dxfId="887" priority="92">
      <formula>AP$2&gt;=start_proj</formula>
    </cfRule>
  </conditionalFormatting>
  <hyperlinks>
    <hyperlink ref="C1" location="Dashboard!A1" display="Go to Dashboard" xr:uid="{8D69BAED-D32A-4E86-82E4-62701293A2EE}"/>
    <hyperlink ref="D1" location="Cover!A1" display="Go to Results" xr:uid="{07BA03F7-E333-41B7-85D8-E82B3A43806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025F7-7EF2-4BFF-ABF5-10B8807CD23E}">
  <sheetPr codeName="Sheet11">
    <tabColor theme="8" tint="-0.249977111117893"/>
  </sheetPr>
  <dimension ref="A1:AP270"/>
  <sheetViews>
    <sheetView zoomScale="70" zoomScaleNormal="70" workbookViewId="0">
      <pane xSplit="6" ySplit="3" topLeftCell="G46" activePane="bottomRight" state="frozen"/>
      <selection pane="topRight" activeCell="I193" sqref="I193"/>
      <selection pane="bottomLeft" activeCell="I193" sqref="I193"/>
      <selection pane="bottomRight" activeCell="I54" sqref="I54"/>
    </sheetView>
  </sheetViews>
  <sheetFormatPr defaultRowHeight="15" outlineLevelRow="1" x14ac:dyDescent="0.25"/>
  <cols>
    <col min="1" max="1" width="5" style="51" customWidth="1"/>
    <col min="2" max="2" width="5.42578125" style="52" customWidth="1"/>
    <col min="3" max="3" width="38.140625" customWidth="1"/>
    <col min="4" max="4" width="8.85546875" customWidth="1"/>
    <col min="5" max="5" width="16.28515625" style="53" customWidth="1"/>
    <col min="6" max="6" width="17.140625" customWidth="1"/>
    <col min="7" max="7" width="15" customWidth="1"/>
    <col min="8" max="8" width="16.5703125" customWidth="1"/>
    <col min="9" max="28" width="14.28515625" bestFit="1" customWidth="1"/>
    <col min="29" max="29" width="14" customWidth="1"/>
    <col min="30" max="41" width="11.85546875" customWidth="1"/>
  </cols>
  <sheetData>
    <row r="1" spans="1:42" x14ac:dyDescent="0.25">
      <c r="A1" s="1"/>
      <c r="B1" s="2"/>
      <c r="C1" s="3" t="s">
        <v>191</v>
      </c>
      <c r="D1" s="3" t="s">
        <v>40</v>
      </c>
      <c r="E1" s="4"/>
      <c r="F1" s="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5"/>
    </row>
    <row r="2" spans="1:42" x14ac:dyDescent="0.25">
      <c r="A2" s="6"/>
      <c r="B2" s="7"/>
      <c r="C2" s="8"/>
      <c r="D2" s="8"/>
      <c r="E2" s="9"/>
      <c r="F2" s="9"/>
      <c r="G2" s="7"/>
      <c r="H2" s="10">
        <f>chart_start_proj</f>
        <v>2023</v>
      </c>
      <c r="I2" s="10">
        <f>H2+1</f>
        <v>2024</v>
      </c>
      <c r="J2" s="10">
        <f t="shared" ref="J2:AO2" si="0">I2+1</f>
        <v>2025</v>
      </c>
      <c r="K2" s="10">
        <f t="shared" si="0"/>
        <v>2026</v>
      </c>
      <c r="L2" s="10">
        <f t="shared" si="0"/>
        <v>2027</v>
      </c>
      <c r="M2" s="10">
        <f t="shared" si="0"/>
        <v>2028</v>
      </c>
      <c r="N2" s="10">
        <f t="shared" si="0"/>
        <v>2029</v>
      </c>
      <c r="O2" s="10">
        <f t="shared" si="0"/>
        <v>2030</v>
      </c>
      <c r="P2" s="10">
        <f t="shared" si="0"/>
        <v>2031</v>
      </c>
      <c r="Q2" s="10">
        <f t="shared" si="0"/>
        <v>2032</v>
      </c>
      <c r="R2" s="10">
        <f t="shared" si="0"/>
        <v>2033</v>
      </c>
      <c r="S2" s="10">
        <f t="shared" si="0"/>
        <v>2034</v>
      </c>
      <c r="T2" s="10">
        <f t="shared" si="0"/>
        <v>2035</v>
      </c>
      <c r="U2" s="10">
        <f t="shared" si="0"/>
        <v>2036</v>
      </c>
      <c r="V2" s="10">
        <f t="shared" si="0"/>
        <v>2037</v>
      </c>
      <c r="W2" s="10">
        <f t="shared" si="0"/>
        <v>2038</v>
      </c>
      <c r="X2" s="10">
        <f t="shared" si="0"/>
        <v>2039</v>
      </c>
      <c r="Y2" s="10">
        <f t="shared" si="0"/>
        <v>2040</v>
      </c>
      <c r="Z2" s="10">
        <f t="shared" si="0"/>
        <v>2041</v>
      </c>
      <c r="AA2" s="10">
        <f t="shared" si="0"/>
        <v>2042</v>
      </c>
      <c r="AB2" s="10">
        <f t="shared" si="0"/>
        <v>2043</v>
      </c>
      <c r="AC2" s="10">
        <f t="shared" si="0"/>
        <v>2044</v>
      </c>
      <c r="AD2" s="10">
        <f t="shared" si="0"/>
        <v>2045</v>
      </c>
      <c r="AE2" s="10">
        <f t="shared" si="0"/>
        <v>2046</v>
      </c>
      <c r="AF2" s="10">
        <f t="shared" si="0"/>
        <v>2047</v>
      </c>
      <c r="AG2" s="10">
        <f t="shared" si="0"/>
        <v>2048</v>
      </c>
      <c r="AH2" s="10">
        <f t="shared" si="0"/>
        <v>2049</v>
      </c>
      <c r="AI2" s="10">
        <f t="shared" si="0"/>
        <v>2050</v>
      </c>
      <c r="AJ2" s="10">
        <f t="shared" si="0"/>
        <v>2051</v>
      </c>
      <c r="AK2" s="10">
        <f t="shared" si="0"/>
        <v>2052</v>
      </c>
      <c r="AL2" s="10">
        <f t="shared" si="0"/>
        <v>2053</v>
      </c>
      <c r="AM2" s="10">
        <f t="shared" si="0"/>
        <v>2054</v>
      </c>
      <c r="AN2" s="10">
        <f t="shared" si="0"/>
        <v>2055</v>
      </c>
      <c r="AO2" s="10">
        <f t="shared" si="0"/>
        <v>2056</v>
      </c>
      <c r="AP2" s="11"/>
    </row>
    <row r="3" spans="1:42" x14ac:dyDescent="0.25">
      <c r="A3" s="1"/>
      <c r="B3" s="2"/>
      <c r="C3" s="148"/>
      <c r="D3" s="148"/>
      <c r="E3" s="4"/>
      <c r="F3" s="4"/>
      <c r="G3" s="2"/>
      <c r="H3" s="142">
        <v>0</v>
      </c>
      <c r="I3" s="142">
        <v>1</v>
      </c>
      <c r="J3" s="142">
        <v>2</v>
      </c>
      <c r="K3" s="142">
        <v>3</v>
      </c>
      <c r="L3" s="142">
        <v>4</v>
      </c>
      <c r="M3" s="142">
        <v>5</v>
      </c>
      <c r="N3" s="142">
        <v>6</v>
      </c>
      <c r="O3" s="142">
        <v>7</v>
      </c>
      <c r="P3" s="142">
        <v>8</v>
      </c>
      <c r="Q3" s="142">
        <v>9</v>
      </c>
      <c r="R3" s="142">
        <v>10</v>
      </c>
      <c r="S3" s="142">
        <v>11</v>
      </c>
      <c r="T3" s="142">
        <v>12</v>
      </c>
      <c r="U3" s="142">
        <v>13</v>
      </c>
      <c r="V3" s="142">
        <v>14</v>
      </c>
      <c r="W3" s="142">
        <v>15</v>
      </c>
      <c r="X3" s="142">
        <v>16</v>
      </c>
      <c r="Y3" s="142">
        <v>17</v>
      </c>
      <c r="Z3" s="142">
        <v>18</v>
      </c>
      <c r="AA3" s="142">
        <v>19</v>
      </c>
      <c r="AB3" s="142">
        <v>20</v>
      </c>
      <c r="AC3" s="142">
        <v>21</v>
      </c>
      <c r="AD3" s="142">
        <v>22</v>
      </c>
      <c r="AE3" s="142">
        <v>23</v>
      </c>
      <c r="AF3" s="142">
        <v>24</v>
      </c>
      <c r="AG3" s="142">
        <v>25</v>
      </c>
      <c r="AH3" s="142">
        <v>26</v>
      </c>
      <c r="AI3" s="142">
        <v>27</v>
      </c>
      <c r="AJ3" s="142">
        <v>28</v>
      </c>
      <c r="AK3" s="142">
        <v>29</v>
      </c>
      <c r="AL3" s="142">
        <v>30</v>
      </c>
      <c r="AM3" s="142">
        <v>31</v>
      </c>
      <c r="AN3" s="142">
        <v>32</v>
      </c>
      <c r="AO3" s="142">
        <v>33</v>
      </c>
      <c r="AP3" s="149"/>
    </row>
    <row r="4" spans="1:42" x14ac:dyDescent="0.25">
      <c r="A4" s="12"/>
      <c r="B4" s="13"/>
      <c r="C4" s="14"/>
      <c r="D4" s="14"/>
      <c r="E4" s="15"/>
      <c r="F4" s="16"/>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7"/>
    </row>
    <row r="5" spans="1:42" x14ac:dyDescent="0.25">
      <c r="A5" s="18" t="s">
        <v>192</v>
      </c>
      <c r="B5" s="19"/>
      <c r="C5" s="20" t="s">
        <v>193</v>
      </c>
      <c r="D5" s="21" t="s">
        <v>194</v>
      </c>
      <c r="E5" s="21" t="s">
        <v>110</v>
      </c>
      <c r="F5" s="22" t="s">
        <v>195</v>
      </c>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7"/>
    </row>
    <row r="6" spans="1:42" x14ac:dyDescent="0.25">
      <c r="A6" s="12"/>
      <c r="B6" s="13"/>
      <c r="C6" s="14"/>
      <c r="D6" s="14"/>
      <c r="E6" s="15"/>
      <c r="F6" s="16"/>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7"/>
    </row>
    <row r="7" spans="1:42" x14ac:dyDescent="0.25">
      <c r="A7" s="89"/>
      <c r="B7" s="89"/>
      <c r="C7" s="90" t="s">
        <v>172</v>
      </c>
      <c r="D7" s="91"/>
      <c r="E7" s="92"/>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3"/>
    </row>
    <row r="8" spans="1:42" ht="14.25" customHeight="1" outlineLevel="1" x14ac:dyDescent="0.25">
      <c r="A8" s="23"/>
      <c r="B8" s="23"/>
      <c r="C8" s="24" t="s">
        <v>505</v>
      </c>
      <c r="D8" s="24"/>
      <c r="E8" s="25"/>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7"/>
    </row>
    <row r="9" spans="1:42" outlineLevel="1" x14ac:dyDescent="0.25">
      <c r="A9" s="13"/>
      <c r="B9" s="13"/>
      <c r="C9" s="30"/>
      <c r="D9" s="30"/>
      <c r="E9" s="31"/>
      <c r="F9" s="16"/>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3"/>
    </row>
    <row r="10" spans="1:42" ht="15.75" customHeight="1" outlineLevel="1" x14ac:dyDescent="0.25">
      <c r="A10" s="12"/>
      <c r="B10" s="13"/>
      <c r="C10" s="14"/>
      <c r="D10" s="14"/>
      <c r="E10" s="15"/>
      <c r="F10" s="16"/>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7"/>
    </row>
    <row r="11" spans="1:42" outlineLevel="1" x14ac:dyDescent="0.25">
      <c r="A11" s="12"/>
      <c r="B11" s="13"/>
      <c r="C11" s="37" t="s">
        <v>506</v>
      </c>
      <c r="D11" s="37"/>
      <c r="E11" s="38"/>
      <c r="F11" s="39"/>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17"/>
    </row>
    <row r="12" spans="1:42" outlineLevel="1" x14ac:dyDescent="0.25">
      <c r="A12" s="12"/>
      <c r="B12" s="13"/>
      <c r="C12" s="41" t="s">
        <v>507</v>
      </c>
      <c r="D12" s="41"/>
      <c r="E12" s="15" t="s">
        <v>465</v>
      </c>
      <c r="F12" s="16"/>
      <c r="G12" s="14"/>
      <c r="H12" s="141"/>
      <c r="I12" s="141">
        <f>Route!I$11</f>
        <v>93600</v>
      </c>
      <c r="J12" s="141">
        <f>Route!J$11</f>
        <v>93600</v>
      </c>
      <c r="K12" s="141">
        <f>Route!K$11</f>
        <v>93600</v>
      </c>
      <c r="L12" s="141">
        <f>Route!L$11</f>
        <v>93600</v>
      </c>
      <c r="M12" s="141">
        <f>Route!M$11</f>
        <v>93600</v>
      </c>
      <c r="N12" s="141">
        <f>Route!N$11</f>
        <v>93600</v>
      </c>
      <c r="O12" s="141">
        <f>Route!O$11</f>
        <v>93600</v>
      </c>
      <c r="P12" s="141">
        <f>Route!P$11</f>
        <v>93600</v>
      </c>
      <c r="Q12" s="141">
        <f>Route!Q$11</f>
        <v>93600</v>
      </c>
      <c r="R12" s="141">
        <f>Route!R$11</f>
        <v>93600</v>
      </c>
      <c r="S12" s="141">
        <f>Route!S$11</f>
        <v>93600</v>
      </c>
      <c r="T12" s="141">
        <f>Route!T$11</f>
        <v>93600</v>
      </c>
      <c r="U12" s="141">
        <f>Route!U$11</f>
        <v>93600</v>
      </c>
      <c r="V12" s="141">
        <f>Route!V$11</f>
        <v>93600</v>
      </c>
      <c r="W12" s="141">
        <f>Route!W$11</f>
        <v>93600</v>
      </c>
      <c r="X12" s="141">
        <f>Route!X$11</f>
        <v>93600</v>
      </c>
      <c r="Y12" s="141">
        <f>Route!Y$11</f>
        <v>93600</v>
      </c>
      <c r="Z12" s="141">
        <f>Route!Z$11</f>
        <v>93600</v>
      </c>
      <c r="AA12" s="141">
        <f>Route!AA$11</f>
        <v>93600</v>
      </c>
      <c r="AB12" s="141">
        <f>Route!AB$11</f>
        <v>93600</v>
      </c>
      <c r="AC12" s="14"/>
      <c r="AD12" s="14"/>
      <c r="AE12" s="14"/>
      <c r="AF12" s="14"/>
      <c r="AG12" s="14"/>
      <c r="AH12" s="14"/>
      <c r="AI12" s="14"/>
      <c r="AJ12" s="14"/>
      <c r="AK12" s="14"/>
      <c r="AL12" s="14"/>
      <c r="AM12" s="14"/>
      <c r="AN12" s="14"/>
      <c r="AO12" s="14"/>
      <c r="AP12" s="17"/>
    </row>
    <row r="13" spans="1:42" outlineLevel="1" x14ac:dyDescent="0.25">
      <c r="A13" s="12"/>
      <c r="B13" s="13"/>
      <c r="C13" s="41"/>
      <c r="D13" s="41"/>
      <c r="E13" s="15"/>
      <c r="F13" s="16"/>
      <c r="G13" s="14"/>
      <c r="H13" s="141"/>
      <c r="I13" s="141"/>
      <c r="J13" s="141"/>
      <c r="K13" s="141"/>
      <c r="L13" s="141"/>
      <c r="M13" s="141"/>
      <c r="N13" s="141"/>
      <c r="O13" s="141"/>
      <c r="P13" s="141"/>
      <c r="Q13" s="141"/>
      <c r="R13" s="141"/>
      <c r="S13" s="141"/>
      <c r="T13" s="141"/>
      <c r="U13" s="141"/>
      <c r="V13" s="141"/>
      <c r="W13" s="141"/>
      <c r="X13" s="141"/>
      <c r="Y13" s="141"/>
      <c r="Z13" s="141"/>
      <c r="AA13" s="141"/>
      <c r="AB13" s="141"/>
      <c r="AC13" s="14"/>
      <c r="AD13" s="14"/>
      <c r="AE13" s="14"/>
      <c r="AF13" s="14"/>
      <c r="AG13" s="14"/>
      <c r="AH13" s="14"/>
      <c r="AI13" s="14"/>
      <c r="AJ13" s="14"/>
      <c r="AK13" s="14"/>
      <c r="AL13" s="14"/>
      <c r="AM13" s="14"/>
      <c r="AN13" s="14"/>
      <c r="AO13" s="14"/>
      <c r="AP13" s="17"/>
    </row>
    <row r="14" spans="1:42" outlineLevel="1" x14ac:dyDescent="0.25">
      <c r="A14" s="12"/>
      <c r="B14" s="13"/>
      <c r="C14" s="41"/>
      <c r="D14" s="41"/>
      <c r="E14" s="15"/>
      <c r="F14" s="16"/>
      <c r="G14" s="14"/>
      <c r="H14" s="141"/>
      <c r="I14" s="141"/>
      <c r="J14" s="141"/>
      <c r="K14" s="141"/>
      <c r="L14" s="141"/>
      <c r="M14" s="141"/>
      <c r="N14" s="141"/>
      <c r="O14" s="141"/>
      <c r="P14" s="141"/>
      <c r="Q14" s="141"/>
      <c r="R14" s="141"/>
      <c r="S14" s="141"/>
      <c r="T14" s="141"/>
      <c r="U14" s="141"/>
      <c r="V14" s="141"/>
      <c r="W14" s="141"/>
      <c r="X14" s="141"/>
      <c r="Y14" s="141"/>
      <c r="Z14" s="141"/>
      <c r="AA14" s="141"/>
      <c r="AB14" s="141"/>
      <c r="AC14" s="14"/>
      <c r="AD14" s="14"/>
      <c r="AE14" s="14"/>
      <c r="AF14" s="14"/>
      <c r="AG14" s="14"/>
      <c r="AH14" s="14"/>
      <c r="AI14" s="14"/>
      <c r="AJ14" s="14"/>
      <c r="AK14" s="14"/>
      <c r="AL14" s="14"/>
      <c r="AM14" s="14"/>
      <c r="AN14" s="14"/>
      <c r="AO14" s="14"/>
      <c r="AP14" s="17"/>
    </row>
    <row r="15" spans="1:42" outlineLevel="1" x14ac:dyDescent="0.25">
      <c r="A15" s="12"/>
      <c r="B15" s="13"/>
      <c r="C15" s="14"/>
      <c r="D15" s="14"/>
      <c r="E15" s="15"/>
      <c r="F15" s="16"/>
      <c r="G15" s="14"/>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356"/>
      <c r="AP15" s="17"/>
    </row>
    <row r="16" spans="1:42" outlineLevel="1" x14ac:dyDescent="0.25">
      <c r="A16" s="12"/>
      <c r="B16" s="13"/>
      <c r="C16" s="14"/>
      <c r="D16" s="14"/>
      <c r="E16" s="15"/>
      <c r="F16" s="16"/>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7"/>
    </row>
    <row r="17" spans="1:42" outlineLevel="1" x14ac:dyDescent="0.25">
      <c r="A17" s="12"/>
      <c r="B17" s="13"/>
      <c r="C17" s="37" t="s">
        <v>508</v>
      </c>
      <c r="D17" s="37"/>
      <c r="E17" s="38"/>
      <c r="F17" s="39"/>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17"/>
    </row>
    <row r="18" spans="1:42" outlineLevel="1" x14ac:dyDescent="0.25">
      <c r="A18" s="12"/>
      <c r="B18" s="13"/>
      <c r="C18" s="95" t="s">
        <v>254</v>
      </c>
      <c r="D18" s="14"/>
      <c r="E18" s="15"/>
      <c r="F18" s="16"/>
      <c r="G18" s="14"/>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356"/>
      <c r="AP18" s="29"/>
    </row>
    <row r="19" spans="1:42" outlineLevel="1" x14ac:dyDescent="0.25">
      <c r="A19" s="12"/>
      <c r="B19" s="13"/>
      <c r="C19" s="96" t="s">
        <v>120</v>
      </c>
      <c r="D19" s="14"/>
      <c r="E19" s="15" t="s">
        <v>142</v>
      </c>
      <c r="F19" s="158" t="str">
        <f>Dashboard!$I$43</f>
        <v>2 Axle rigid</v>
      </c>
      <c r="G19" s="14"/>
      <c r="H19" s="150">
        <f>IF(C19=F19,Data!$E$112,0)</f>
        <v>350000</v>
      </c>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356"/>
      <c r="AP19" s="29"/>
    </row>
    <row r="20" spans="1:42" outlineLevel="1" x14ac:dyDescent="0.25">
      <c r="A20" s="12"/>
      <c r="B20" s="13"/>
      <c r="C20" s="96" t="s">
        <v>124</v>
      </c>
      <c r="D20" s="14"/>
      <c r="E20" s="15" t="s">
        <v>142</v>
      </c>
      <c r="F20" s="158" t="str">
        <f>Dashboard!$I$43</f>
        <v>2 Axle rigid</v>
      </c>
      <c r="G20" s="14"/>
      <c r="H20" s="150">
        <f>IF(C20=F20,Data!$E$113,0)</f>
        <v>0</v>
      </c>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356"/>
      <c r="AP20" s="29"/>
    </row>
    <row r="21" spans="1:42" outlineLevel="1" x14ac:dyDescent="0.25">
      <c r="A21" s="12"/>
      <c r="B21" s="13"/>
      <c r="C21" s="96" t="s">
        <v>126</v>
      </c>
      <c r="D21" s="14"/>
      <c r="E21" s="15" t="s">
        <v>142</v>
      </c>
      <c r="F21" s="158" t="str">
        <f>Dashboard!$I$43</f>
        <v>2 Axle rigid</v>
      </c>
      <c r="G21" s="14"/>
      <c r="H21" s="150">
        <f>IF(C21=F21,Data!$E$114,0)</f>
        <v>0</v>
      </c>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356"/>
      <c r="AP21" s="29"/>
    </row>
    <row r="22" spans="1:42" outlineLevel="1" x14ac:dyDescent="0.25">
      <c r="A22" s="12"/>
      <c r="B22" s="13"/>
      <c r="C22" s="20" t="s">
        <v>509</v>
      </c>
      <c r="D22" s="14"/>
      <c r="E22" s="15" t="s">
        <v>142</v>
      </c>
      <c r="F22" s="16"/>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7"/>
    </row>
    <row r="23" spans="1:42" outlineLevel="1" x14ac:dyDescent="0.25">
      <c r="A23" s="12"/>
      <c r="B23" s="13"/>
      <c r="C23" s="45"/>
      <c r="D23" s="45"/>
      <c r="E23" s="15"/>
      <c r="F23" s="16"/>
      <c r="G23" s="14"/>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357"/>
      <c r="AP23" s="29"/>
    </row>
    <row r="24" spans="1:42" outlineLevel="1" x14ac:dyDescent="0.25">
      <c r="A24" s="12"/>
      <c r="B24" s="13"/>
      <c r="C24" s="19" t="s">
        <v>510</v>
      </c>
      <c r="D24" s="45"/>
      <c r="E24" s="15"/>
      <c r="F24" s="16"/>
      <c r="G24" s="14"/>
      <c r="H24" s="182">
        <f>SUM(H19:H23)</f>
        <v>350000</v>
      </c>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357"/>
      <c r="AP24" s="29"/>
    </row>
    <row r="25" spans="1:42" s="140" customFormat="1" outlineLevel="1" x14ac:dyDescent="0.25">
      <c r="A25" s="78"/>
      <c r="B25" s="19"/>
      <c r="C25" s="96" t="s">
        <v>511</v>
      </c>
      <c r="D25" s="20"/>
      <c r="E25" s="15" t="s">
        <v>54</v>
      </c>
      <c r="F25" s="48"/>
      <c r="G25" s="20"/>
      <c r="H25" s="20"/>
      <c r="I25" s="244">
        <f>-PMT(Data!$E$10,Data!$E$126,'Diesel (BAU)'!$H$24,0,0)</f>
        <v>25753.612615020113</v>
      </c>
      <c r="J25" s="244">
        <f>-PMT(Data!$E$10,Data!$E$126,'Diesel (BAU)'!$H$24,0,0)</f>
        <v>25753.612615020113</v>
      </c>
      <c r="K25" s="244">
        <f>-PMT(Data!$E$10,Data!$E$126,'Diesel (BAU)'!$H$24,0,0)</f>
        <v>25753.612615020113</v>
      </c>
      <c r="L25" s="244">
        <f>-PMT(Data!$E$10,Data!$E$126,'Diesel (BAU)'!$H$24,0,0)</f>
        <v>25753.612615020113</v>
      </c>
      <c r="M25" s="244">
        <f>-PMT(Data!$E$10,Data!$E$126,'Diesel (BAU)'!$H$24,0,0)</f>
        <v>25753.612615020113</v>
      </c>
      <c r="N25" s="244">
        <f>-PMT(Data!$E$10,Data!$E$126,'Diesel (BAU)'!$H$24,0,0)</f>
        <v>25753.612615020113</v>
      </c>
      <c r="O25" s="244">
        <f>-PMT(Data!$E$10,Data!$E$126,'Diesel (BAU)'!$H$24,0,0)</f>
        <v>25753.612615020113</v>
      </c>
      <c r="P25" s="244">
        <f>-PMT(Data!$E$10,Data!$E$126,'Diesel (BAU)'!$H$24,0,0)</f>
        <v>25753.612615020113</v>
      </c>
      <c r="Q25" s="244">
        <f>-PMT(Data!$E$10,Data!$E$126,'Diesel (BAU)'!$H$24,0,0)</f>
        <v>25753.612615020113</v>
      </c>
      <c r="R25" s="244">
        <f>-PMT(Data!$E$10,Data!$E$126,'Diesel (BAU)'!$H$24,0,0)</f>
        <v>25753.612615020113</v>
      </c>
      <c r="S25" s="244">
        <f>-PMT(Data!$E$10,Data!$E$126,'Diesel (BAU)'!$H$24,0,0)</f>
        <v>25753.612615020113</v>
      </c>
      <c r="T25" s="244">
        <f>-PMT(Data!$E$10,Data!$E$126,'Diesel (BAU)'!$H$24,0,0)</f>
        <v>25753.612615020113</v>
      </c>
      <c r="U25" s="244">
        <f>-PMT(Data!$E$10,Data!$E$126,'Diesel (BAU)'!$H$24,0,0)</f>
        <v>25753.612615020113</v>
      </c>
      <c r="V25" s="244">
        <f>-PMT(Data!$E$10,Data!$E$126,'Diesel (BAU)'!$H$24,0,0)</f>
        <v>25753.612615020113</v>
      </c>
      <c r="W25" s="244">
        <f>-PMT(Data!$E$10,Data!$E$126,'Diesel (BAU)'!$H$24,0,0)</f>
        <v>25753.612615020113</v>
      </c>
      <c r="X25" s="244">
        <f>-PMT(Data!$E$10,Data!$E$126,'Diesel (BAU)'!$H$24,0,0)</f>
        <v>25753.612615020113</v>
      </c>
      <c r="Y25" s="244">
        <f>-PMT(Data!$E$10,Data!$E$126,'Diesel (BAU)'!$H$24,0,0)</f>
        <v>25753.612615020113</v>
      </c>
      <c r="Z25" s="244">
        <f>-PMT(Data!$E$10,Data!$E$126,'Diesel (BAU)'!$H$24,0,0)</f>
        <v>25753.612615020113</v>
      </c>
      <c r="AA25" s="244">
        <f>-PMT(Data!$E$10,Data!$E$126,'Diesel (BAU)'!$H$24,0,0)</f>
        <v>25753.612615020113</v>
      </c>
      <c r="AB25" s="244">
        <f>-PMT(Data!$E$10,Data!$E$126,'Diesel (BAU)'!$H$24,0,0)</f>
        <v>25753.612615020113</v>
      </c>
      <c r="AC25" s="20"/>
      <c r="AD25" s="20"/>
      <c r="AE25" s="20"/>
      <c r="AF25" s="20"/>
      <c r="AG25" s="20"/>
      <c r="AH25" s="20"/>
      <c r="AI25" s="20"/>
      <c r="AJ25" s="20"/>
      <c r="AK25" s="20"/>
      <c r="AL25" s="20"/>
      <c r="AM25" s="20"/>
      <c r="AN25" s="20"/>
      <c r="AO25" s="20"/>
      <c r="AP25" s="370"/>
    </row>
    <row r="26" spans="1:42" outlineLevel="1" x14ac:dyDescent="0.25">
      <c r="A26" s="12"/>
      <c r="B26" s="13"/>
      <c r="C26" s="14"/>
      <c r="D26" s="14"/>
      <c r="E26" s="15"/>
      <c r="F26" s="16"/>
      <c r="G26" s="14"/>
      <c r="H26" s="14"/>
      <c r="I26" s="182"/>
      <c r="J26" s="182"/>
      <c r="K26" s="182"/>
      <c r="L26" s="182"/>
      <c r="M26" s="182"/>
      <c r="N26" s="182"/>
      <c r="O26" s="182"/>
      <c r="P26" s="182"/>
      <c r="Q26" s="182"/>
      <c r="R26" s="182"/>
      <c r="S26" s="182"/>
      <c r="T26" s="182"/>
      <c r="U26" s="182"/>
      <c r="V26" s="182"/>
      <c r="W26" s="182"/>
      <c r="X26" s="182"/>
      <c r="Y26" s="182"/>
      <c r="Z26" s="182"/>
      <c r="AA26" s="182"/>
      <c r="AB26" s="182"/>
      <c r="AC26" s="14"/>
      <c r="AD26" s="14"/>
      <c r="AE26" s="14"/>
      <c r="AF26" s="14"/>
      <c r="AG26" s="14"/>
      <c r="AH26" s="14"/>
      <c r="AI26" s="14"/>
      <c r="AJ26" s="14"/>
      <c r="AK26" s="14"/>
      <c r="AL26" s="14"/>
      <c r="AM26" s="14"/>
      <c r="AN26" s="14"/>
      <c r="AO26" s="14"/>
      <c r="AP26" s="17"/>
    </row>
    <row r="27" spans="1:42" outlineLevel="1" x14ac:dyDescent="0.25">
      <c r="A27" s="12"/>
      <c r="B27" s="13"/>
      <c r="C27" s="37" t="s">
        <v>472</v>
      </c>
      <c r="D27" s="37"/>
      <c r="E27" s="38"/>
      <c r="F27" s="39"/>
      <c r="G27" s="73"/>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17"/>
    </row>
    <row r="28" spans="1:42" outlineLevel="1" x14ac:dyDescent="0.25">
      <c r="A28" s="12"/>
      <c r="B28" s="13"/>
      <c r="C28" s="44" t="s">
        <v>258</v>
      </c>
      <c r="D28" s="44"/>
      <c r="E28" s="15"/>
      <c r="F28" s="16"/>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7"/>
    </row>
    <row r="29" spans="1:42" outlineLevel="1" x14ac:dyDescent="0.25">
      <c r="A29" s="12"/>
      <c r="B29" s="13"/>
      <c r="C29" s="45" t="s">
        <v>120</v>
      </c>
      <c r="D29" s="45"/>
      <c r="E29" s="15" t="s">
        <v>474</v>
      </c>
      <c r="F29" s="158" t="str">
        <f>Dashboard!$I$43</f>
        <v>2 Axle rigid</v>
      </c>
      <c r="G29" s="14"/>
      <c r="H29" s="177"/>
      <c r="I29" s="177">
        <f>IF($C$29=$F$29,Data!$E$118*I12,0)</f>
        <v>70200</v>
      </c>
      <c r="J29" s="177">
        <f>IF($C$29=$F$29,Data!$E$118*J12,0)</f>
        <v>70200</v>
      </c>
      <c r="K29" s="177">
        <f>IF($C$29=$F$29,Data!$E$118*K12,0)</f>
        <v>70200</v>
      </c>
      <c r="L29" s="177">
        <f>IF($C$29=$F$29,Data!$E$118*L12,0)</f>
        <v>70200</v>
      </c>
      <c r="M29" s="177">
        <f>IF($C$29=$F$29,Data!$E$118*M12,0)</f>
        <v>70200</v>
      </c>
      <c r="N29" s="177">
        <f>IF($C$29=$F$29,Data!$E$118*N12,0)</f>
        <v>70200</v>
      </c>
      <c r="O29" s="177">
        <f>IF($C$29=$F$29,Data!$E$118*O12,0)</f>
        <v>70200</v>
      </c>
      <c r="P29" s="177">
        <f>IF($C$29=$F$29,Data!$E$118*P12,0)</f>
        <v>70200</v>
      </c>
      <c r="Q29" s="177">
        <f>IF($C$29=$F$29,Data!$E$118*Q12,0)</f>
        <v>70200</v>
      </c>
      <c r="R29" s="177">
        <f>IF($C$29=$F$29,Data!$E$118*R12,0)</f>
        <v>70200</v>
      </c>
      <c r="S29" s="177">
        <f>IF($C$29=$F$29,Data!$E$118*S12,0)</f>
        <v>70200</v>
      </c>
      <c r="T29" s="177">
        <f>IF($C$29=$F$29,Data!$E$118*T12,0)</f>
        <v>70200</v>
      </c>
      <c r="U29" s="177">
        <f>IF($C$29=$F$29,Data!$E$118*U12,0)</f>
        <v>70200</v>
      </c>
      <c r="V29" s="177">
        <f>IF($C$29=$F$29,Data!$E$118*V12,0)</f>
        <v>70200</v>
      </c>
      <c r="W29" s="177">
        <f>IF($C$29=$F$29,Data!$E$118*W12,0)</f>
        <v>70200</v>
      </c>
      <c r="X29" s="177">
        <f>IF($C$29=$F$29,Data!$E$118*X12,0)</f>
        <v>70200</v>
      </c>
      <c r="Y29" s="177">
        <f>IF($C$29=$F$29,Data!$E$118*Y12,0)</f>
        <v>70200</v>
      </c>
      <c r="Z29" s="177">
        <f>IF($C$29=$F$29,Data!$E$118*Z12,0)</f>
        <v>70200</v>
      </c>
      <c r="AA29" s="177">
        <f>IF($C$29=$F$29,Data!$E$118*AA12,0)</f>
        <v>70200</v>
      </c>
      <c r="AB29" s="177">
        <f>IF($C$29=$F$29,Data!$E$118*AB12,0)</f>
        <v>70200</v>
      </c>
      <c r="AC29" s="28"/>
      <c r="AD29" s="28"/>
      <c r="AE29" s="28"/>
      <c r="AF29" s="28"/>
      <c r="AG29" s="28"/>
      <c r="AH29" s="28"/>
      <c r="AI29" s="28"/>
      <c r="AJ29" s="28"/>
      <c r="AK29" s="28"/>
      <c r="AL29" s="28"/>
      <c r="AM29" s="28"/>
      <c r="AN29" s="28"/>
      <c r="AO29" s="357"/>
      <c r="AP29" s="29"/>
    </row>
    <row r="30" spans="1:42" outlineLevel="1" x14ac:dyDescent="0.25">
      <c r="A30" s="12"/>
      <c r="B30" s="13"/>
      <c r="C30" s="45" t="s">
        <v>124</v>
      </c>
      <c r="D30" s="45"/>
      <c r="E30" s="15" t="s">
        <v>474</v>
      </c>
      <c r="F30" s="158" t="str">
        <f>Dashboard!$I$43</f>
        <v>2 Axle rigid</v>
      </c>
      <c r="G30" s="14"/>
      <c r="H30" s="177"/>
      <c r="I30" s="177">
        <f>IF($C$30=$F$30,Data!$E$119*I12,0)</f>
        <v>0</v>
      </c>
      <c r="J30" s="177">
        <f>IF($C$30=$F$30,Data!$E$119*J12,0)</f>
        <v>0</v>
      </c>
      <c r="K30" s="177">
        <f>IF($C$30=$F$30,Data!$E$119*K12,0)</f>
        <v>0</v>
      </c>
      <c r="L30" s="177">
        <f>IF($C$30=$F$30,Data!$E$119*L12,0)</f>
        <v>0</v>
      </c>
      <c r="M30" s="177">
        <f>IF($C$30=$F$30,Data!$E$119*M12,0)</f>
        <v>0</v>
      </c>
      <c r="N30" s="177">
        <f>IF($C$30=$F$30,Data!$E$119*N12,0)</f>
        <v>0</v>
      </c>
      <c r="O30" s="177">
        <f>IF($C$30=$F$30,Data!$E$119*O12,0)</f>
        <v>0</v>
      </c>
      <c r="P30" s="177">
        <f>IF($C$30=$F$30,Data!$E$119*P12,0)</f>
        <v>0</v>
      </c>
      <c r="Q30" s="177">
        <f>IF($C$30=$F$30,Data!$E$119*Q12,0)</f>
        <v>0</v>
      </c>
      <c r="R30" s="177">
        <f>IF($C$30=$F$30,Data!$E$119*R12,0)</f>
        <v>0</v>
      </c>
      <c r="S30" s="177">
        <f>IF($C$30=$F$30,Data!$E$119*S12,0)</f>
        <v>0</v>
      </c>
      <c r="T30" s="177">
        <f>IF($C$30=$F$30,Data!$E$119*T12,0)</f>
        <v>0</v>
      </c>
      <c r="U30" s="177">
        <f>IF($C$30=$F$30,Data!$E$119*U12,0)</f>
        <v>0</v>
      </c>
      <c r="V30" s="177">
        <f>IF($C$30=$F$30,Data!$E$119*V12,0)</f>
        <v>0</v>
      </c>
      <c r="W30" s="177">
        <f>IF($C$30=$F$30,Data!$E$119*W12,0)</f>
        <v>0</v>
      </c>
      <c r="X30" s="177">
        <f>IF($C$30=$F$30,Data!$E$119*X12,0)</f>
        <v>0</v>
      </c>
      <c r="Y30" s="177">
        <f>IF($C$30=$F$30,Data!$E$119*Y12,0)</f>
        <v>0</v>
      </c>
      <c r="Z30" s="177">
        <f>IF($C$30=$F$30,Data!$E$119*Z12,0)</f>
        <v>0</v>
      </c>
      <c r="AA30" s="177">
        <f>IF($C$30=$F$30,Data!$E$119*AA12,0)</f>
        <v>0</v>
      </c>
      <c r="AB30" s="177">
        <f>IF($C$30=$F$30,Data!$E$119*AB12,0)</f>
        <v>0</v>
      </c>
      <c r="AC30" s="28"/>
      <c r="AD30" s="28"/>
      <c r="AE30" s="28"/>
      <c r="AF30" s="28"/>
      <c r="AG30" s="28"/>
      <c r="AH30" s="28"/>
      <c r="AI30" s="28"/>
      <c r="AJ30" s="28"/>
      <c r="AK30" s="28"/>
      <c r="AL30" s="28"/>
      <c r="AM30" s="28"/>
      <c r="AN30" s="28"/>
      <c r="AO30" s="357"/>
      <c r="AP30" s="29"/>
    </row>
    <row r="31" spans="1:42" outlineLevel="1" x14ac:dyDescent="0.25">
      <c r="A31" s="12"/>
      <c r="B31" s="13"/>
      <c r="C31" s="45" t="s">
        <v>126</v>
      </c>
      <c r="D31" s="45"/>
      <c r="E31" s="15" t="s">
        <v>474</v>
      </c>
      <c r="F31" s="158" t="str">
        <f>Dashboard!$I$43</f>
        <v>2 Axle rigid</v>
      </c>
      <c r="G31" s="14"/>
      <c r="H31" s="177"/>
      <c r="I31" s="177">
        <f>IF($C$31=$F$31,Data!$E$120*I12,0)</f>
        <v>0</v>
      </c>
      <c r="J31" s="177">
        <f>IF($C$31=$F$31,Data!$E$120*J12,0)</f>
        <v>0</v>
      </c>
      <c r="K31" s="177">
        <f>IF($C$31=$F$31,Data!$E$120*K12,0)</f>
        <v>0</v>
      </c>
      <c r="L31" s="177">
        <f>IF($C$31=$F$31,Data!$E$120*L12,0)</f>
        <v>0</v>
      </c>
      <c r="M31" s="177">
        <f>IF($C$31=$F$31,Data!$E$120*M12,0)</f>
        <v>0</v>
      </c>
      <c r="N31" s="177">
        <f>IF($C$31=$F$31,Data!$E$120*N12,0)</f>
        <v>0</v>
      </c>
      <c r="O31" s="177">
        <f>IF($C$31=$F$31,Data!$E$120*O12,0)</f>
        <v>0</v>
      </c>
      <c r="P31" s="177">
        <f>IF($C$31=$F$31,Data!$E$120*P12,0)</f>
        <v>0</v>
      </c>
      <c r="Q31" s="177">
        <f>IF($C$31=$F$31,Data!$E$120*Q12,0)</f>
        <v>0</v>
      </c>
      <c r="R31" s="177">
        <f>IF($C$31=$F$31,Data!$E$120*R12,0)</f>
        <v>0</v>
      </c>
      <c r="S31" s="177">
        <f>IF($C$31=$F$31,Data!$E$120*S12,0)</f>
        <v>0</v>
      </c>
      <c r="T31" s="177">
        <f>IF($C$31=$F$31,Data!$E$120*T12,0)</f>
        <v>0</v>
      </c>
      <c r="U31" s="177">
        <f>IF($C$31=$F$31,Data!$E$120*U12,0)</f>
        <v>0</v>
      </c>
      <c r="V31" s="177">
        <f>IF($C$31=$F$31,Data!$E$120*V12,0)</f>
        <v>0</v>
      </c>
      <c r="W31" s="177">
        <f>IF($C$31=$F$31,Data!$E$120*W12,0)</f>
        <v>0</v>
      </c>
      <c r="X31" s="177">
        <f>IF($C$31=$F$31,Data!$E$120*X12,0)</f>
        <v>0</v>
      </c>
      <c r="Y31" s="177">
        <f>IF($C$31=$F$31,Data!$E$120*Y12,0)</f>
        <v>0</v>
      </c>
      <c r="Z31" s="177">
        <f>IF($C$31=$F$31,Data!$E$120*Z12,0)</f>
        <v>0</v>
      </c>
      <c r="AA31" s="177">
        <f>IF($C$31=$F$31,Data!$E$120*AA12,0)</f>
        <v>0</v>
      </c>
      <c r="AB31" s="177">
        <f>IF($C$31=$F$31,Data!$E$120*AB12,0)</f>
        <v>0</v>
      </c>
      <c r="AC31" s="28"/>
      <c r="AD31" s="28"/>
      <c r="AE31" s="28"/>
      <c r="AF31" s="28"/>
      <c r="AG31" s="28"/>
      <c r="AH31" s="28"/>
      <c r="AI31" s="28"/>
      <c r="AJ31" s="28"/>
      <c r="AK31" s="28"/>
      <c r="AL31" s="28"/>
      <c r="AM31" s="28"/>
      <c r="AN31" s="28"/>
      <c r="AO31" s="357"/>
      <c r="AP31" s="29"/>
    </row>
    <row r="32" spans="1:42" outlineLevel="1" x14ac:dyDescent="0.25">
      <c r="A32" s="12"/>
      <c r="B32" s="13"/>
      <c r="C32" s="45"/>
      <c r="D32" s="45"/>
      <c r="E32" s="15"/>
      <c r="F32" s="16"/>
      <c r="G32" s="14"/>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357"/>
      <c r="AP32" s="29"/>
    </row>
    <row r="33" spans="1:42" outlineLevel="1" x14ac:dyDescent="0.25">
      <c r="A33" s="12"/>
      <c r="B33" s="13"/>
      <c r="C33" s="44"/>
      <c r="D33" s="45"/>
      <c r="E33" s="15"/>
      <c r="F33" s="16"/>
      <c r="G33" s="14"/>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357"/>
      <c r="AP33" s="29"/>
    </row>
    <row r="34" spans="1:42" outlineLevel="1" x14ac:dyDescent="0.25">
      <c r="A34" s="12"/>
      <c r="B34" s="13"/>
      <c r="C34" s="44" t="s">
        <v>260</v>
      </c>
      <c r="D34" s="14"/>
      <c r="E34" s="15" t="s">
        <v>318</v>
      </c>
      <c r="F34" s="16"/>
      <c r="G34" s="14"/>
      <c r="H34" s="151"/>
      <c r="I34" s="151">
        <f>Data!$E$122*I12</f>
        <v>33733.440000000002</v>
      </c>
      <c r="J34" s="151">
        <f>Data!$E$122*J12</f>
        <v>33733.440000000002</v>
      </c>
      <c r="K34" s="151">
        <f>Data!$E$122*K12</f>
        <v>33733.440000000002</v>
      </c>
      <c r="L34" s="151">
        <f>Data!$E$122*L12</f>
        <v>33733.440000000002</v>
      </c>
      <c r="M34" s="151">
        <f>Data!$E$122*M12</f>
        <v>33733.440000000002</v>
      </c>
      <c r="N34" s="151">
        <f>Data!$E$122*N12</f>
        <v>33733.440000000002</v>
      </c>
      <c r="O34" s="151">
        <f>Data!$E$122*O12</f>
        <v>33733.440000000002</v>
      </c>
      <c r="P34" s="151">
        <f>Data!$E$122*P12</f>
        <v>33733.440000000002</v>
      </c>
      <c r="Q34" s="151">
        <f>Data!$E$122*Q12</f>
        <v>33733.440000000002</v>
      </c>
      <c r="R34" s="151">
        <f>Data!$E$122*R12</f>
        <v>33733.440000000002</v>
      </c>
      <c r="S34" s="151">
        <f>Data!$E$122*S12</f>
        <v>33733.440000000002</v>
      </c>
      <c r="T34" s="151">
        <f>Data!$E$122*T12</f>
        <v>33733.440000000002</v>
      </c>
      <c r="U34" s="151">
        <f>Data!$E$122*U12</f>
        <v>33733.440000000002</v>
      </c>
      <c r="V34" s="151">
        <f>Data!$E$122*V12</f>
        <v>33733.440000000002</v>
      </c>
      <c r="W34" s="151">
        <f>Data!$E$122*W12</f>
        <v>33733.440000000002</v>
      </c>
      <c r="X34" s="151">
        <f>Data!$E$122*X12</f>
        <v>33733.440000000002</v>
      </c>
      <c r="Y34" s="151">
        <f>Data!$E$122*Y12</f>
        <v>33733.440000000002</v>
      </c>
      <c r="Z34" s="151">
        <f>Data!$E$122*Z12</f>
        <v>33733.440000000002</v>
      </c>
      <c r="AA34" s="151">
        <f>Data!$E$122*AA12</f>
        <v>33733.440000000002</v>
      </c>
      <c r="AB34" s="151">
        <f>Data!$E$122*AB12</f>
        <v>33733.440000000002</v>
      </c>
      <c r="AC34" s="46"/>
      <c r="AD34" s="46"/>
      <c r="AE34" s="46"/>
      <c r="AF34" s="46"/>
      <c r="AG34" s="46"/>
      <c r="AH34" s="46"/>
      <c r="AI34" s="46"/>
      <c r="AJ34" s="46"/>
      <c r="AK34" s="46"/>
      <c r="AL34" s="46"/>
      <c r="AM34" s="46"/>
      <c r="AN34" s="46"/>
      <c r="AO34" s="46"/>
      <c r="AP34" s="17"/>
    </row>
    <row r="35" spans="1:42" outlineLevel="1" x14ac:dyDescent="0.25">
      <c r="A35" s="12"/>
      <c r="B35" s="13"/>
      <c r="C35" s="44"/>
      <c r="D35" s="44"/>
      <c r="E35" s="15"/>
      <c r="F35" s="16"/>
      <c r="G35" s="14"/>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17"/>
    </row>
    <row r="36" spans="1:42" outlineLevel="1" x14ac:dyDescent="0.25">
      <c r="A36" s="12"/>
      <c r="B36" s="13"/>
      <c r="C36" s="44" t="s">
        <v>398</v>
      </c>
      <c r="D36" s="45"/>
      <c r="E36" s="15"/>
      <c r="F36" s="16"/>
      <c r="G36" s="14"/>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357"/>
      <c r="AP36" s="29"/>
    </row>
    <row r="37" spans="1:42" outlineLevel="1" x14ac:dyDescent="0.25">
      <c r="A37" s="12"/>
      <c r="B37" s="13"/>
      <c r="C37" s="45" t="s">
        <v>127</v>
      </c>
      <c r="D37" s="45"/>
      <c r="E37" s="15" t="s">
        <v>475</v>
      </c>
      <c r="F37" s="158" t="str">
        <f>Dashboard!$I$42</f>
        <v>Flat (Gradient  0%)</v>
      </c>
      <c r="G37" s="14"/>
      <c r="H37" s="62"/>
      <c r="I37" s="181" cm="1">
        <f t="array" ref="I37">INDEX('Control panel'!$E$17:$E$19,MATCH($F$37,'Control panel'!$C$17:$C$19,0),0)</f>
        <v>0</v>
      </c>
      <c r="J37" s="181" cm="1">
        <f t="array" ref="J37">INDEX('Control panel'!$E$17:$E$19,MATCH($F$37,'Control panel'!$C$17:$C$19,0),0)</f>
        <v>0</v>
      </c>
      <c r="K37" s="181" cm="1">
        <f t="array" ref="K37">INDEX('Control panel'!$E$17:$E$19,MATCH($F$37,'Control panel'!$C$17:$C$19,0),0)</f>
        <v>0</v>
      </c>
      <c r="L37" s="181" cm="1">
        <f t="array" ref="L37">INDEX('Control panel'!$E$17:$E$19,MATCH($F$37,'Control panel'!$C$17:$C$19,0),0)</f>
        <v>0</v>
      </c>
      <c r="M37" s="181" cm="1">
        <f t="array" ref="M37">INDEX('Control panel'!$E$17:$E$19,MATCH($F$37,'Control panel'!$C$17:$C$19,0),0)</f>
        <v>0</v>
      </c>
      <c r="N37" s="181" cm="1">
        <f t="array" ref="N37">INDEX('Control panel'!$E$17:$E$19,MATCH($F$37,'Control panel'!$C$17:$C$19,0),0)</f>
        <v>0</v>
      </c>
      <c r="O37" s="181" cm="1">
        <f t="array" ref="O37">INDEX('Control panel'!$E$17:$E$19,MATCH($F$37,'Control panel'!$C$17:$C$19,0),0)</f>
        <v>0</v>
      </c>
      <c r="P37" s="181" cm="1">
        <f t="array" ref="P37">INDEX('Control panel'!$E$17:$E$19,MATCH($F$37,'Control panel'!$C$17:$C$19,0),0)</f>
        <v>0</v>
      </c>
      <c r="Q37" s="181" cm="1">
        <f t="array" ref="Q37">INDEX('Control panel'!$E$17:$E$19,MATCH($F$37,'Control panel'!$C$17:$C$19,0),0)</f>
        <v>0</v>
      </c>
      <c r="R37" s="181" cm="1">
        <f t="array" ref="R37">INDEX('Control panel'!$E$17:$E$19,MATCH($F$37,'Control panel'!$C$17:$C$19,0),0)</f>
        <v>0</v>
      </c>
      <c r="S37" s="181" cm="1">
        <f t="array" ref="S37">INDEX('Control panel'!$E$17:$E$19,MATCH($F$37,'Control panel'!$C$17:$C$19,0),0)</f>
        <v>0</v>
      </c>
      <c r="T37" s="181" cm="1">
        <f t="array" ref="T37">INDEX('Control panel'!$E$17:$E$19,MATCH($F$37,'Control panel'!$C$17:$C$19,0),0)</f>
        <v>0</v>
      </c>
      <c r="U37" s="181" cm="1">
        <f t="array" ref="U37">INDEX('Control panel'!$E$17:$E$19,MATCH($F$37,'Control panel'!$C$17:$C$19,0),0)</f>
        <v>0</v>
      </c>
      <c r="V37" s="181" cm="1">
        <f t="array" ref="V37">INDEX('Control panel'!$E$17:$E$19,MATCH($F$37,'Control panel'!$C$17:$C$19,0),0)</f>
        <v>0</v>
      </c>
      <c r="W37" s="181" cm="1">
        <f t="array" ref="W37">INDEX('Control panel'!$E$17:$E$19,MATCH($F$37,'Control panel'!$C$17:$C$19,0),0)</f>
        <v>0</v>
      </c>
      <c r="X37" s="181" cm="1">
        <f t="array" ref="X37">INDEX('Control panel'!$E$17:$E$19,MATCH($F$37,'Control panel'!$C$17:$C$19,0),0)</f>
        <v>0</v>
      </c>
      <c r="Y37" s="181" cm="1">
        <f t="array" ref="Y37">INDEX('Control panel'!$E$17:$E$19,MATCH($F$37,'Control panel'!$C$17:$C$19,0),0)</f>
        <v>0</v>
      </c>
      <c r="Z37" s="181" cm="1">
        <f t="array" ref="Z37">INDEX('Control panel'!$E$17:$E$19,MATCH($F$37,'Control panel'!$C$17:$C$19,0),0)</f>
        <v>0</v>
      </c>
      <c r="AA37" s="181" cm="1">
        <f t="array" ref="AA37">INDEX('Control panel'!$E$17:$E$19,MATCH($F$37,'Control panel'!$C$17:$C$19,0),0)</f>
        <v>0</v>
      </c>
      <c r="AB37" s="181" cm="1">
        <f t="array" ref="AB37">INDEX('Control panel'!$E$17:$E$19,MATCH($F$37,'Control panel'!$C$17:$C$19,0),0)</f>
        <v>0</v>
      </c>
      <c r="AC37" s="28"/>
      <c r="AD37" s="28"/>
      <c r="AE37" s="28"/>
      <c r="AF37" s="28"/>
      <c r="AG37" s="28"/>
      <c r="AH37" s="28"/>
      <c r="AI37" s="28"/>
      <c r="AJ37" s="28"/>
      <c r="AK37" s="28"/>
      <c r="AL37" s="28"/>
      <c r="AM37" s="28"/>
      <c r="AN37" s="28"/>
      <c r="AO37" s="357"/>
      <c r="AP37" s="29"/>
    </row>
    <row r="38" spans="1:42" outlineLevel="1" x14ac:dyDescent="0.25">
      <c r="A38" s="12"/>
      <c r="B38" s="13"/>
      <c r="C38" s="45" t="s">
        <v>120</v>
      </c>
      <c r="D38" s="45"/>
      <c r="E38" s="15" t="s">
        <v>318</v>
      </c>
      <c r="F38" s="158" t="str">
        <f>Dashboard!$I$43</f>
        <v>2 Axle rigid</v>
      </c>
      <c r="G38" s="14"/>
      <c r="H38" s="28"/>
      <c r="I38" s="396">
        <f>IF($C$38=$F$38,I12*Data!$E$129*Data!H$61,0)*(1+I37)*(1+Data!$E$91)</f>
        <v>124310.52967544652</v>
      </c>
      <c r="J38" s="177">
        <f>IF($C$38=$F$38,J12*Data!$E$129*Data!I$61,0)*(1+J37)*(1+Data!$E$91)</f>
        <v>99306.774091390267</v>
      </c>
      <c r="K38" s="177">
        <f>IF($C$38=$F$38,K12*Data!$E$129*Data!J$61,0)*(1+K37)*(1+Data!$E$91)</f>
        <v>99306.774091390267</v>
      </c>
      <c r="L38" s="177">
        <f>IF($C$38=$F$38,L12*Data!$E$129*Data!K$61,0)*(1+L37)*(1+Data!$E$91)</f>
        <v>99306.774091390267</v>
      </c>
      <c r="M38" s="177">
        <f>IF($C$38=$F$38,M12*Data!$E$129*Data!L$61,0)*(1+M37)*(1+Data!$E$91)</f>
        <v>99306.774091390267</v>
      </c>
      <c r="N38" s="177">
        <f>IF($C$38=$F$38,N12*Data!$E$129*Data!M$61,0)*(1+N37)*(1+Data!$E$91)</f>
        <v>99306.774091390267</v>
      </c>
      <c r="O38" s="177">
        <f>IF($C$38=$F$38,O12*Data!$E$129*Data!N$61,0)*(1+O37)*(1+Data!$E$91)</f>
        <v>99306.774091390267</v>
      </c>
      <c r="P38" s="177">
        <f>IF($C$38=$F$38,P12*Data!$E$129*Data!O$61,0)*(1+P37)*(1+Data!$E$91)</f>
        <v>99306.774091390267</v>
      </c>
      <c r="Q38" s="177">
        <f>IF($C$38=$F$38,Q12*Data!$E$129*Data!P$61,0)*(1+Q37)*(1+Data!$E$91)</f>
        <v>99306.774091390267</v>
      </c>
      <c r="R38" s="177">
        <f>IF($C$38=$F$38,R12*Data!$E$129*Data!Q$61,0)*(1+R37)*(1+Data!$E$91)</f>
        <v>99306.774091390267</v>
      </c>
      <c r="S38" s="177">
        <f>IF($C$38=$F$38,S12*Data!$E$129*Data!R$61,0)*(1+S37)*(1+Data!$E$91)</f>
        <v>99306.774091390267</v>
      </c>
      <c r="T38" s="177">
        <f>IF($C$38=$F$38,T12*Data!$E$129*Data!S$61,0)*(1+T37)*(1+Data!$E$91)</f>
        <v>99306.774091390267</v>
      </c>
      <c r="U38" s="177">
        <f>IF($C$38=$F$38,U12*Data!$E$129*Data!T$61,0)*(1+U37)*(1+Data!$E$91)</f>
        <v>99306.774091390267</v>
      </c>
      <c r="V38" s="177">
        <f>IF($C$38=$F$38,V12*Data!$E$129*Data!U$61,0)*(1+V37)*(1+Data!$E$91)</f>
        <v>99306.774091390267</v>
      </c>
      <c r="W38" s="177">
        <f>IF($C$38=$F$38,W12*Data!$E$129*Data!V$61,0)*(1+W37)*(1+Data!$E$91)</f>
        <v>99306.774091390267</v>
      </c>
      <c r="X38" s="177">
        <f>IF($C$38=$F$38,X12*Data!$E$129*Data!W$61,0)*(1+X37)*(1+Data!$E$91)</f>
        <v>99306.774091390267</v>
      </c>
      <c r="Y38" s="177">
        <f>IF($C$38=$F$38,Y12*Data!$E$129*Data!X$61,0)*(1+Y37)*(1+Data!$E$91)</f>
        <v>99306.774091390267</v>
      </c>
      <c r="Z38" s="177">
        <f>IF($C$38=$F$38,Z12*Data!$E$129*Data!Y$61,0)*(1+Z37)*(1+Data!$E$91)</f>
        <v>99306.774091390267</v>
      </c>
      <c r="AA38" s="177">
        <f>IF($C$38=$F$38,AA12*Data!$E$129*Data!Z$61,0)*(1+AA37)*(1+Data!$E$91)</f>
        <v>99306.774091390267</v>
      </c>
      <c r="AB38" s="177">
        <f>IF($C$38=$F$38,AB12*Data!$E$129*Data!AA$61,0)*(1+AB37)*(1+Data!$E$91)</f>
        <v>99306.774091390267</v>
      </c>
      <c r="AC38" s="28"/>
      <c r="AD38" s="28"/>
      <c r="AE38" s="28"/>
      <c r="AF38" s="28"/>
      <c r="AG38" s="28"/>
      <c r="AH38" s="28"/>
      <c r="AI38" s="28"/>
      <c r="AJ38" s="28"/>
      <c r="AK38" s="28"/>
      <c r="AL38" s="28"/>
      <c r="AM38" s="28"/>
      <c r="AN38" s="28"/>
      <c r="AO38" s="357"/>
      <c r="AP38" s="29"/>
    </row>
    <row r="39" spans="1:42" outlineLevel="1" x14ac:dyDescent="0.25">
      <c r="A39" s="12"/>
      <c r="B39" s="13"/>
      <c r="C39" s="45" t="s">
        <v>124</v>
      </c>
      <c r="D39" s="45"/>
      <c r="E39" s="15" t="s">
        <v>318</v>
      </c>
      <c r="F39" s="158" t="str">
        <f>Dashboard!$I$43</f>
        <v>2 Axle rigid</v>
      </c>
      <c r="G39" s="14"/>
      <c r="H39" s="62"/>
      <c r="I39" s="177">
        <f>IF($C$39=$F$39,I12*Data!$E$130*Data!H$61,0)*(1+I37)*(1+Data!$E$91)</f>
        <v>0</v>
      </c>
      <c r="J39" s="177">
        <f>IF($C$39=$F$39,J12*Data!$E$130*Data!I$61,0)*(1+J37)*(1+Data!$E$91)</f>
        <v>0</v>
      </c>
      <c r="K39" s="177">
        <f>IF($C$39=$F$39,K12*Data!$E$130*Data!J$61,0)*(1+K37)*(1+Data!$E$91)</f>
        <v>0</v>
      </c>
      <c r="L39" s="177">
        <f>IF($C$39=$F$39,L12*Data!$E$130*Data!K$61,0)*(1+L37)*(1+Data!$E$91)</f>
        <v>0</v>
      </c>
      <c r="M39" s="177">
        <f>IF($C$39=$F$39,M12*Data!$E$130*Data!L$61,0)*(1+M37)*(1+Data!$E$91)</f>
        <v>0</v>
      </c>
      <c r="N39" s="177">
        <f>IF($C$39=$F$39,N12*Data!$E$130*Data!M$61,0)*(1+N37)*(1+Data!$E$91)</f>
        <v>0</v>
      </c>
      <c r="O39" s="177">
        <f>IF($C$39=$F$39,O12*Data!$E$130*Data!N$61,0)*(1+O37)*(1+Data!$E$91)</f>
        <v>0</v>
      </c>
      <c r="P39" s="177">
        <f>IF($C$39=$F$39,P12*Data!$E$130*Data!O$61,0)*(1+P37)*(1+Data!$E$91)</f>
        <v>0</v>
      </c>
      <c r="Q39" s="177">
        <f>IF($C$39=$F$39,Q12*Data!$E$130*Data!P$61,0)*(1+Q37)*(1+Data!$E$91)</f>
        <v>0</v>
      </c>
      <c r="R39" s="177">
        <f>IF($C$39=$F$39,R12*Data!$E$130*Data!Q$61,0)*(1+R37)*(1+Data!$E$91)</f>
        <v>0</v>
      </c>
      <c r="S39" s="177">
        <f>IF($C$39=$F$39,S12*Data!$E$130*Data!R$61,0)*(1+S37)*(1+Data!$E$91)</f>
        <v>0</v>
      </c>
      <c r="T39" s="177">
        <f>IF($C$39=$F$39,T12*Data!$E$130*Data!S$61,0)*(1+T37)*(1+Data!$E$91)</f>
        <v>0</v>
      </c>
      <c r="U39" s="177">
        <f>IF($C$39=$F$39,U12*Data!$E$130*Data!T$61,0)*(1+U37)*(1+Data!$E$91)</f>
        <v>0</v>
      </c>
      <c r="V39" s="177">
        <f>IF($C$39=$F$39,V12*Data!$E$130*Data!U$61,0)*(1+V37)*(1+Data!$E$91)</f>
        <v>0</v>
      </c>
      <c r="W39" s="177">
        <f>IF($C$39=$F$39,W12*Data!$E$130*Data!V$61,0)*(1+W37)*(1+Data!$E$91)</f>
        <v>0</v>
      </c>
      <c r="X39" s="177">
        <f>IF($C$39=$F$39,X12*Data!$E$130*Data!W$61,0)*(1+X37)*(1+Data!$E$91)</f>
        <v>0</v>
      </c>
      <c r="Y39" s="177">
        <f>IF($C$39=$F$39,Y12*Data!$E$130*Data!X$61,0)*(1+Y37)*(1+Data!$E$91)</f>
        <v>0</v>
      </c>
      <c r="Z39" s="177">
        <f>IF($C$39=$F$39,Z12*Data!$E$130*Data!Y$61,0)*(1+Z37)*(1+Data!$E$91)</f>
        <v>0</v>
      </c>
      <c r="AA39" s="177">
        <f>IF($C$39=$F$39,AA12*Data!$E$130*Data!Z$61,0)*(1+AA37)*(1+Data!$E$91)</f>
        <v>0</v>
      </c>
      <c r="AB39" s="177">
        <f>IF($C$39=$F$39,AB12*Data!$E$130*Data!AA$61,0)*(1+AB37)*(1+Data!$E$91)</f>
        <v>0</v>
      </c>
      <c r="AC39" s="28"/>
      <c r="AD39" s="28"/>
      <c r="AE39" s="28"/>
      <c r="AF39" s="28"/>
      <c r="AG39" s="28"/>
      <c r="AH39" s="28"/>
      <c r="AI39" s="28"/>
      <c r="AJ39" s="28"/>
      <c r="AK39" s="28"/>
      <c r="AL39" s="28"/>
      <c r="AM39" s="28"/>
      <c r="AN39" s="28"/>
      <c r="AO39" s="357"/>
      <c r="AP39" s="29"/>
    </row>
    <row r="40" spans="1:42" outlineLevel="1" x14ac:dyDescent="0.25">
      <c r="A40" s="12"/>
      <c r="B40" s="13"/>
      <c r="C40" s="45" t="s">
        <v>126</v>
      </c>
      <c r="D40" s="45"/>
      <c r="E40" s="15" t="s">
        <v>318</v>
      </c>
      <c r="F40" s="158" t="str">
        <f>Dashboard!$I$43</f>
        <v>2 Axle rigid</v>
      </c>
      <c r="G40" s="14"/>
      <c r="H40" s="62"/>
      <c r="I40" s="177">
        <f>IF($C$40=$F$40,I12*Data!$E$131*Data!H$61,0)*(1+I37)*(1+Data!$E$91)</f>
        <v>0</v>
      </c>
      <c r="J40" s="177">
        <f>IF($C$40=$F$40,J12*Data!$E$131*Data!I$61,0)*(1+J37)*(1+Data!$E$91)</f>
        <v>0</v>
      </c>
      <c r="K40" s="177">
        <f>IF($C$40=$F$40,K12*Data!$E$131*Data!J$61,0)*(1+K37)*(1+Data!$E$91)</f>
        <v>0</v>
      </c>
      <c r="L40" s="177">
        <f>IF($C$40=$F$40,L12*Data!$E$131*Data!K$61,0)*(1+L37)*(1+Data!$E$91)</f>
        <v>0</v>
      </c>
      <c r="M40" s="177">
        <f>IF($C$40=$F$40,M12*Data!$E$131*Data!L$61,0)*(1+M37)*(1+Data!$E$91)</f>
        <v>0</v>
      </c>
      <c r="N40" s="177">
        <f>IF($C$40=$F$40,N12*Data!$E$131*Data!M$61,0)*(1+N37)*(1+Data!$E$91)</f>
        <v>0</v>
      </c>
      <c r="O40" s="177">
        <f>IF($C$40=$F$40,O12*Data!$E$131*Data!N$61,0)*(1+O37)*(1+Data!$E$91)</f>
        <v>0</v>
      </c>
      <c r="P40" s="177">
        <f>IF($C$40=$F$40,P12*Data!$E$131*Data!O$61,0)*(1+P37)*(1+Data!$E$91)</f>
        <v>0</v>
      </c>
      <c r="Q40" s="177">
        <f>IF($C$40=$F$40,Q12*Data!$E$131*Data!P$61,0)*(1+Q37)*(1+Data!$E$91)</f>
        <v>0</v>
      </c>
      <c r="R40" s="177">
        <f>IF($C$40=$F$40,R12*Data!$E$131*Data!Q$61,0)*(1+R37)*(1+Data!$E$91)</f>
        <v>0</v>
      </c>
      <c r="S40" s="177">
        <f>IF($C$40=$F$40,S12*Data!$E$131*Data!R$61,0)*(1+S37)*(1+Data!$E$91)</f>
        <v>0</v>
      </c>
      <c r="T40" s="177">
        <f>IF($C$40=$F$40,T12*Data!$E$131*Data!S$61,0)*(1+T37)*(1+Data!$E$91)</f>
        <v>0</v>
      </c>
      <c r="U40" s="177">
        <f>IF($C$40=$F$40,U12*Data!$E$131*Data!T$61,0)*(1+U37)*(1+Data!$E$91)</f>
        <v>0</v>
      </c>
      <c r="V40" s="177">
        <f>IF($C$40=$F$40,V12*Data!$E$131*Data!U$61,0)*(1+V37)*(1+Data!$E$91)</f>
        <v>0</v>
      </c>
      <c r="W40" s="177">
        <f>IF($C$40=$F$40,W12*Data!$E$131*Data!V$61,0)*(1+W37)*(1+Data!$E$91)</f>
        <v>0</v>
      </c>
      <c r="X40" s="177">
        <f>IF($C$40=$F$40,X12*Data!$E$131*Data!W$61,0)*(1+X37)*(1+Data!$E$91)</f>
        <v>0</v>
      </c>
      <c r="Y40" s="177">
        <f>IF($C$40=$F$40,Y12*Data!$E$131*Data!X$61,0)*(1+Y37)*(1+Data!$E$91)</f>
        <v>0</v>
      </c>
      <c r="Z40" s="177">
        <f>IF($C$40=$F$40,Z12*Data!$E$131*Data!Y$61,0)*(1+Z37)*(1+Data!$E$91)</f>
        <v>0</v>
      </c>
      <c r="AA40" s="177">
        <f>IF($C$40=$F$40,AA12*Data!$E$131*Data!Z$61,0)*(1+AA37)*(1+Data!$E$91)</f>
        <v>0</v>
      </c>
      <c r="AB40" s="177">
        <f>IF($C$40=$F$40,AB12*Data!$E$131*Data!AA$61,0)*(1+AB37)*(1+Data!$E$91)</f>
        <v>0</v>
      </c>
      <c r="AC40" s="46"/>
      <c r="AD40" s="46"/>
      <c r="AE40" s="46"/>
      <c r="AF40" s="46"/>
      <c r="AG40" s="46"/>
      <c r="AH40" s="46"/>
      <c r="AI40" s="46"/>
      <c r="AJ40" s="46"/>
      <c r="AK40" s="46"/>
      <c r="AL40" s="46"/>
      <c r="AM40" s="46"/>
      <c r="AN40" s="46"/>
      <c r="AO40" s="46"/>
      <c r="AP40" s="17"/>
    </row>
    <row r="41" spans="1:42" outlineLevel="1" x14ac:dyDescent="0.25">
      <c r="A41" s="12"/>
      <c r="B41" s="13"/>
      <c r="C41" s="44"/>
      <c r="D41" s="44"/>
      <c r="E41" s="15"/>
      <c r="F41" s="16"/>
      <c r="G41" s="14"/>
      <c r="H41" s="62"/>
      <c r="I41" s="96"/>
      <c r="J41" s="96"/>
      <c r="K41" s="96"/>
      <c r="L41" s="96"/>
      <c r="M41" s="96"/>
      <c r="N41" s="96"/>
      <c r="O41" s="96"/>
      <c r="P41" s="96"/>
      <c r="Q41" s="96"/>
      <c r="R41" s="96"/>
      <c r="S41" s="96"/>
      <c r="T41" s="96"/>
      <c r="U41" s="96"/>
      <c r="V41" s="96"/>
      <c r="W41" s="96"/>
      <c r="X41" s="96"/>
      <c r="Y41" s="96"/>
      <c r="Z41" s="96"/>
      <c r="AA41" s="96"/>
      <c r="AB41" s="96"/>
      <c r="AC41" s="46"/>
      <c r="AD41" s="46"/>
      <c r="AE41" s="46"/>
      <c r="AF41" s="46"/>
      <c r="AG41" s="46"/>
      <c r="AH41" s="46"/>
      <c r="AI41" s="46"/>
      <c r="AJ41" s="46"/>
      <c r="AK41" s="46"/>
      <c r="AL41" s="46"/>
      <c r="AM41" s="46"/>
      <c r="AN41" s="46"/>
      <c r="AO41" s="46"/>
      <c r="AP41" s="17"/>
    </row>
    <row r="42" spans="1:42" outlineLevel="1" x14ac:dyDescent="0.25">
      <c r="A42" s="12"/>
      <c r="B42" s="13"/>
      <c r="C42" s="19" t="s">
        <v>512</v>
      </c>
      <c r="D42" s="45"/>
      <c r="E42" s="15"/>
      <c r="F42" s="158"/>
      <c r="G42" s="14"/>
      <c r="H42" s="28"/>
      <c r="I42" s="182">
        <f>SUM(I29:I31)+I33+I34+SUM(I38:I40)</f>
        <v>228243.96967544651</v>
      </c>
      <c r="J42" s="182">
        <f t="shared" ref="J42:W42" si="1">SUM(J29:J31)+J33+J34+SUM(J38:J40)</f>
        <v>203240.21409139025</v>
      </c>
      <c r="K42" s="182">
        <f t="shared" si="1"/>
        <v>203240.21409139025</v>
      </c>
      <c r="L42" s="182">
        <f t="shared" si="1"/>
        <v>203240.21409139025</v>
      </c>
      <c r="M42" s="182">
        <f t="shared" si="1"/>
        <v>203240.21409139025</v>
      </c>
      <c r="N42" s="182">
        <f t="shared" si="1"/>
        <v>203240.21409139025</v>
      </c>
      <c r="O42" s="182">
        <f t="shared" si="1"/>
        <v>203240.21409139025</v>
      </c>
      <c r="P42" s="182">
        <f t="shared" si="1"/>
        <v>203240.21409139025</v>
      </c>
      <c r="Q42" s="182">
        <f t="shared" si="1"/>
        <v>203240.21409139025</v>
      </c>
      <c r="R42" s="182">
        <f t="shared" si="1"/>
        <v>203240.21409139025</v>
      </c>
      <c r="S42" s="182">
        <f t="shared" si="1"/>
        <v>203240.21409139025</v>
      </c>
      <c r="T42" s="182">
        <f t="shared" si="1"/>
        <v>203240.21409139025</v>
      </c>
      <c r="U42" s="182">
        <f t="shared" si="1"/>
        <v>203240.21409139025</v>
      </c>
      <c r="V42" s="182">
        <f t="shared" si="1"/>
        <v>203240.21409139025</v>
      </c>
      <c r="W42" s="182">
        <f t="shared" si="1"/>
        <v>203240.21409139025</v>
      </c>
      <c r="X42" s="182">
        <f t="shared" ref="X42:AB42" si="2">SUM(X29:X31)+X33+X34+SUM(X38:X40)</f>
        <v>203240.21409139025</v>
      </c>
      <c r="Y42" s="182">
        <f t="shared" si="2"/>
        <v>203240.21409139025</v>
      </c>
      <c r="Z42" s="182">
        <f t="shared" si="2"/>
        <v>203240.21409139025</v>
      </c>
      <c r="AA42" s="182">
        <f t="shared" si="2"/>
        <v>203240.21409139025</v>
      </c>
      <c r="AB42" s="182">
        <f t="shared" si="2"/>
        <v>203240.21409139025</v>
      </c>
      <c r="AC42" s="28"/>
      <c r="AD42" s="28"/>
      <c r="AE42" s="28"/>
      <c r="AF42" s="28"/>
      <c r="AG42" s="28"/>
      <c r="AH42" s="28"/>
      <c r="AI42" s="28"/>
      <c r="AJ42" s="28"/>
      <c r="AK42" s="28"/>
      <c r="AL42" s="28"/>
      <c r="AM42" s="28"/>
      <c r="AN42" s="28"/>
      <c r="AO42" s="357"/>
      <c r="AP42" s="29"/>
    </row>
    <row r="43" spans="1:42" outlineLevel="1" x14ac:dyDescent="0.25">
      <c r="A43" s="12"/>
      <c r="B43" s="13"/>
      <c r="C43" s="45"/>
      <c r="D43" s="45"/>
      <c r="E43" s="15"/>
      <c r="F43" s="16"/>
      <c r="G43" s="14"/>
      <c r="H43" s="177"/>
      <c r="I43" s="177"/>
      <c r="J43" s="177"/>
      <c r="K43" s="177"/>
      <c r="L43" s="177"/>
      <c r="M43" s="177"/>
      <c r="N43" s="177"/>
      <c r="O43" s="177"/>
      <c r="P43" s="177"/>
      <c r="Q43" s="177"/>
      <c r="R43" s="177"/>
      <c r="S43" s="177"/>
      <c r="T43" s="177"/>
      <c r="U43" s="177"/>
      <c r="V43" s="177"/>
      <c r="W43" s="177"/>
      <c r="X43" s="28"/>
      <c r="Y43" s="28"/>
      <c r="Z43" s="28"/>
      <c r="AA43" s="28"/>
      <c r="AB43" s="28"/>
      <c r="AC43" s="28"/>
      <c r="AD43" s="28"/>
      <c r="AE43" s="28"/>
      <c r="AF43" s="28"/>
      <c r="AG43" s="28"/>
      <c r="AH43" s="28"/>
      <c r="AI43" s="28"/>
      <c r="AJ43" s="28"/>
      <c r="AK43" s="28"/>
      <c r="AL43" s="28"/>
      <c r="AM43" s="28"/>
      <c r="AN43" s="28"/>
      <c r="AO43" s="357"/>
      <c r="AP43" s="29"/>
    </row>
    <row r="44" spans="1:42" outlineLevel="1" x14ac:dyDescent="0.25">
      <c r="A44" s="12"/>
      <c r="B44" s="13"/>
      <c r="C44" s="37" t="s">
        <v>513</v>
      </c>
      <c r="D44" s="37"/>
      <c r="E44" s="38"/>
      <c r="F44" s="39"/>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17"/>
    </row>
    <row r="45" spans="1:42" outlineLevel="1" x14ac:dyDescent="0.25">
      <c r="A45" s="12"/>
      <c r="B45" s="13"/>
      <c r="C45" s="45" t="s">
        <v>249</v>
      </c>
      <c r="D45" s="45"/>
      <c r="E45" s="15" t="s">
        <v>142</v>
      </c>
      <c r="F45" s="16"/>
      <c r="G45" s="14"/>
      <c r="H45" s="28"/>
      <c r="I45" s="28"/>
      <c r="J45" s="28"/>
      <c r="K45" s="28"/>
      <c r="L45" s="28"/>
      <c r="M45" s="28"/>
      <c r="N45" s="28"/>
      <c r="O45" s="28"/>
      <c r="P45" s="28"/>
      <c r="Q45" s="28"/>
      <c r="R45" s="28"/>
      <c r="S45" s="28"/>
      <c r="T45" s="28"/>
      <c r="U45" s="28"/>
      <c r="V45" s="28"/>
      <c r="W45" s="28"/>
      <c r="X45" s="28"/>
      <c r="Y45" s="28"/>
      <c r="Z45" s="28"/>
      <c r="AA45" s="28"/>
      <c r="AB45" s="28"/>
      <c r="AC45" s="182">
        <f>SUM(H19:H21)*Data!$E$135</f>
        <v>52500</v>
      </c>
      <c r="AD45" s="28"/>
      <c r="AE45" s="28"/>
      <c r="AF45" s="28"/>
      <c r="AG45" s="28"/>
      <c r="AH45" s="28"/>
      <c r="AI45" s="28"/>
      <c r="AJ45" s="28"/>
      <c r="AK45" s="28"/>
      <c r="AL45" s="28"/>
      <c r="AM45" s="28"/>
      <c r="AN45" s="28"/>
      <c r="AO45" s="357"/>
      <c r="AP45" s="29"/>
    </row>
    <row r="46" spans="1:42" outlineLevel="1" x14ac:dyDescent="0.25">
      <c r="A46" s="12"/>
      <c r="B46" s="13"/>
      <c r="C46" s="45"/>
      <c r="D46" s="45"/>
      <c r="E46" s="15"/>
      <c r="F46" s="16"/>
      <c r="G46" s="14"/>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357"/>
      <c r="AP46" s="29"/>
    </row>
    <row r="47" spans="1:42" outlineLevel="1" x14ac:dyDescent="0.25">
      <c r="A47" s="12"/>
      <c r="B47" s="13"/>
      <c r="C47" s="14"/>
      <c r="D47" s="14"/>
      <c r="E47" s="15"/>
      <c r="F47" s="16"/>
      <c r="G47" s="14"/>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17"/>
    </row>
    <row r="48" spans="1:42" outlineLevel="1" x14ac:dyDescent="0.25">
      <c r="A48" s="12"/>
      <c r="B48" s="13"/>
      <c r="C48" s="14"/>
      <c r="D48" s="14"/>
      <c r="E48" s="15"/>
      <c r="F48" s="16"/>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7"/>
    </row>
    <row r="49" spans="1:42" outlineLevel="1" x14ac:dyDescent="0.25">
      <c r="A49" s="12"/>
      <c r="B49" s="13"/>
      <c r="C49" s="37" t="s">
        <v>479</v>
      </c>
      <c r="D49" s="37"/>
      <c r="E49" s="38" t="s">
        <v>54</v>
      </c>
      <c r="F49" s="39"/>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17"/>
    </row>
    <row r="50" spans="1:42" outlineLevel="1" x14ac:dyDescent="0.25">
      <c r="A50" s="12"/>
      <c r="B50" s="13"/>
      <c r="C50" s="14" t="s">
        <v>479</v>
      </c>
      <c r="D50" s="14"/>
      <c r="E50" s="15" t="s">
        <v>54</v>
      </c>
      <c r="F50" s="16"/>
      <c r="G50" s="96"/>
      <c r="H50" s="165"/>
      <c r="I50" s="371">
        <f>I25+I42-I45</f>
        <v>253997.58229046661</v>
      </c>
      <c r="J50" s="371">
        <f t="shared" ref="J50:AC50" si="3">J25+J42-J45</f>
        <v>228993.82670641036</v>
      </c>
      <c r="K50" s="371">
        <f t="shared" si="3"/>
        <v>228993.82670641036</v>
      </c>
      <c r="L50" s="371">
        <f t="shared" si="3"/>
        <v>228993.82670641036</v>
      </c>
      <c r="M50" s="371">
        <f t="shared" si="3"/>
        <v>228993.82670641036</v>
      </c>
      <c r="N50" s="371">
        <f t="shared" si="3"/>
        <v>228993.82670641036</v>
      </c>
      <c r="O50" s="371">
        <f t="shared" si="3"/>
        <v>228993.82670641036</v>
      </c>
      <c r="P50" s="371">
        <f t="shared" si="3"/>
        <v>228993.82670641036</v>
      </c>
      <c r="Q50" s="371">
        <f t="shared" si="3"/>
        <v>228993.82670641036</v>
      </c>
      <c r="R50" s="371">
        <f t="shared" si="3"/>
        <v>228993.82670641036</v>
      </c>
      <c r="S50" s="371">
        <f t="shared" si="3"/>
        <v>228993.82670641036</v>
      </c>
      <c r="T50" s="371">
        <f t="shared" si="3"/>
        <v>228993.82670641036</v>
      </c>
      <c r="U50" s="371">
        <f t="shared" si="3"/>
        <v>228993.82670641036</v>
      </c>
      <c r="V50" s="371">
        <f t="shared" si="3"/>
        <v>228993.82670641036</v>
      </c>
      <c r="W50" s="371">
        <f t="shared" si="3"/>
        <v>228993.82670641036</v>
      </c>
      <c r="X50" s="371">
        <f t="shared" si="3"/>
        <v>228993.82670641036</v>
      </c>
      <c r="Y50" s="371">
        <f t="shared" si="3"/>
        <v>228993.82670641036</v>
      </c>
      <c r="Z50" s="371">
        <f t="shared" si="3"/>
        <v>228993.82670641036</v>
      </c>
      <c r="AA50" s="371">
        <f t="shared" si="3"/>
        <v>228993.82670641036</v>
      </c>
      <c r="AB50" s="371">
        <f t="shared" si="3"/>
        <v>228993.82670641036</v>
      </c>
      <c r="AC50" s="372">
        <f t="shared" si="3"/>
        <v>-52500</v>
      </c>
      <c r="AD50" s="42"/>
      <c r="AE50" s="42"/>
      <c r="AF50" s="42"/>
      <c r="AG50" s="42"/>
      <c r="AH50" s="42"/>
      <c r="AI50" s="42"/>
      <c r="AJ50" s="42"/>
      <c r="AK50" s="42"/>
      <c r="AL50" s="42"/>
      <c r="AM50" s="42"/>
      <c r="AN50" s="42"/>
      <c r="AO50" s="356"/>
      <c r="AP50" s="29"/>
    </row>
    <row r="51" spans="1:42" s="140" customFormat="1" outlineLevel="1" x14ac:dyDescent="0.25">
      <c r="A51" s="78"/>
      <c r="B51" s="19"/>
      <c r="C51" s="20" t="s">
        <v>480</v>
      </c>
      <c r="D51" s="20"/>
      <c r="E51" s="15" t="s">
        <v>54</v>
      </c>
      <c r="F51" s="48"/>
      <c r="G51" s="95"/>
      <c r="H51" s="182"/>
      <c r="I51" s="182">
        <f>I50*Data!H$9</f>
        <v>244228.44451006403</v>
      </c>
      <c r="J51" s="182">
        <f>J50*Data!I$9</f>
        <v>211717.66522412197</v>
      </c>
      <c r="K51" s="182">
        <f>K50*Data!J$9</f>
        <v>203574.67810011731</v>
      </c>
      <c r="L51" s="182">
        <f>L50*Data!K$9</f>
        <v>195744.88278857429</v>
      </c>
      <c r="M51" s="182">
        <f>M50*Data!L$9</f>
        <v>188216.23345055219</v>
      </c>
      <c r="N51" s="182">
        <f>N50*Data!M$9</f>
        <v>180977.14754860787</v>
      </c>
      <c r="O51" s="182">
        <f>O50*Data!N$9</f>
        <v>174016.48802750761</v>
      </c>
      <c r="P51" s="182">
        <f>P50*Data!O$9</f>
        <v>167323.54618029573</v>
      </c>
      <c r="Q51" s="182">
        <f>Q50*Data!P$9</f>
        <v>160888.02517336127</v>
      </c>
      <c r="R51" s="182">
        <f>R50*Data!Q$9</f>
        <v>154700.02420515506</v>
      </c>
      <c r="S51" s="182">
        <f>S50*Data!R$9</f>
        <v>148750.02327418758</v>
      </c>
      <c r="T51" s="182">
        <f>T50*Data!S$9</f>
        <v>143028.86853287264</v>
      </c>
      <c r="U51" s="182">
        <f>U50*Data!T$9</f>
        <v>137527.75820468523</v>
      </c>
      <c r="V51" s="182">
        <f>V50*Data!U$9</f>
        <v>132238.22904296656</v>
      </c>
      <c r="W51" s="182">
        <f>W50*Data!V$9</f>
        <v>127152.14331054476</v>
      </c>
      <c r="X51" s="182">
        <f>X50*Data!W$9</f>
        <v>122261.67626013918</v>
      </c>
      <c r="Y51" s="182">
        <f>Y50*Data!X$9</f>
        <v>117559.30409628767</v>
      </c>
      <c r="Z51" s="182">
        <f>Z50*Data!Y$9</f>
        <v>113037.79240027659</v>
      </c>
      <c r="AA51" s="182">
        <f>AA50*Data!Z$9</f>
        <v>108690.18500026596</v>
      </c>
      <c r="AB51" s="182">
        <f>AB50*Data!AA$9</f>
        <v>104509.7932694865</v>
      </c>
      <c r="AC51" s="372">
        <f>AC50*Data!AB$9</f>
        <v>-23038.76411112291</v>
      </c>
      <c r="AD51" s="182">
        <f>AD50*Data!AC$9</f>
        <v>0</v>
      </c>
      <c r="AE51" s="182">
        <f>AE50*Data!AD$9</f>
        <v>0</v>
      </c>
      <c r="AF51" s="182">
        <f>AF50*Data!AE$9</f>
        <v>0</v>
      </c>
      <c r="AG51" s="182">
        <f>AG50*Data!AF$9</f>
        <v>0</v>
      </c>
      <c r="AH51" s="182">
        <f>AH50*Data!AG$9</f>
        <v>0</v>
      </c>
      <c r="AI51" s="182">
        <f>AI50*Data!AH$9</f>
        <v>0</v>
      </c>
      <c r="AJ51" s="182">
        <f>AJ50*Data!AI$9</f>
        <v>0</v>
      </c>
      <c r="AK51" s="182">
        <f>AK50*Data!AJ$9</f>
        <v>0</v>
      </c>
      <c r="AL51" s="182">
        <f>AL50*Data!AK$9</f>
        <v>0</v>
      </c>
      <c r="AM51" s="182">
        <f>AM50*Data!AL$9</f>
        <v>0</v>
      </c>
      <c r="AN51" s="49"/>
      <c r="AO51" s="358"/>
      <c r="AP51" s="50"/>
    </row>
    <row r="52" spans="1:42" outlineLevel="1" x14ac:dyDescent="0.25">
      <c r="A52" s="12"/>
      <c r="B52" s="13"/>
      <c r="C52" s="14" t="s">
        <v>479</v>
      </c>
      <c r="D52" s="14"/>
      <c r="E52" s="15" t="s">
        <v>54</v>
      </c>
      <c r="F52" s="16"/>
      <c r="G52" s="182">
        <f>SUM(H51:AO51)</f>
        <v>3113104.1444889465</v>
      </c>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357"/>
      <c r="AP52" s="29"/>
    </row>
    <row r="53" spans="1:42" outlineLevel="1" x14ac:dyDescent="0.25">
      <c r="A53" s="12"/>
      <c r="B53" s="13"/>
      <c r="C53" s="44" t="s">
        <v>514</v>
      </c>
      <c r="D53" s="44"/>
      <c r="E53" s="15" t="s">
        <v>261</v>
      </c>
      <c r="F53" s="16"/>
      <c r="G53" s="183">
        <f>G52/SUM(I12:AB12)</f>
        <v>1.6629829831671723</v>
      </c>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7"/>
    </row>
    <row r="54" spans="1:42" outlineLevel="1" x14ac:dyDescent="0.25">
      <c r="A54" s="12"/>
      <c r="B54" s="13"/>
      <c r="C54" s="45"/>
      <c r="D54" s="45"/>
      <c r="E54" s="15"/>
      <c r="F54" s="16"/>
      <c r="G54" s="14"/>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357"/>
      <c r="AP54" s="29"/>
    </row>
    <row r="55" spans="1:42" outlineLevel="1" x14ac:dyDescent="0.25">
      <c r="A55" s="12"/>
      <c r="B55" s="13"/>
      <c r="C55" s="14"/>
      <c r="D55" s="14"/>
      <c r="E55" s="15"/>
      <c r="F55" s="16"/>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7"/>
    </row>
    <row r="56" spans="1:42" outlineLevel="1" x14ac:dyDescent="0.25">
      <c r="A56" s="12"/>
      <c r="B56" s="13"/>
      <c r="C56" s="19"/>
      <c r="D56" s="19"/>
      <c r="E56" s="15"/>
      <c r="F56" s="16"/>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7"/>
    </row>
    <row r="57" spans="1:42" outlineLevel="1" x14ac:dyDescent="0.25">
      <c r="A57" s="12"/>
      <c r="B57" s="13"/>
      <c r="C57" s="37" t="s">
        <v>515</v>
      </c>
      <c r="D57" s="37"/>
      <c r="E57" s="38"/>
      <c r="F57" s="39"/>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17"/>
    </row>
    <row r="58" spans="1:42" outlineLevel="1" x14ac:dyDescent="0.25">
      <c r="A58" s="12"/>
      <c r="B58" s="13"/>
      <c r="C58" s="20" t="s">
        <v>516</v>
      </c>
      <c r="D58" s="45"/>
      <c r="E58" s="15"/>
      <c r="F58" s="16"/>
      <c r="G58" s="165"/>
      <c r="H58" s="165"/>
      <c r="I58" s="165"/>
      <c r="J58" s="165"/>
      <c r="K58" s="165"/>
      <c r="L58" s="165"/>
      <c r="M58" s="165"/>
      <c r="N58" s="165"/>
      <c r="O58" s="165"/>
      <c r="P58" s="165"/>
      <c r="Q58" s="165"/>
      <c r="R58" s="165"/>
      <c r="S58" s="165"/>
      <c r="T58" s="165"/>
      <c r="U58" s="28"/>
      <c r="V58" s="28"/>
      <c r="W58" s="28"/>
      <c r="X58" s="28"/>
      <c r="Y58" s="28"/>
      <c r="Z58" s="28"/>
      <c r="AA58" s="28"/>
      <c r="AB58" s="28"/>
      <c r="AC58" s="28"/>
      <c r="AD58" s="28"/>
      <c r="AE58" s="28"/>
      <c r="AF58" s="28"/>
      <c r="AG58" s="28"/>
      <c r="AH58" s="28"/>
      <c r="AI58" s="28"/>
      <c r="AJ58" s="28"/>
      <c r="AK58" s="28"/>
      <c r="AL58" s="28"/>
      <c r="AM58" s="28"/>
      <c r="AN58" s="28"/>
      <c r="AO58" s="357"/>
      <c r="AP58" s="29"/>
    </row>
    <row r="59" spans="1:42" outlineLevel="1" x14ac:dyDescent="0.25">
      <c r="A59" s="12"/>
      <c r="B59" s="13"/>
      <c r="C59" s="45" t="s">
        <v>517</v>
      </c>
      <c r="D59" s="45"/>
      <c r="E59" s="15" t="s">
        <v>342</v>
      </c>
      <c r="F59" s="179">
        <f>Data!$E$138</f>
        <v>100000</v>
      </c>
      <c r="G59" s="165"/>
      <c r="H59" s="165"/>
      <c r="I59" s="165"/>
      <c r="J59" s="165"/>
      <c r="K59" s="165"/>
      <c r="L59" s="165"/>
      <c r="M59" s="165"/>
      <c r="N59" s="165"/>
      <c r="O59" s="165"/>
      <c r="P59" s="165"/>
      <c r="Q59" s="165"/>
      <c r="R59" s="165"/>
      <c r="S59" s="165"/>
      <c r="T59" s="165"/>
      <c r="U59" s="28"/>
      <c r="V59" s="28"/>
      <c r="W59" s="28"/>
      <c r="X59" s="28"/>
      <c r="Y59" s="28"/>
      <c r="Z59" s="28"/>
      <c r="AA59" s="28"/>
      <c r="AB59" s="28"/>
      <c r="AC59" s="28"/>
      <c r="AD59" s="28"/>
      <c r="AE59" s="28"/>
      <c r="AF59" s="28"/>
      <c r="AG59" s="28"/>
      <c r="AH59" s="28"/>
      <c r="AI59" s="28"/>
      <c r="AJ59" s="28"/>
      <c r="AK59" s="28"/>
      <c r="AL59" s="28"/>
      <c r="AM59" s="28"/>
      <c r="AN59" s="28"/>
      <c r="AO59" s="357"/>
      <c r="AP59" s="29"/>
    </row>
    <row r="60" spans="1:42" outlineLevel="1" x14ac:dyDescent="0.25">
      <c r="A60" s="12"/>
      <c r="B60" s="13"/>
      <c r="C60" s="45" t="s">
        <v>518</v>
      </c>
      <c r="D60" s="45"/>
      <c r="E60" s="15" t="s">
        <v>142</v>
      </c>
      <c r="F60" s="179"/>
      <c r="G60" s="186">
        <f>F59*Data!$G$16/1000</f>
        <v>8700</v>
      </c>
      <c r="H60" s="165"/>
      <c r="I60" s="165"/>
      <c r="J60" s="165"/>
      <c r="K60" s="165"/>
      <c r="L60" s="165"/>
      <c r="M60" s="165"/>
      <c r="N60" s="165"/>
      <c r="O60" s="165"/>
      <c r="P60" s="165"/>
      <c r="Q60" s="165"/>
      <c r="R60" s="165"/>
      <c r="S60" s="165"/>
      <c r="T60" s="165"/>
      <c r="U60" s="28"/>
      <c r="V60" s="28"/>
      <c r="W60" s="28"/>
      <c r="X60" s="28"/>
      <c r="Y60" s="28"/>
      <c r="Z60" s="28"/>
      <c r="AA60" s="28"/>
      <c r="AB60" s="28"/>
      <c r="AC60" s="28"/>
      <c r="AD60" s="28"/>
      <c r="AE60" s="28"/>
      <c r="AF60" s="28"/>
      <c r="AG60" s="28"/>
      <c r="AH60" s="28"/>
      <c r="AI60" s="28"/>
      <c r="AJ60" s="28"/>
      <c r="AK60" s="28"/>
      <c r="AL60" s="28"/>
      <c r="AM60" s="28"/>
      <c r="AN60" s="28"/>
      <c r="AO60" s="357"/>
      <c r="AP60" s="29"/>
    </row>
    <row r="61" spans="1:42" outlineLevel="1" x14ac:dyDescent="0.25">
      <c r="A61" s="12"/>
      <c r="B61" s="13"/>
      <c r="C61" s="45" t="s">
        <v>518</v>
      </c>
      <c r="D61" s="45"/>
      <c r="E61" s="15" t="s">
        <v>261</v>
      </c>
      <c r="F61" s="179"/>
      <c r="G61" s="184">
        <f>G60/(SUM(H12:AN12))</f>
        <v>4.6474358974358974E-3</v>
      </c>
      <c r="H61" s="165"/>
      <c r="I61" s="165"/>
      <c r="J61" s="165"/>
      <c r="K61" s="165"/>
      <c r="L61" s="165"/>
      <c r="M61" s="165"/>
      <c r="N61" s="165"/>
      <c r="O61" s="165"/>
      <c r="P61" s="165"/>
      <c r="Q61" s="165"/>
      <c r="R61" s="165"/>
      <c r="S61" s="165"/>
      <c r="T61" s="165"/>
      <c r="U61" s="28"/>
      <c r="V61" s="28"/>
      <c r="W61" s="28"/>
      <c r="X61" s="28"/>
      <c r="Y61" s="28"/>
      <c r="Z61" s="28"/>
      <c r="AA61" s="28"/>
      <c r="AB61" s="28"/>
      <c r="AC61" s="28"/>
      <c r="AD61" s="28"/>
      <c r="AE61" s="28"/>
      <c r="AF61" s="28"/>
      <c r="AG61" s="28"/>
      <c r="AH61" s="28"/>
      <c r="AI61" s="28"/>
      <c r="AJ61" s="28"/>
      <c r="AK61" s="28"/>
      <c r="AL61" s="28"/>
      <c r="AM61" s="28"/>
      <c r="AN61" s="28"/>
      <c r="AO61" s="357"/>
      <c r="AP61" s="29"/>
    </row>
    <row r="62" spans="1:42" outlineLevel="1" x14ac:dyDescent="0.25">
      <c r="A62" s="12"/>
      <c r="B62" s="13"/>
      <c r="C62" s="20" t="s">
        <v>519</v>
      </c>
      <c r="D62" s="19"/>
      <c r="E62" s="15"/>
      <c r="F62" s="16"/>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7"/>
    </row>
    <row r="63" spans="1:42" outlineLevel="1" x14ac:dyDescent="0.25">
      <c r="A63" s="12"/>
      <c r="B63" s="13"/>
      <c r="C63" t="s">
        <v>520</v>
      </c>
      <c r="D63" s="14"/>
      <c r="E63" s="15" t="s">
        <v>521</v>
      </c>
      <c r="F63" s="16"/>
      <c r="G63" s="20" t="s">
        <v>522</v>
      </c>
      <c r="H63" s="141"/>
      <c r="I63" s="141">
        <f>I12</f>
        <v>93600</v>
      </c>
      <c r="J63" s="141">
        <f t="shared" ref="J63:AC63" si="4">J12</f>
        <v>93600</v>
      </c>
      <c r="K63" s="141">
        <f t="shared" si="4"/>
        <v>93600</v>
      </c>
      <c r="L63" s="141">
        <f t="shared" si="4"/>
        <v>93600</v>
      </c>
      <c r="M63" s="141">
        <f t="shared" si="4"/>
        <v>93600</v>
      </c>
      <c r="N63" s="141">
        <f t="shared" si="4"/>
        <v>93600</v>
      </c>
      <c r="O63" s="141">
        <f t="shared" si="4"/>
        <v>93600</v>
      </c>
      <c r="P63" s="141">
        <f t="shared" si="4"/>
        <v>93600</v>
      </c>
      <c r="Q63" s="141">
        <f t="shared" si="4"/>
        <v>93600</v>
      </c>
      <c r="R63" s="141">
        <f t="shared" si="4"/>
        <v>93600</v>
      </c>
      <c r="S63" s="141">
        <f t="shared" si="4"/>
        <v>93600</v>
      </c>
      <c r="T63" s="141">
        <f t="shared" si="4"/>
        <v>93600</v>
      </c>
      <c r="U63" s="141">
        <f t="shared" si="4"/>
        <v>93600</v>
      </c>
      <c r="V63" s="141">
        <f t="shared" si="4"/>
        <v>93600</v>
      </c>
      <c r="W63" s="141">
        <f t="shared" si="4"/>
        <v>93600</v>
      </c>
      <c r="X63" s="141">
        <f t="shared" si="4"/>
        <v>93600</v>
      </c>
      <c r="Y63" s="141">
        <f t="shared" si="4"/>
        <v>93600</v>
      </c>
      <c r="Z63" s="141">
        <f t="shared" si="4"/>
        <v>93600</v>
      </c>
      <c r="AA63" s="141">
        <f t="shared" si="4"/>
        <v>93600</v>
      </c>
      <c r="AB63" s="141">
        <f t="shared" si="4"/>
        <v>93600</v>
      </c>
      <c r="AC63" s="141">
        <f t="shared" si="4"/>
        <v>0</v>
      </c>
      <c r="AD63" s="141">
        <f t="shared" ref="AD63:AN63" si="5">AD8</f>
        <v>0</v>
      </c>
      <c r="AE63" s="141">
        <f t="shared" si="5"/>
        <v>0</v>
      </c>
      <c r="AF63" s="141">
        <f t="shared" si="5"/>
        <v>0</v>
      </c>
      <c r="AG63" s="141">
        <f t="shared" si="5"/>
        <v>0</v>
      </c>
      <c r="AH63" s="141">
        <f t="shared" si="5"/>
        <v>0</v>
      </c>
      <c r="AI63" s="141">
        <f t="shared" si="5"/>
        <v>0</v>
      </c>
      <c r="AJ63" s="141">
        <f t="shared" si="5"/>
        <v>0</v>
      </c>
      <c r="AK63" s="141">
        <f t="shared" si="5"/>
        <v>0</v>
      </c>
      <c r="AL63" s="141">
        <f t="shared" si="5"/>
        <v>0</v>
      </c>
      <c r="AM63" s="141">
        <f t="shared" si="5"/>
        <v>0</v>
      </c>
      <c r="AN63" s="141">
        <f t="shared" si="5"/>
        <v>0</v>
      </c>
      <c r="AO63" s="141"/>
      <c r="AP63" s="17"/>
    </row>
    <row r="64" spans="1:42" outlineLevel="1" x14ac:dyDescent="0.25">
      <c r="A64" s="12"/>
      <c r="B64" s="13"/>
      <c r="C64" s="14" t="s">
        <v>483</v>
      </c>
      <c r="D64" s="14"/>
      <c r="E64" s="15"/>
      <c r="F64" s="16"/>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4"/>
      <c r="AH64" s="14"/>
      <c r="AI64" s="14"/>
      <c r="AJ64" s="14"/>
      <c r="AK64" s="14"/>
      <c r="AL64" s="14"/>
      <c r="AM64" s="14"/>
      <c r="AN64" s="14"/>
      <c r="AO64" s="14"/>
      <c r="AP64" s="17"/>
    </row>
    <row r="65" spans="1:42" ht="14.25" customHeight="1" outlineLevel="1" x14ac:dyDescent="0.25">
      <c r="A65" s="54"/>
      <c r="B65" s="13"/>
      <c r="C65" s="14" t="s">
        <v>205</v>
      </c>
      <c r="D65" s="14"/>
      <c r="E65" s="70" t="s">
        <v>352</v>
      </c>
      <c r="F65" s="201">
        <f>Data!$E$413/1000</f>
        <v>4.0583752780418599E-3</v>
      </c>
      <c r="G65" s="231">
        <f>SUM(I65:AO65)</f>
        <v>7597.2785204943639</v>
      </c>
      <c r="H65" s="56"/>
      <c r="I65" s="56">
        <f t="shared" ref="I65:I71" si="6">I$63*$F65</f>
        <v>379.86392602471807</v>
      </c>
      <c r="J65" s="56">
        <f t="shared" ref="J65:J68" si="7">J$63*$F65</f>
        <v>379.86392602471807</v>
      </c>
      <c r="K65" s="56">
        <f t="shared" ref="K65:AB71" si="8">K$63*$F65</f>
        <v>379.86392602471807</v>
      </c>
      <c r="L65" s="56">
        <f t="shared" si="8"/>
        <v>379.86392602471807</v>
      </c>
      <c r="M65" s="56">
        <f t="shared" si="8"/>
        <v>379.86392602471807</v>
      </c>
      <c r="N65" s="56">
        <f t="shared" si="8"/>
        <v>379.86392602471807</v>
      </c>
      <c r="O65" s="56">
        <f t="shared" si="8"/>
        <v>379.86392602471807</v>
      </c>
      <c r="P65" s="56">
        <f t="shared" si="8"/>
        <v>379.86392602471807</v>
      </c>
      <c r="Q65" s="56">
        <f t="shared" si="8"/>
        <v>379.86392602471807</v>
      </c>
      <c r="R65" s="56">
        <f t="shared" si="8"/>
        <v>379.86392602471807</v>
      </c>
      <c r="S65" s="56">
        <f t="shared" si="8"/>
        <v>379.86392602471807</v>
      </c>
      <c r="T65" s="56">
        <f t="shared" si="8"/>
        <v>379.86392602471807</v>
      </c>
      <c r="U65" s="56">
        <f t="shared" si="8"/>
        <v>379.86392602471807</v>
      </c>
      <c r="V65" s="56">
        <f t="shared" si="8"/>
        <v>379.86392602471807</v>
      </c>
      <c r="W65" s="56">
        <f t="shared" si="8"/>
        <v>379.86392602471807</v>
      </c>
      <c r="X65" s="56">
        <f t="shared" si="8"/>
        <v>379.86392602471807</v>
      </c>
      <c r="Y65" s="56">
        <f t="shared" si="8"/>
        <v>379.86392602471807</v>
      </c>
      <c r="Z65" s="56">
        <f t="shared" si="8"/>
        <v>379.86392602471807</v>
      </c>
      <c r="AA65" s="56">
        <f t="shared" si="8"/>
        <v>379.86392602471807</v>
      </c>
      <c r="AB65" s="56">
        <f t="shared" si="8"/>
        <v>379.86392602471807</v>
      </c>
      <c r="AC65" s="56"/>
      <c r="AD65" s="56"/>
      <c r="AE65" s="56"/>
      <c r="AF65" s="56"/>
      <c r="AG65" s="56"/>
      <c r="AH65" s="56"/>
      <c r="AI65" s="56"/>
      <c r="AJ65" s="56"/>
      <c r="AK65" s="56"/>
      <c r="AL65" s="56"/>
      <c r="AM65" s="56"/>
      <c r="AN65" s="56"/>
      <c r="AO65" s="68"/>
      <c r="AP65" s="29"/>
    </row>
    <row r="66" spans="1:42" s="140" customFormat="1" ht="14.25" customHeight="1" outlineLevel="1" x14ac:dyDescent="0.25">
      <c r="A66" s="235"/>
      <c r="B66" s="19"/>
      <c r="C66" s="20" t="s">
        <v>484</v>
      </c>
      <c r="D66" s="20"/>
      <c r="E66" s="236" t="s">
        <v>352</v>
      </c>
      <c r="F66" s="237">
        <f>Data!$E$414/1000</f>
        <v>1.0176439575523251</v>
      </c>
      <c r="G66" s="231">
        <f t="shared" ref="G66:G78" si="9">SUM(I66:AO66)</f>
        <v>1905029.488537953</v>
      </c>
      <c r="H66" s="231"/>
      <c r="I66" s="231">
        <f t="shared" si="6"/>
        <v>95251.474426897621</v>
      </c>
      <c r="J66" s="231">
        <f t="shared" si="7"/>
        <v>95251.474426897621</v>
      </c>
      <c r="K66" s="231">
        <f t="shared" si="8"/>
        <v>95251.474426897621</v>
      </c>
      <c r="L66" s="231">
        <f t="shared" si="8"/>
        <v>95251.474426897621</v>
      </c>
      <c r="M66" s="231">
        <f t="shared" si="8"/>
        <v>95251.474426897621</v>
      </c>
      <c r="N66" s="231">
        <f t="shared" si="8"/>
        <v>95251.474426897621</v>
      </c>
      <c r="O66" s="231">
        <f t="shared" si="8"/>
        <v>95251.474426897621</v>
      </c>
      <c r="P66" s="231">
        <f t="shared" si="8"/>
        <v>95251.474426897621</v>
      </c>
      <c r="Q66" s="231">
        <f t="shared" si="8"/>
        <v>95251.474426897621</v>
      </c>
      <c r="R66" s="231">
        <f t="shared" si="8"/>
        <v>95251.474426897621</v>
      </c>
      <c r="S66" s="231">
        <f t="shared" si="8"/>
        <v>95251.474426897621</v>
      </c>
      <c r="T66" s="231">
        <f t="shared" si="8"/>
        <v>95251.474426897621</v>
      </c>
      <c r="U66" s="231">
        <f t="shared" si="8"/>
        <v>95251.474426897621</v>
      </c>
      <c r="V66" s="231">
        <f t="shared" si="8"/>
        <v>95251.474426897621</v>
      </c>
      <c r="W66" s="231">
        <f t="shared" si="8"/>
        <v>95251.474426897621</v>
      </c>
      <c r="X66" s="231">
        <f t="shared" si="8"/>
        <v>95251.474426897621</v>
      </c>
      <c r="Y66" s="231">
        <f t="shared" si="8"/>
        <v>95251.474426897621</v>
      </c>
      <c r="Z66" s="231">
        <f t="shared" si="8"/>
        <v>95251.474426897621</v>
      </c>
      <c r="AA66" s="231">
        <f t="shared" si="8"/>
        <v>95251.474426897621</v>
      </c>
      <c r="AB66" s="231">
        <f t="shared" si="8"/>
        <v>95251.474426897621</v>
      </c>
      <c r="AC66" s="231"/>
      <c r="AD66" s="231"/>
      <c r="AE66" s="231"/>
      <c r="AF66" s="231"/>
      <c r="AG66" s="231"/>
      <c r="AH66" s="231"/>
      <c r="AI66" s="231"/>
      <c r="AJ66" s="231"/>
      <c r="AK66" s="231"/>
      <c r="AL66" s="231"/>
      <c r="AM66" s="231"/>
      <c r="AN66" s="231"/>
      <c r="AO66" s="359"/>
      <c r="AP66" s="50"/>
    </row>
    <row r="67" spans="1:42" outlineLevel="1" x14ac:dyDescent="0.25">
      <c r="A67" s="54"/>
      <c r="B67" s="13"/>
      <c r="C67" s="14" t="s">
        <v>285</v>
      </c>
      <c r="D67" s="14"/>
      <c r="E67" s="70" t="s">
        <v>352</v>
      </c>
      <c r="F67" s="201">
        <f>Data!$E$415/1000</f>
        <v>2.8470339849987793E-4</v>
      </c>
      <c r="G67" s="231">
        <f t="shared" si="9"/>
        <v>532.96476199177152</v>
      </c>
      <c r="H67" s="56"/>
      <c r="I67" s="56">
        <f t="shared" si="6"/>
        <v>26.648238099588575</v>
      </c>
      <c r="J67" s="56">
        <f t="shared" si="7"/>
        <v>26.648238099588575</v>
      </c>
      <c r="K67" s="56">
        <f t="shared" si="8"/>
        <v>26.648238099588575</v>
      </c>
      <c r="L67" s="56">
        <f t="shared" si="8"/>
        <v>26.648238099588575</v>
      </c>
      <c r="M67" s="56">
        <f t="shared" si="8"/>
        <v>26.648238099588575</v>
      </c>
      <c r="N67" s="56">
        <f t="shared" si="8"/>
        <v>26.648238099588575</v>
      </c>
      <c r="O67" s="56">
        <f t="shared" si="8"/>
        <v>26.648238099588575</v>
      </c>
      <c r="P67" s="56">
        <f t="shared" si="8"/>
        <v>26.648238099588575</v>
      </c>
      <c r="Q67" s="56">
        <f t="shared" si="8"/>
        <v>26.648238099588575</v>
      </c>
      <c r="R67" s="56">
        <f t="shared" si="8"/>
        <v>26.648238099588575</v>
      </c>
      <c r="S67" s="56">
        <f t="shared" si="8"/>
        <v>26.648238099588575</v>
      </c>
      <c r="T67" s="56">
        <f t="shared" si="8"/>
        <v>26.648238099588575</v>
      </c>
      <c r="U67" s="56">
        <f t="shared" si="8"/>
        <v>26.648238099588575</v>
      </c>
      <c r="V67" s="56">
        <f t="shared" si="8"/>
        <v>26.648238099588575</v>
      </c>
      <c r="W67" s="56">
        <f t="shared" si="8"/>
        <v>26.648238099588575</v>
      </c>
      <c r="X67" s="56">
        <f t="shared" si="8"/>
        <v>26.648238099588575</v>
      </c>
      <c r="Y67" s="56">
        <f t="shared" si="8"/>
        <v>26.648238099588575</v>
      </c>
      <c r="Z67" s="56">
        <f t="shared" si="8"/>
        <v>26.648238099588575</v>
      </c>
      <c r="AA67" s="56">
        <f t="shared" si="8"/>
        <v>26.648238099588575</v>
      </c>
      <c r="AB67" s="56">
        <f t="shared" si="8"/>
        <v>26.648238099588575</v>
      </c>
      <c r="AC67" s="56"/>
      <c r="AD67" s="56"/>
      <c r="AE67" s="56"/>
      <c r="AF67" s="56"/>
      <c r="AG67" s="56"/>
      <c r="AH67" s="56"/>
      <c r="AI67" s="56"/>
      <c r="AJ67" s="56"/>
      <c r="AK67" s="56"/>
      <c r="AL67" s="56"/>
      <c r="AM67" s="56"/>
      <c r="AN67" s="56"/>
      <c r="AO67" s="68"/>
      <c r="AP67" s="29"/>
    </row>
    <row r="68" spans="1:42" outlineLevel="1" x14ac:dyDescent="0.25">
      <c r="A68" s="54"/>
      <c r="B68" s="13"/>
      <c r="C68" s="14" t="s">
        <v>220</v>
      </c>
      <c r="D68" s="14"/>
      <c r="E68" s="70" t="s">
        <v>352</v>
      </c>
      <c r="F68" s="201">
        <f>Data!$E$416/1000</f>
        <v>1.0339278110249E-2</v>
      </c>
      <c r="G68" s="231">
        <f t="shared" si="9"/>
        <v>19355.128622386117</v>
      </c>
      <c r="H68" s="56"/>
      <c r="I68" s="56">
        <f>I$63*$F68</f>
        <v>967.7564311193064</v>
      </c>
      <c r="J68" s="56">
        <f t="shared" si="7"/>
        <v>967.7564311193064</v>
      </c>
      <c r="K68" s="56">
        <f t="shared" si="8"/>
        <v>967.7564311193064</v>
      </c>
      <c r="L68" s="56">
        <f t="shared" si="8"/>
        <v>967.7564311193064</v>
      </c>
      <c r="M68" s="56">
        <f t="shared" si="8"/>
        <v>967.7564311193064</v>
      </c>
      <c r="N68" s="56">
        <f t="shared" si="8"/>
        <v>967.7564311193064</v>
      </c>
      <c r="O68" s="56">
        <f t="shared" si="8"/>
        <v>967.7564311193064</v>
      </c>
      <c r="P68" s="56">
        <f t="shared" si="8"/>
        <v>967.7564311193064</v>
      </c>
      <c r="Q68" s="56">
        <f t="shared" si="8"/>
        <v>967.7564311193064</v>
      </c>
      <c r="R68" s="56">
        <f t="shared" si="8"/>
        <v>967.7564311193064</v>
      </c>
      <c r="S68" s="56">
        <f t="shared" si="8"/>
        <v>967.7564311193064</v>
      </c>
      <c r="T68" s="56">
        <f t="shared" si="8"/>
        <v>967.7564311193064</v>
      </c>
      <c r="U68" s="56">
        <f t="shared" si="8"/>
        <v>967.7564311193064</v>
      </c>
      <c r="V68" s="56">
        <f t="shared" si="8"/>
        <v>967.7564311193064</v>
      </c>
      <c r="W68" s="56">
        <f t="shared" si="8"/>
        <v>967.7564311193064</v>
      </c>
      <c r="X68" s="56">
        <f t="shared" si="8"/>
        <v>967.7564311193064</v>
      </c>
      <c r="Y68" s="56">
        <f t="shared" si="8"/>
        <v>967.7564311193064</v>
      </c>
      <c r="Z68" s="56">
        <f t="shared" si="8"/>
        <v>967.7564311193064</v>
      </c>
      <c r="AA68" s="56">
        <f t="shared" si="8"/>
        <v>967.7564311193064</v>
      </c>
      <c r="AB68" s="56">
        <f t="shared" si="8"/>
        <v>967.7564311193064</v>
      </c>
      <c r="AC68" s="56"/>
      <c r="AD68" s="56"/>
      <c r="AE68" s="56"/>
      <c r="AF68" s="56"/>
      <c r="AG68" s="56"/>
      <c r="AH68" s="56"/>
      <c r="AI68" s="56"/>
      <c r="AJ68" s="56"/>
      <c r="AK68" s="56"/>
      <c r="AL68" s="56"/>
      <c r="AM68" s="56"/>
      <c r="AN68" s="56"/>
      <c r="AO68" s="68"/>
      <c r="AP68" s="29"/>
    </row>
    <row r="69" spans="1:42" outlineLevel="1" x14ac:dyDescent="0.25">
      <c r="A69" s="54"/>
      <c r="B69" s="13"/>
      <c r="C69" s="14" t="s">
        <v>212</v>
      </c>
      <c r="D69" s="14"/>
      <c r="E69" s="70" t="s">
        <v>352</v>
      </c>
      <c r="F69" s="201">
        <f>Data!$E$417/1000</f>
        <v>1.0831616103370489E-3</v>
      </c>
      <c r="G69" s="231">
        <f t="shared" si="9"/>
        <v>2027.6785345509554</v>
      </c>
      <c r="H69" s="56"/>
      <c r="I69" s="56">
        <f t="shared" si="6"/>
        <v>101.38392672754777</v>
      </c>
      <c r="J69" s="56">
        <f>J$63*$F69</f>
        <v>101.38392672754777</v>
      </c>
      <c r="K69" s="56">
        <f t="shared" si="8"/>
        <v>101.38392672754777</v>
      </c>
      <c r="L69" s="56">
        <f t="shared" si="8"/>
        <v>101.38392672754777</v>
      </c>
      <c r="M69" s="56">
        <f t="shared" si="8"/>
        <v>101.38392672754777</v>
      </c>
      <c r="N69" s="56">
        <f t="shared" si="8"/>
        <v>101.38392672754777</v>
      </c>
      <c r="O69" s="56">
        <f t="shared" si="8"/>
        <v>101.38392672754777</v>
      </c>
      <c r="P69" s="56">
        <f t="shared" si="8"/>
        <v>101.38392672754777</v>
      </c>
      <c r="Q69" s="56">
        <f t="shared" si="8"/>
        <v>101.38392672754777</v>
      </c>
      <c r="R69" s="56">
        <f t="shared" si="8"/>
        <v>101.38392672754777</v>
      </c>
      <c r="S69" s="56">
        <f t="shared" si="8"/>
        <v>101.38392672754777</v>
      </c>
      <c r="T69" s="56">
        <f t="shared" si="8"/>
        <v>101.38392672754777</v>
      </c>
      <c r="U69" s="56">
        <f t="shared" si="8"/>
        <v>101.38392672754777</v>
      </c>
      <c r="V69" s="56">
        <f t="shared" si="8"/>
        <v>101.38392672754777</v>
      </c>
      <c r="W69" s="56">
        <f t="shared" si="8"/>
        <v>101.38392672754777</v>
      </c>
      <c r="X69" s="56">
        <f t="shared" si="8"/>
        <v>101.38392672754777</v>
      </c>
      <c r="Y69" s="56">
        <f t="shared" si="8"/>
        <v>101.38392672754777</v>
      </c>
      <c r="Z69" s="56">
        <f t="shared" si="8"/>
        <v>101.38392672754777</v>
      </c>
      <c r="AA69" s="56">
        <f t="shared" si="8"/>
        <v>101.38392672754777</v>
      </c>
      <c r="AB69" s="56">
        <f t="shared" si="8"/>
        <v>101.38392672754777</v>
      </c>
      <c r="AC69" s="56"/>
      <c r="AD69" s="56"/>
      <c r="AE69" s="56"/>
      <c r="AF69" s="56"/>
      <c r="AG69" s="56"/>
      <c r="AH69" s="56"/>
      <c r="AI69" s="56"/>
      <c r="AJ69" s="56"/>
      <c r="AK69" s="56"/>
      <c r="AL69" s="56"/>
      <c r="AM69" s="56"/>
      <c r="AN69" s="56"/>
      <c r="AO69" s="68"/>
      <c r="AP69" s="29"/>
    </row>
    <row r="70" spans="1:42" outlineLevel="1" x14ac:dyDescent="0.25">
      <c r="A70" s="54"/>
      <c r="B70" s="13"/>
      <c r="C70" s="14" t="s">
        <v>485</v>
      </c>
      <c r="D70" s="14"/>
      <c r="E70" s="70" t="s">
        <v>352</v>
      </c>
      <c r="F70" s="201">
        <f>Data!$E$418/1000</f>
        <v>2.3599733894197369E-4</v>
      </c>
      <c r="G70" s="231">
        <f t="shared" si="9"/>
        <v>441.78701849937482</v>
      </c>
      <c r="H70" s="56"/>
      <c r="I70" s="56">
        <f t="shared" si="6"/>
        <v>22.089350924968738</v>
      </c>
      <c r="J70" s="56">
        <f t="shared" ref="J70:X71" si="10">J$63*$F70</f>
        <v>22.089350924968738</v>
      </c>
      <c r="K70" s="56">
        <f t="shared" si="10"/>
        <v>22.089350924968738</v>
      </c>
      <c r="L70" s="56">
        <f t="shared" si="10"/>
        <v>22.089350924968738</v>
      </c>
      <c r="M70" s="56">
        <f t="shared" si="10"/>
        <v>22.089350924968738</v>
      </c>
      <c r="N70" s="56">
        <f t="shared" si="10"/>
        <v>22.089350924968738</v>
      </c>
      <c r="O70" s="56">
        <f t="shared" si="10"/>
        <v>22.089350924968738</v>
      </c>
      <c r="P70" s="56">
        <f t="shared" si="10"/>
        <v>22.089350924968738</v>
      </c>
      <c r="Q70" s="56">
        <f t="shared" si="10"/>
        <v>22.089350924968738</v>
      </c>
      <c r="R70" s="56">
        <f t="shared" si="10"/>
        <v>22.089350924968738</v>
      </c>
      <c r="S70" s="56">
        <f t="shared" si="10"/>
        <v>22.089350924968738</v>
      </c>
      <c r="T70" s="56">
        <f t="shared" si="10"/>
        <v>22.089350924968738</v>
      </c>
      <c r="U70" s="56">
        <f t="shared" si="10"/>
        <v>22.089350924968738</v>
      </c>
      <c r="V70" s="56">
        <f t="shared" si="10"/>
        <v>22.089350924968738</v>
      </c>
      <c r="W70" s="56">
        <f t="shared" si="10"/>
        <v>22.089350924968738</v>
      </c>
      <c r="X70" s="56">
        <f t="shared" si="10"/>
        <v>22.089350924968738</v>
      </c>
      <c r="Y70" s="56">
        <f t="shared" si="8"/>
        <v>22.089350924968738</v>
      </c>
      <c r="Z70" s="56">
        <f t="shared" si="8"/>
        <v>22.089350924968738</v>
      </c>
      <c r="AA70" s="56">
        <f t="shared" si="8"/>
        <v>22.089350924968738</v>
      </c>
      <c r="AB70" s="56">
        <f t="shared" si="8"/>
        <v>22.089350924968738</v>
      </c>
      <c r="AC70" s="56"/>
      <c r="AD70" s="56"/>
      <c r="AE70" s="56"/>
      <c r="AF70" s="56"/>
      <c r="AG70" s="56"/>
      <c r="AH70" s="56"/>
      <c r="AI70" s="56"/>
      <c r="AJ70" s="56"/>
      <c r="AK70" s="56"/>
      <c r="AL70" s="56"/>
      <c r="AM70" s="56"/>
      <c r="AN70" s="56"/>
      <c r="AO70" s="68"/>
      <c r="AP70" s="29"/>
    </row>
    <row r="71" spans="1:42" outlineLevel="1" x14ac:dyDescent="0.25">
      <c r="A71" s="54"/>
      <c r="B71" s="13"/>
      <c r="C71" s="14" t="s">
        <v>214</v>
      </c>
      <c r="D71" s="14"/>
      <c r="E71" s="70" t="s">
        <v>352</v>
      </c>
      <c r="F71" s="201">
        <f>Data!$E$419/1000</f>
        <v>1.7486429999999991E-5</v>
      </c>
      <c r="G71" s="231">
        <f t="shared" si="9"/>
        <v>32.734596959999976</v>
      </c>
      <c r="H71" s="56"/>
      <c r="I71" s="56">
        <f t="shared" si="6"/>
        <v>1.6367298479999992</v>
      </c>
      <c r="J71" s="56">
        <f t="shared" si="10"/>
        <v>1.6367298479999992</v>
      </c>
      <c r="K71" s="56">
        <f t="shared" si="8"/>
        <v>1.6367298479999992</v>
      </c>
      <c r="L71" s="56">
        <f t="shared" si="8"/>
        <v>1.6367298479999992</v>
      </c>
      <c r="M71" s="56">
        <f t="shared" si="8"/>
        <v>1.6367298479999992</v>
      </c>
      <c r="N71" s="56">
        <f t="shared" si="8"/>
        <v>1.6367298479999992</v>
      </c>
      <c r="O71" s="56">
        <f t="shared" si="8"/>
        <v>1.6367298479999992</v>
      </c>
      <c r="P71" s="56">
        <f t="shared" si="8"/>
        <v>1.6367298479999992</v>
      </c>
      <c r="Q71" s="56">
        <f t="shared" si="8"/>
        <v>1.6367298479999992</v>
      </c>
      <c r="R71" s="56">
        <f t="shared" si="8"/>
        <v>1.6367298479999992</v>
      </c>
      <c r="S71" s="56">
        <f t="shared" si="8"/>
        <v>1.6367298479999992</v>
      </c>
      <c r="T71" s="56">
        <f t="shared" si="8"/>
        <v>1.6367298479999992</v>
      </c>
      <c r="U71" s="56">
        <f t="shared" si="8"/>
        <v>1.6367298479999992</v>
      </c>
      <c r="V71" s="56">
        <f t="shared" si="8"/>
        <v>1.6367298479999992</v>
      </c>
      <c r="W71" s="56">
        <f t="shared" si="8"/>
        <v>1.6367298479999992</v>
      </c>
      <c r="X71" s="56">
        <f t="shared" si="8"/>
        <v>1.6367298479999992</v>
      </c>
      <c r="Y71" s="56">
        <f t="shared" si="8"/>
        <v>1.6367298479999992</v>
      </c>
      <c r="Z71" s="56">
        <f t="shared" si="8"/>
        <v>1.6367298479999992</v>
      </c>
      <c r="AA71" s="56">
        <f t="shared" si="8"/>
        <v>1.6367298479999992</v>
      </c>
      <c r="AB71" s="56">
        <f t="shared" si="8"/>
        <v>1.6367298479999992</v>
      </c>
      <c r="AC71" s="56"/>
      <c r="AD71" s="56"/>
      <c r="AE71" s="56"/>
      <c r="AF71" s="56"/>
      <c r="AG71" s="56"/>
      <c r="AH71" s="56"/>
      <c r="AI71" s="56"/>
      <c r="AJ71" s="56"/>
      <c r="AK71" s="56"/>
      <c r="AL71" s="56"/>
      <c r="AM71" s="56"/>
      <c r="AN71" s="56"/>
      <c r="AO71" s="68"/>
      <c r="AP71" s="29"/>
    </row>
    <row r="72" spans="1:42" outlineLevel="1" x14ac:dyDescent="0.25">
      <c r="A72" s="12"/>
      <c r="B72" s="13"/>
      <c r="C72" s="14"/>
      <c r="D72" s="14"/>
      <c r="E72" s="15"/>
      <c r="F72" s="16"/>
      <c r="G72" s="231">
        <f t="shared" si="9"/>
        <v>0</v>
      </c>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4"/>
      <c r="AI72" s="14"/>
      <c r="AJ72" s="14"/>
      <c r="AK72" s="14"/>
      <c r="AL72" s="14"/>
      <c r="AM72" s="14"/>
      <c r="AN72" s="14"/>
      <c r="AO72" s="14"/>
      <c r="AP72" s="17"/>
    </row>
    <row r="73" spans="1:42" outlineLevel="1" x14ac:dyDescent="0.25">
      <c r="A73" s="54"/>
      <c r="B73" s="13"/>
      <c r="C73" s="14" t="s">
        <v>205</v>
      </c>
      <c r="D73" s="14"/>
      <c r="E73" s="70" t="s">
        <v>474</v>
      </c>
      <c r="F73" s="200">
        <f>Data!$E$35/1000</f>
        <v>3.4099438202247192E-3</v>
      </c>
      <c r="G73" s="231">
        <f t="shared" si="9"/>
        <v>25.906292941485752</v>
      </c>
      <c r="H73" s="56"/>
      <c r="I73" s="56">
        <f>I$65*$F73</f>
        <v>1.2953146470742873</v>
      </c>
      <c r="J73" s="56">
        <f>J$65*$F73</f>
        <v>1.2953146470742873</v>
      </c>
      <c r="K73" s="56">
        <f t="shared" ref="K73:AB73" si="11">K$65*$F73</f>
        <v>1.2953146470742873</v>
      </c>
      <c r="L73" s="56">
        <f t="shared" si="11"/>
        <v>1.2953146470742873</v>
      </c>
      <c r="M73" s="56">
        <f t="shared" si="11"/>
        <v>1.2953146470742873</v>
      </c>
      <c r="N73" s="56">
        <f t="shared" si="11"/>
        <v>1.2953146470742873</v>
      </c>
      <c r="O73" s="56">
        <f t="shared" si="11"/>
        <v>1.2953146470742873</v>
      </c>
      <c r="P73" s="56">
        <f t="shared" si="11"/>
        <v>1.2953146470742873</v>
      </c>
      <c r="Q73" s="56">
        <f t="shared" si="11"/>
        <v>1.2953146470742873</v>
      </c>
      <c r="R73" s="56">
        <f t="shared" si="11"/>
        <v>1.2953146470742873</v>
      </c>
      <c r="S73" s="56">
        <f t="shared" si="11"/>
        <v>1.2953146470742873</v>
      </c>
      <c r="T73" s="56">
        <f t="shared" si="11"/>
        <v>1.2953146470742873</v>
      </c>
      <c r="U73" s="56">
        <f t="shared" si="11"/>
        <v>1.2953146470742873</v>
      </c>
      <c r="V73" s="56">
        <f t="shared" si="11"/>
        <v>1.2953146470742873</v>
      </c>
      <c r="W73" s="56">
        <f t="shared" si="11"/>
        <v>1.2953146470742873</v>
      </c>
      <c r="X73" s="56">
        <f t="shared" si="11"/>
        <v>1.2953146470742873</v>
      </c>
      <c r="Y73" s="56">
        <f t="shared" si="11"/>
        <v>1.2953146470742873</v>
      </c>
      <c r="Z73" s="56">
        <f t="shared" si="11"/>
        <v>1.2953146470742873</v>
      </c>
      <c r="AA73" s="56">
        <f t="shared" si="11"/>
        <v>1.2953146470742873</v>
      </c>
      <c r="AB73" s="56">
        <f t="shared" si="11"/>
        <v>1.2953146470742873</v>
      </c>
      <c r="AC73" s="56"/>
      <c r="AD73" s="56"/>
      <c r="AE73" s="56"/>
      <c r="AF73" s="56"/>
      <c r="AG73" s="56"/>
      <c r="AH73" s="56"/>
      <c r="AI73" s="56"/>
      <c r="AJ73" s="56"/>
      <c r="AK73" s="56"/>
      <c r="AL73" s="56"/>
      <c r="AM73" s="56"/>
      <c r="AN73" s="56"/>
      <c r="AO73" s="68"/>
      <c r="AP73" s="29"/>
    </row>
    <row r="74" spans="1:42" outlineLevel="1" x14ac:dyDescent="0.25">
      <c r="A74" s="54"/>
      <c r="B74" s="13"/>
      <c r="C74" s="14" t="s">
        <v>484</v>
      </c>
      <c r="D74" s="14"/>
      <c r="E74" s="70" t="s">
        <v>474</v>
      </c>
      <c r="F74" s="200"/>
      <c r="G74" s="231">
        <f>SUM(I74:AO74)</f>
        <v>329189.09561935812</v>
      </c>
      <c r="H74" s="56"/>
      <c r="I74" s="56">
        <f>I$66*Data!H$16/1000</f>
        <v>9239.3930194090699</v>
      </c>
      <c r="J74" s="56">
        <f>J$66*Data!I$16/1000</f>
        <v>10191.907763678046</v>
      </c>
      <c r="K74" s="56">
        <f>K$66*Data!J$16/1000</f>
        <v>11049.171033520124</v>
      </c>
      <c r="L74" s="56">
        <f>L$66*Data!K$16/1000</f>
        <v>12001.685777789102</v>
      </c>
      <c r="M74" s="56">
        <f>M$66*Data!L$16/1000</f>
        <v>12954.200522058078</v>
      </c>
      <c r="N74" s="56">
        <f>N$66*Data!M$16/1000</f>
        <v>13906.715266327054</v>
      </c>
      <c r="O74" s="56">
        <f>O$66*Data!N$16/1000</f>
        <v>14763.97853616913</v>
      </c>
      <c r="P74" s="56">
        <f>P$66*Data!O$16/1000</f>
        <v>15335.487382730518</v>
      </c>
      <c r="Q74" s="56">
        <f>Q$66*Data!P$16/1000</f>
        <v>15906.996229291903</v>
      </c>
      <c r="R74" s="56">
        <f>R$66*Data!Q$16/1000</f>
        <v>16573.756550280184</v>
      </c>
      <c r="S74" s="56">
        <f>S$66*Data!R$16/1000</f>
        <v>17145.265396841573</v>
      </c>
      <c r="T74" s="56">
        <f>T$66*Data!S$16/1000</f>
        <v>17716.774243402957</v>
      </c>
      <c r="U74" s="56">
        <f>U$66*Data!T$16/1000</f>
        <v>18288.283089964345</v>
      </c>
      <c r="V74" s="56">
        <f>V$66*Data!U$16/1000</f>
        <v>18859.791936525729</v>
      </c>
      <c r="W74" s="56">
        <f>W$66*Data!V$16/1000</f>
        <v>19431.300783087117</v>
      </c>
      <c r="X74" s="56">
        <f>X$66*Data!W$16/1000</f>
        <v>20002.809629648498</v>
      </c>
      <c r="Y74" s="56">
        <f>Y$66*Data!X$16/1000</f>
        <v>20574.318476209886</v>
      </c>
      <c r="Z74" s="56">
        <f>Z$66*Data!Y$16/1000</f>
        <v>21145.827322771274</v>
      </c>
      <c r="AA74" s="56">
        <f>AA$66*Data!Z$16/1000</f>
        <v>21717.336169332659</v>
      </c>
      <c r="AB74" s="56">
        <f>AB$66*Data!AA$16/1000</f>
        <v>22384.096490320939</v>
      </c>
      <c r="AC74" s="56"/>
      <c r="AD74" s="56"/>
      <c r="AE74" s="56"/>
      <c r="AF74" s="56"/>
      <c r="AG74" s="56"/>
      <c r="AH74" s="56"/>
      <c r="AI74" s="56"/>
      <c r="AJ74" s="56"/>
      <c r="AK74" s="56"/>
      <c r="AL74" s="56"/>
      <c r="AM74" s="56"/>
      <c r="AN74" s="56"/>
      <c r="AO74" s="68"/>
      <c r="AP74" s="29"/>
    </row>
    <row r="75" spans="1:42" outlineLevel="1" x14ac:dyDescent="0.25">
      <c r="A75" s="54"/>
      <c r="B75" s="13"/>
      <c r="C75" s="14" t="s">
        <v>285</v>
      </c>
      <c r="D75" s="14"/>
      <c r="E75" s="70" t="s">
        <v>474</v>
      </c>
      <c r="F75" s="200">
        <f>Data!$E$36/1000</f>
        <v>1.0822865168539326</v>
      </c>
      <c r="G75" s="231">
        <f t="shared" si="9"/>
        <v>576.82057586195947</v>
      </c>
      <c r="H75" s="56"/>
      <c r="I75" s="56">
        <f>I$67*$F75</f>
        <v>28.84102879309798</v>
      </c>
      <c r="J75" s="56">
        <f>J$67*$F75</f>
        <v>28.84102879309798</v>
      </c>
      <c r="K75" s="56">
        <f t="shared" ref="K75:AB75" si="12">K$67*$F75</f>
        <v>28.84102879309798</v>
      </c>
      <c r="L75" s="56">
        <f t="shared" si="12"/>
        <v>28.84102879309798</v>
      </c>
      <c r="M75" s="56">
        <f t="shared" si="12"/>
        <v>28.84102879309798</v>
      </c>
      <c r="N75" s="56">
        <f t="shared" si="12"/>
        <v>28.84102879309798</v>
      </c>
      <c r="O75" s="56">
        <f t="shared" si="12"/>
        <v>28.84102879309798</v>
      </c>
      <c r="P75" s="56">
        <f t="shared" si="12"/>
        <v>28.84102879309798</v>
      </c>
      <c r="Q75" s="56">
        <f t="shared" si="12"/>
        <v>28.84102879309798</v>
      </c>
      <c r="R75" s="56">
        <f t="shared" si="12"/>
        <v>28.84102879309798</v>
      </c>
      <c r="S75" s="56">
        <f t="shared" si="12"/>
        <v>28.84102879309798</v>
      </c>
      <c r="T75" s="56">
        <f t="shared" si="12"/>
        <v>28.84102879309798</v>
      </c>
      <c r="U75" s="56">
        <f t="shared" si="12"/>
        <v>28.84102879309798</v>
      </c>
      <c r="V75" s="56">
        <f t="shared" si="12"/>
        <v>28.84102879309798</v>
      </c>
      <c r="W75" s="56">
        <f t="shared" si="12"/>
        <v>28.84102879309798</v>
      </c>
      <c r="X75" s="56">
        <f t="shared" si="12"/>
        <v>28.84102879309798</v>
      </c>
      <c r="Y75" s="56">
        <f t="shared" si="12"/>
        <v>28.84102879309798</v>
      </c>
      <c r="Z75" s="56">
        <f t="shared" si="12"/>
        <v>28.84102879309798</v>
      </c>
      <c r="AA75" s="56">
        <f t="shared" si="12"/>
        <v>28.84102879309798</v>
      </c>
      <c r="AB75" s="56">
        <f t="shared" si="12"/>
        <v>28.84102879309798</v>
      </c>
      <c r="AC75" s="56"/>
      <c r="AD75" s="56"/>
      <c r="AE75" s="56"/>
      <c r="AF75" s="56"/>
      <c r="AG75" s="56"/>
      <c r="AH75" s="56"/>
      <c r="AI75" s="56"/>
      <c r="AJ75" s="56"/>
      <c r="AK75" s="56"/>
      <c r="AL75" s="56"/>
      <c r="AM75" s="56"/>
      <c r="AN75" s="56"/>
      <c r="AO75" s="68"/>
      <c r="AP75" s="29"/>
    </row>
    <row r="76" spans="1:42" outlineLevel="1" x14ac:dyDescent="0.25">
      <c r="A76" s="54"/>
      <c r="B76" s="13"/>
      <c r="C76" s="14" t="s">
        <v>220</v>
      </c>
      <c r="D76" s="14"/>
      <c r="E76" s="70" t="s">
        <v>474</v>
      </c>
      <c r="F76" s="200">
        <f>Data!$E$37/1000</f>
        <v>371.00188764044947</v>
      </c>
      <c r="G76" s="231">
        <f t="shared" si="9"/>
        <v>7180789.2544289483</v>
      </c>
      <c r="H76" s="63">
        <f>G76/G80</f>
        <v>0.92322334138131978</v>
      </c>
      <c r="I76" s="56">
        <f>I$68*$F76</f>
        <v>359039.46272144729</v>
      </c>
      <c r="J76" s="56">
        <f>J$68*$F76</f>
        <v>359039.46272144729</v>
      </c>
      <c r="K76" s="56">
        <f t="shared" ref="K76:AB76" si="13">K$68*$F76</f>
        <v>359039.46272144729</v>
      </c>
      <c r="L76" s="56">
        <f t="shared" si="13"/>
        <v>359039.46272144729</v>
      </c>
      <c r="M76" s="56">
        <f t="shared" si="13"/>
        <v>359039.46272144729</v>
      </c>
      <c r="N76" s="56">
        <f t="shared" si="13"/>
        <v>359039.46272144729</v>
      </c>
      <c r="O76" s="56">
        <f t="shared" si="13"/>
        <v>359039.46272144729</v>
      </c>
      <c r="P76" s="56">
        <f t="shared" si="13"/>
        <v>359039.46272144729</v>
      </c>
      <c r="Q76" s="56">
        <f t="shared" si="13"/>
        <v>359039.46272144729</v>
      </c>
      <c r="R76" s="56">
        <f t="shared" si="13"/>
        <v>359039.46272144729</v>
      </c>
      <c r="S76" s="56">
        <f t="shared" si="13"/>
        <v>359039.46272144729</v>
      </c>
      <c r="T76" s="56">
        <f t="shared" si="13"/>
        <v>359039.46272144729</v>
      </c>
      <c r="U76" s="56">
        <f t="shared" si="13"/>
        <v>359039.46272144729</v>
      </c>
      <c r="V76" s="56">
        <f t="shared" si="13"/>
        <v>359039.46272144729</v>
      </c>
      <c r="W76" s="56">
        <f t="shared" si="13"/>
        <v>359039.46272144729</v>
      </c>
      <c r="X76" s="56">
        <f t="shared" si="13"/>
        <v>359039.46272144729</v>
      </c>
      <c r="Y76" s="56">
        <f t="shared" si="13"/>
        <v>359039.46272144729</v>
      </c>
      <c r="Z76" s="56">
        <f t="shared" si="13"/>
        <v>359039.46272144729</v>
      </c>
      <c r="AA76" s="56">
        <f t="shared" si="13"/>
        <v>359039.46272144729</v>
      </c>
      <c r="AB76" s="56">
        <f t="shared" si="13"/>
        <v>359039.46272144729</v>
      </c>
      <c r="AC76" s="56"/>
      <c r="AD76" s="56"/>
      <c r="AE76" s="56"/>
      <c r="AF76" s="56"/>
      <c r="AG76" s="56"/>
      <c r="AH76" s="56"/>
      <c r="AI76" s="56"/>
      <c r="AJ76" s="56"/>
      <c r="AK76" s="56"/>
      <c r="AL76" s="56"/>
      <c r="AM76" s="56"/>
      <c r="AN76" s="56"/>
      <c r="AO76" s="68"/>
      <c r="AP76" s="29"/>
    </row>
    <row r="77" spans="1:42" outlineLevel="1" x14ac:dyDescent="0.25">
      <c r="A77" s="54"/>
      <c r="B77" s="13"/>
      <c r="C77" s="14" t="s">
        <v>212</v>
      </c>
      <c r="D77" s="14"/>
      <c r="E77" s="70" t="s">
        <v>474</v>
      </c>
      <c r="F77" s="200">
        <f>Data!$E$39/1000</f>
        <v>0</v>
      </c>
      <c r="G77" s="231">
        <f t="shared" si="9"/>
        <v>0</v>
      </c>
      <c r="H77" s="56"/>
      <c r="I77" s="56">
        <f>I$69*$F77</f>
        <v>0</v>
      </c>
      <c r="J77" s="56">
        <f>J$69*$F77</f>
        <v>0</v>
      </c>
      <c r="K77" s="56">
        <f t="shared" ref="K77:AB77" si="14">K$69*$F77</f>
        <v>0</v>
      </c>
      <c r="L77" s="56">
        <f t="shared" si="14"/>
        <v>0</v>
      </c>
      <c r="M77" s="56">
        <f t="shared" si="14"/>
        <v>0</v>
      </c>
      <c r="N77" s="56">
        <f t="shared" si="14"/>
        <v>0</v>
      </c>
      <c r="O77" s="56">
        <f t="shared" si="14"/>
        <v>0</v>
      </c>
      <c r="P77" s="56">
        <f t="shared" si="14"/>
        <v>0</v>
      </c>
      <c r="Q77" s="56">
        <f t="shared" si="14"/>
        <v>0</v>
      </c>
      <c r="R77" s="56">
        <f t="shared" si="14"/>
        <v>0</v>
      </c>
      <c r="S77" s="56">
        <f t="shared" si="14"/>
        <v>0</v>
      </c>
      <c r="T77" s="56">
        <f t="shared" si="14"/>
        <v>0</v>
      </c>
      <c r="U77" s="56">
        <f t="shared" si="14"/>
        <v>0</v>
      </c>
      <c r="V77" s="56">
        <f t="shared" si="14"/>
        <v>0</v>
      </c>
      <c r="W77" s="56">
        <f t="shared" si="14"/>
        <v>0</v>
      </c>
      <c r="X77" s="56">
        <f t="shared" si="14"/>
        <v>0</v>
      </c>
      <c r="Y77" s="56">
        <f t="shared" si="14"/>
        <v>0</v>
      </c>
      <c r="Z77" s="56">
        <f t="shared" si="14"/>
        <v>0</v>
      </c>
      <c r="AA77" s="56">
        <f t="shared" si="14"/>
        <v>0</v>
      </c>
      <c r="AB77" s="56">
        <f t="shared" si="14"/>
        <v>0</v>
      </c>
      <c r="AC77" s="56"/>
      <c r="AD77" s="56"/>
      <c r="AE77" s="56"/>
      <c r="AF77" s="56"/>
      <c r="AG77" s="56"/>
      <c r="AH77" s="56"/>
      <c r="AI77" s="56"/>
      <c r="AJ77" s="56"/>
      <c r="AK77" s="56"/>
      <c r="AL77" s="56"/>
      <c r="AM77" s="56"/>
      <c r="AN77" s="56"/>
      <c r="AO77" s="68"/>
      <c r="AP77" s="29"/>
    </row>
    <row r="78" spans="1:42" outlineLevel="1" x14ac:dyDescent="0.25">
      <c r="A78" s="54"/>
      <c r="B78" s="13"/>
      <c r="C78" s="14" t="s">
        <v>485</v>
      </c>
      <c r="D78" s="14"/>
      <c r="E78" s="70" t="s">
        <v>474</v>
      </c>
      <c r="F78" s="200">
        <f>Data!$E$40/1000</f>
        <v>605.20914606741576</v>
      </c>
      <c r="G78" s="231">
        <f t="shared" si="9"/>
        <v>267373.54420967627</v>
      </c>
      <c r="H78" s="56"/>
      <c r="I78" s="56">
        <f>I$70*$F78</f>
        <v>13368.677210483811</v>
      </c>
      <c r="J78" s="56">
        <f>J$70*$F78</f>
        <v>13368.677210483811</v>
      </c>
      <c r="K78" s="56">
        <f t="shared" ref="K78:AB78" si="15">K$70*$F78</f>
        <v>13368.677210483811</v>
      </c>
      <c r="L78" s="56">
        <f t="shared" si="15"/>
        <v>13368.677210483811</v>
      </c>
      <c r="M78" s="56">
        <f t="shared" si="15"/>
        <v>13368.677210483811</v>
      </c>
      <c r="N78" s="56">
        <f t="shared" si="15"/>
        <v>13368.677210483811</v>
      </c>
      <c r="O78" s="56">
        <f t="shared" si="15"/>
        <v>13368.677210483811</v>
      </c>
      <c r="P78" s="56">
        <f t="shared" si="15"/>
        <v>13368.677210483811</v>
      </c>
      <c r="Q78" s="56">
        <f t="shared" si="15"/>
        <v>13368.677210483811</v>
      </c>
      <c r="R78" s="56">
        <f t="shared" si="15"/>
        <v>13368.677210483811</v>
      </c>
      <c r="S78" s="56">
        <f t="shared" si="15"/>
        <v>13368.677210483811</v>
      </c>
      <c r="T78" s="56">
        <f t="shared" si="15"/>
        <v>13368.677210483811</v>
      </c>
      <c r="U78" s="56">
        <f t="shared" si="15"/>
        <v>13368.677210483811</v>
      </c>
      <c r="V78" s="56">
        <f t="shared" si="15"/>
        <v>13368.677210483811</v>
      </c>
      <c r="W78" s="56">
        <f t="shared" si="15"/>
        <v>13368.677210483811</v>
      </c>
      <c r="X78" s="56">
        <f t="shared" si="15"/>
        <v>13368.677210483811</v>
      </c>
      <c r="Y78" s="56">
        <f t="shared" si="15"/>
        <v>13368.677210483811</v>
      </c>
      <c r="Z78" s="56">
        <f t="shared" si="15"/>
        <v>13368.677210483811</v>
      </c>
      <c r="AA78" s="56">
        <f t="shared" si="15"/>
        <v>13368.677210483811</v>
      </c>
      <c r="AB78" s="56">
        <f t="shared" si="15"/>
        <v>13368.677210483811</v>
      </c>
      <c r="AC78" s="56"/>
      <c r="AD78" s="56"/>
      <c r="AE78" s="56"/>
      <c r="AF78" s="56"/>
      <c r="AG78" s="56"/>
      <c r="AH78" s="56"/>
      <c r="AI78" s="56"/>
      <c r="AJ78" s="56"/>
      <c r="AK78" s="56"/>
      <c r="AL78" s="56"/>
      <c r="AM78" s="56"/>
      <c r="AN78" s="56"/>
      <c r="AO78" s="68"/>
      <c r="AP78" s="29"/>
    </row>
    <row r="79" spans="1:42" outlineLevel="1" x14ac:dyDescent="0.25">
      <c r="A79" s="54"/>
      <c r="B79" s="13"/>
      <c r="C79" s="14" t="s">
        <v>214</v>
      </c>
      <c r="D79" s="14"/>
      <c r="E79" s="70" t="s">
        <v>474</v>
      </c>
      <c r="F79" s="200">
        <f>Data!$E$41/1000</f>
        <v>0</v>
      </c>
      <c r="G79" s="231">
        <f>SUM(I79:AO79)</f>
        <v>0</v>
      </c>
      <c r="H79" s="56"/>
      <c r="I79" s="56">
        <f>I$71*$F79</f>
        <v>0</v>
      </c>
      <c r="J79" s="56">
        <f>J$71*$F79</f>
        <v>0</v>
      </c>
      <c r="K79" s="56">
        <f t="shared" ref="K79:AB79" si="16">K$71*$F79</f>
        <v>0</v>
      </c>
      <c r="L79" s="56">
        <f t="shared" si="16"/>
        <v>0</v>
      </c>
      <c r="M79" s="56">
        <f t="shared" si="16"/>
        <v>0</v>
      </c>
      <c r="N79" s="56">
        <f t="shared" si="16"/>
        <v>0</v>
      </c>
      <c r="O79" s="56">
        <f t="shared" si="16"/>
        <v>0</v>
      </c>
      <c r="P79" s="56">
        <f t="shared" si="16"/>
        <v>0</v>
      </c>
      <c r="Q79" s="56">
        <f t="shared" si="16"/>
        <v>0</v>
      </c>
      <c r="R79" s="56">
        <f t="shared" si="16"/>
        <v>0</v>
      </c>
      <c r="S79" s="56">
        <f t="shared" si="16"/>
        <v>0</v>
      </c>
      <c r="T79" s="56">
        <f t="shared" si="16"/>
        <v>0</v>
      </c>
      <c r="U79" s="56">
        <f t="shared" si="16"/>
        <v>0</v>
      </c>
      <c r="V79" s="56">
        <f t="shared" si="16"/>
        <v>0</v>
      </c>
      <c r="W79" s="56">
        <f t="shared" si="16"/>
        <v>0</v>
      </c>
      <c r="X79" s="56">
        <f t="shared" si="16"/>
        <v>0</v>
      </c>
      <c r="Y79" s="56">
        <f t="shared" si="16"/>
        <v>0</v>
      </c>
      <c r="Z79" s="56">
        <f t="shared" si="16"/>
        <v>0</v>
      </c>
      <c r="AA79" s="56">
        <f t="shared" si="16"/>
        <v>0</v>
      </c>
      <c r="AB79" s="56">
        <f t="shared" si="16"/>
        <v>0</v>
      </c>
      <c r="AC79" s="56"/>
      <c r="AD79" s="56"/>
      <c r="AE79" s="56"/>
      <c r="AF79" s="56"/>
      <c r="AG79" s="56"/>
      <c r="AH79" s="56"/>
      <c r="AI79" s="56"/>
      <c r="AJ79" s="56"/>
      <c r="AK79" s="56"/>
      <c r="AL79" s="56"/>
      <c r="AM79" s="56"/>
      <c r="AN79" s="56"/>
      <c r="AO79" s="68"/>
      <c r="AP79" s="29"/>
    </row>
    <row r="80" spans="1:42" outlineLevel="1" x14ac:dyDescent="0.25">
      <c r="A80" s="12"/>
      <c r="B80" s="13"/>
      <c r="C80" s="20" t="s">
        <v>486</v>
      </c>
      <c r="D80" s="14"/>
      <c r="E80" s="70" t="s">
        <v>474</v>
      </c>
      <c r="F80" s="16"/>
      <c r="G80" s="231">
        <f>SUM(I80:AO80)</f>
        <v>7777954.6211267859</v>
      </c>
      <c r="H80" s="185"/>
      <c r="I80" s="185">
        <f>SUM(I73:I79)</f>
        <v>381677.66929478035</v>
      </c>
      <c r="J80" s="185">
        <f>SUM(J73:J79)</f>
        <v>382630.18403904932</v>
      </c>
      <c r="K80" s="185">
        <f t="shared" ref="K80:AB80" si="17">SUM(K73:K79)</f>
        <v>383487.44730889139</v>
      </c>
      <c r="L80" s="185">
        <f t="shared" si="17"/>
        <v>384439.96205316036</v>
      </c>
      <c r="M80" s="185">
        <f t="shared" si="17"/>
        <v>385392.47679742938</v>
      </c>
      <c r="N80" s="185">
        <f t="shared" si="17"/>
        <v>386344.99154169834</v>
      </c>
      <c r="O80" s="185">
        <f t="shared" si="17"/>
        <v>387202.25481154042</v>
      </c>
      <c r="P80" s="185">
        <f t="shared" si="17"/>
        <v>387773.76365810179</v>
      </c>
      <c r="Q80" s="185">
        <f t="shared" si="17"/>
        <v>388345.27250466315</v>
      </c>
      <c r="R80" s="185">
        <f t="shared" si="17"/>
        <v>389012.03282565146</v>
      </c>
      <c r="S80" s="185">
        <f t="shared" si="17"/>
        <v>389583.54167221283</v>
      </c>
      <c r="T80" s="185">
        <f t="shared" si="17"/>
        <v>390155.05051877425</v>
      </c>
      <c r="U80" s="185">
        <f t="shared" si="17"/>
        <v>390726.55936533562</v>
      </c>
      <c r="V80" s="185">
        <f t="shared" si="17"/>
        <v>391298.06821189699</v>
      </c>
      <c r="W80" s="185">
        <f t="shared" si="17"/>
        <v>391869.57705845841</v>
      </c>
      <c r="X80" s="185">
        <f t="shared" si="17"/>
        <v>392441.08590501978</v>
      </c>
      <c r="Y80" s="185">
        <f t="shared" si="17"/>
        <v>393012.59475158114</v>
      </c>
      <c r="Z80" s="185">
        <f t="shared" si="17"/>
        <v>393584.10359814257</v>
      </c>
      <c r="AA80" s="185">
        <f t="shared" si="17"/>
        <v>394155.61244470393</v>
      </c>
      <c r="AB80" s="185">
        <f t="shared" si="17"/>
        <v>394822.37276569218</v>
      </c>
      <c r="AC80" s="185">
        <f t="shared" ref="AC80:AO80" si="18">SUM(AC73:AC79)</f>
        <v>0</v>
      </c>
      <c r="AD80" s="185">
        <f t="shared" si="18"/>
        <v>0</v>
      </c>
      <c r="AE80" s="185">
        <f t="shared" si="18"/>
        <v>0</v>
      </c>
      <c r="AF80" s="185">
        <f t="shared" si="18"/>
        <v>0</v>
      </c>
      <c r="AG80" s="185">
        <f t="shared" si="18"/>
        <v>0</v>
      </c>
      <c r="AH80" s="185">
        <f t="shared" si="18"/>
        <v>0</v>
      </c>
      <c r="AI80" s="185">
        <f t="shared" si="18"/>
        <v>0</v>
      </c>
      <c r="AJ80" s="185">
        <f t="shared" si="18"/>
        <v>0</v>
      </c>
      <c r="AK80" s="185">
        <f t="shared" si="18"/>
        <v>0</v>
      </c>
      <c r="AL80" s="185">
        <f t="shared" si="18"/>
        <v>0</v>
      </c>
      <c r="AM80" s="185">
        <f t="shared" si="18"/>
        <v>0</v>
      </c>
      <c r="AN80" s="185">
        <f t="shared" si="18"/>
        <v>0</v>
      </c>
      <c r="AO80" s="185">
        <f t="shared" si="18"/>
        <v>0</v>
      </c>
      <c r="AP80" s="17"/>
    </row>
    <row r="81" spans="1:42" outlineLevel="1" x14ac:dyDescent="0.25">
      <c r="A81" s="12"/>
      <c r="B81" s="13"/>
      <c r="C81" s="14"/>
      <c r="D81" s="14"/>
      <c r="E81" s="15"/>
      <c r="F81" s="16"/>
      <c r="G81" s="159"/>
      <c r="H81" s="159"/>
      <c r="I81" s="159"/>
      <c r="J81" s="159"/>
      <c r="K81" s="159"/>
      <c r="L81" s="159"/>
      <c r="M81" s="159"/>
      <c r="N81" s="159"/>
      <c r="O81" s="159"/>
      <c r="P81" s="159"/>
      <c r="Q81" s="159"/>
      <c r="R81" s="159"/>
      <c r="S81" s="159"/>
      <c r="T81" s="159"/>
      <c r="U81" s="159"/>
      <c r="V81" s="159"/>
      <c r="W81" s="159"/>
      <c r="X81" s="14"/>
      <c r="Y81" s="14"/>
      <c r="Z81" s="14"/>
      <c r="AA81" s="14"/>
      <c r="AB81" s="14"/>
      <c r="AC81" s="14"/>
      <c r="AD81" s="14"/>
      <c r="AE81" s="14"/>
      <c r="AF81" s="14"/>
      <c r="AG81" s="14"/>
      <c r="AH81" s="14"/>
      <c r="AI81" s="14"/>
      <c r="AJ81" s="14"/>
      <c r="AK81" s="14"/>
      <c r="AL81" s="14"/>
      <c r="AM81" s="14"/>
      <c r="AN81" s="14"/>
      <c r="AO81" s="14"/>
      <c r="AP81" s="17"/>
    </row>
    <row r="82" spans="1:42" outlineLevel="1" x14ac:dyDescent="0.25">
      <c r="A82" s="12"/>
      <c r="B82" s="13"/>
      <c r="C82" s="14" t="s">
        <v>523</v>
      </c>
      <c r="D82" s="14"/>
      <c r="E82" s="15" t="s">
        <v>474</v>
      </c>
      <c r="F82" s="48"/>
      <c r="G82" s="185"/>
      <c r="H82" s="185"/>
      <c r="I82" s="185">
        <f>I80*Data!H$9</f>
        <v>366997.75893728877</v>
      </c>
      <c r="J82" s="185">
        <f>J80*Data!I$9</f>
        <v>353763.11394142872</v>
      </c>
      <c r="K82" s="185">
        <f>K80*Data!J$9</f>
        <v>340918.94425360876</v>
      </c>
      <c r="L82" s="185">
        <f>L80*Data!K$9</f>
        <v>328620.89076235017</v>
      </c>
      <c r="M82" s="185">
        <f>M80*Data!L$9</f>
        <v>316764.52342093165</v>
      </c>
      <c r="N82" s="185">
        <f>N80*Data!M$9</f>
        <v>305334.0587584945</v>
      </c>
      <c r="O82" s="185">
        <f>O80*Data!N$9</f>
        <v>294241.89074329392</v>
      </c>
      <c r="P82" s="185">
        <f>P80*Data!O$9</f>
        <v>283342.49086172919</v>
      </c>
      <c r="Q82" s="185">
        <f>Q80*Data!P$9</f>
        <v>272846.23728652264</v>
      </c>
      <c r="R82" s="185">
        <f>R80*Data!Q$9</f>
        <v>262802.59061909548</v>
      </c>
      <c r="S82" s="185">
        <f>S80*Data!R$9</f>
        <v>253066.03992115322</v>
      </c>
      <c r="T82" s="185">
        <f>T80*Data!S$9</f>
        <v>243689.69343278767</v>
      </c>
      <c r="U82" s="185">
        <f>U80*Data!T$9</f>
        <v>234660.24631938344</v>
      </c>
      <c r="V82" s="185">
        <f>V80*Data!U$9</f>
        <v>225964.88434867782</v>
      </c>
      <c r="W82" s="185">
        <f>W80*Data!V$9</f>
        <v>217591.26583382621</v>
      </c>
      <c r="X82" s="185">
        <f>X80*Data!W$9</f>
        <v>209527.50423971954</v>
      </c>
      <c r="Y82" s="185">
        <f>Y80*Data!X$9</f>
        <v>201762.15142824562</v>
      </c>
      <c r="Z82" s="185">
        <f>Z80*Data!Y$9</f>
        <v>194284.18151907483</v>
      </c>
      <c r="AA82" s="185">
        <f>AA80*Data!Z$9</f>
        <v>187082.97534340795</v>
      </c>
      <c r="AB82" s="185">
        <f>AB80*Data!AA$9</f>
        <v>180191.77699848244</v>
      </c>
      <c r="AC82" s="185">
        <f>AC80*Data!AB$9</f>
        <v>0</v>
      </c>
      <c r="AD82" s="185">
        <f>AD80*Data!AC$9</f>
        <v>0</v>
      </c>
      <c r="AE82" s="185">
        <f>AE80*Data!AD$9</f>
        <v>0</v>
      </c>
      <c r="AF82" s="185">
        <f>AF80*Data!AE$9</f>
        <v>0</v>
      </c>
      <c r="AG82" s="185">
        <f>AG80*Data!AF$9</f>
        <v>0</v>
      </c>
      <c r="AH82" s="185">
        <f>AH80*Data!AG$9</f>
        <v>0</v>
      </c>
      <c r="AI82" s="185">
        <f>AI80*Data!AH$9</f>
        <v>0</v>
      </c>
      <c r="AJ82" s="185">
        <f>AJ80*Data!AI$9</f>
        <v>0</v>
      </c>
      <c r="AK82" s="185">
        <f>AK80*Data!AJ$9</f>
        <v>0</v>
      </c>
      <c r="AL82" s="185">
        <f>AL80*Data!AK$9</f>
        <v>0</v>
      </c>
      <c r="AM82" s="185">
        <f>AM80*Data!AL$9</f>
        <v>0</v>
      </c>
      <c r="AN82" s="185">
        <f>AN80*Data!AM$9</f>
        <v>0</v>
      </c>
      <c r="AO82" s="185">
        <f>AO80*Data!AN$9</f>
        <v>0</v>
      </c>
      <c r="AP82" s="17"/>
    </row>
    <row r="83" spans="1:42" outlineLevel="1" x14ac:dyDescent="0.25">
      <c r="A83" s="12"/>
      <c r="B83" s="13"/>
      <c r="C83" s="14" t="s">
        <v>489</v>
      </c>
      <c r="D83" s="13"/>
      <c r="E83" s="15" t="s">
        <v>142</v>
      </c>
      <c r="F83" s="16"/>
      <c r="G83" s="159">
        <f>SUM(H82:AP82)</f>
        <v>5273453.2189695034</v>
      </c>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7"/>
    </row>
    <row r="84" spans="1:42" outlineLevel="1" x14ac:dyDescent="0.25">
      <c r="A84" s="12"/>
      <c r="B84" s="13"/>
      <c r="C84" s="41" t="s">
        <v>62</v>
      </c>
      <c r="D84" s="41"/>
      <c r="E84" s="15" t="s">
        <v>261</v>
      </c>
      <c r="F84" s="16"/>
      <c r="G84" s="184">
        <f>G83/(SUM(H63:AO63))</f>
        <v>2.8170156084238802</v>
      </c>
      <c r="H84" s="14"/>
      <c r="I84" s="202"/>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7"/>
    </row>
    <row r="85" spans="1:42" outlineLevel="1" x14ac:dyDescent="0.25">
      <c r="A85" s="12"/>
      <c r="B85" s="13"/>
      <c r="C85" s="14"/>
      <c r="D85" s="14"/>
      <c r="E85" s="15"/>
      <c r="F85" s="16"/>
      <c r="G85" s="14"/>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356"/>
      <c r="AP85" s="17"/>
    </row>
    <row r="86" spans="1:42" ht="18.75" outlineLevel="1" x14ac:dyDescent="0.3">
      <c r="A86" s="12"/>
      <c r="B86" s="13"/>
      <c r="C86" s="205" t="s">
        <v>524</v>
      </c>
      <c r="D86" s="14"/>
      <c r="E86" s="15" t="s">
        <v>261</v>
      </c>
      <c r="F86" s="16"/>
      <c r="G86" s="204">
        <f>G53+G61+G84</f>
        <v>4.4846460274884885</v>
      </c>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356"/>
      <c r="AP86" s="17"/>
    </row>
    <row r="87" spans="1:42" outlineLevel="1" x14ac:dyDescent="0.25">
      <c r="A87" s="12"/>
      <c r="B87" s="13"/>
      <c r="C87" s="13"/>
      <c r="D87" s="14"/>
      <c r="E87" s="15"/>
      <c r="F87" s="16"/>
      <c r="G87" s="14"/>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356"/>
      <c r="AP87" s="17"/>
    </row>
    <row r="88" spans="1:42" outlineLevel="1" x14ac:dyDescent="0.25">
      <c r="A88" s="23"/>
      <c r="B88" s="23"/>
      <c r="C88" s="24" t="s">
        <v>525</v>
      </c>
      <c r="D88" s="24"/>
      <c r="E88" s="25"/>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7"/>
    </row>
    <row r="89" spans="1:42" outlineLevel="1" x14ac:dyDescent="0.25">
      <c r="A89" s="12"/>
      <c r="B89" s="96"/>
      <c r="C89" s="96"/>
      <c r="D89" s="14"/>
      <c r="E89" s="15"/>
      <c r="F89" s="16"/>
      <c r="G89" s="1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356"/>
      <c r="AP89" s="17"/>
    </row>
    <row r="90" spans="1:42" outlineLevel="1" x14ac:dyDescent="0.25">
      <c r="A90" s="12"/>
      <c r="B90" s="96"/>
      <c r="C90" s="96" t="s">
        <v>526</v>
      </c>
      <c r="D90" s="14"/>
      <c r="E90" s="115" t="s">
        <v>142</v>
      </c>
      <c r="F90" s="16"/>
      <c r="G90" s="159">
        <f>G52</f>
        <v>3113104.1444889465</v>
      </c>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356"/>
      <c r="AP90" s="17"/>
    </row>
    <row r="91" spans="1:42" outlineLevel="1" x14ac:dyDescent="0.25">
      <c r="A91" s="12"/>
      <c r="B91" s="96"/>
      <c r="C91" s="95" t="s">
        <v>527</v>
      </c>
      <c r="D91" s="14"/>
      <c r="E91" s="115" t="s">
        <v>474</v>
      </c>
      <c r="F91" s="16"/>
      <c r="G91" s="185">
        <f>G90/Data!$E$126</f>
        <v>155655.20722444734</v>
      </c>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356"/>
      <c r="AP91" s="17"/>
    </row>
    <row r="92" spans="1:42" outlineLevel="1" x14ac:dyDescent="0.25">
      <c r="A92" s="12"/>
      <c r="B92" s="96"/>
      <c r="C92" s="96" t="s">
        <v>528</v>
      </c>
      <c r="D92" s="14"/>
      <c r="E92" s="115" t="s">
        <v>529</v>
      </c>
      <c r="F92" s="16"/>
      <c r="G92" s="159">
        <f>SUM(I66:AB66)</f>
        <v>1905029.488537953</v>
      </c>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356"/>
      <c r="AP92" s="17"/>
    </row>
    <row r="93" spans="1:42" outlineLevel="1" x14ac:dyDescent="0.25">
      <c r="A93" s="12"/>
      <c r="B93" s="96"/>
      <c r="C93" s="95" t="s">
        <v>530</v>
      </c>
      <c r="D93" s="14"/>
      <c r="E93" s="115" t="s">
        <v>531</v>
      </c>
      <c r="F93" s="16"/>
      <c r="G93" s="231">
        <f>G92/Data!E126</f>
        <v>95251.47442689765</v>
      </c>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356"/>
      <c r="AP93" s="17"/>
    </row>
    <row r="94" spans="1:42" outlineLevel="1" x14ac:dyDescent="0.25">
      <c r="A94" s="12"/>
      <c r="B94" s="96"/>
      <c r="C94" s="96"/>
      <c r="D94" s="14"/>
      <c r="E94" s="15"/>
      <c r="F94" s="16"/>
      <c r="G94" s="14"/>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356"/>
      <c r="AP94" s="17"/>
    </row>
    <row r="95" spans="1:42" outlineLevel="1" x14ac:dyDescent="0.25">
      <c r="A95" s="12"/>
      <c r="B95" s="13"/>
      <c r="C95" s="13"/>
      <c r="D95" s="14"/>
      <c r="E95" s="15"/>
      <c r="F95" s="16"/>
      <c r="G95" s="20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356"/>
      <c r="AP95" s="17"/>
    </row>
    <row r="96" spans="1:42" outlineLevel="1" x14ac:dyDescent="0.25">
      <c r="A96" s="12"/>
      <c r="B96" s="13"/>
      <c r="C96" s="13"/>
      <c r="D96" s="14"/>
      <c r="E96" s="15"/>
      <c r="F96" s="16"/>
      <c r="G96" s="14"/>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356"/>
      <c r="AP96" s="17"/>
    </row>
    <row r="97" spans="1:42" outlineLevel="1" x14ac:dyDescent="0.25">
      <c r="A97" s="12"/>
      <c r="B97" s="13"/>
      <c r="C97" s="14"/>
      <c r="D97" s="14"/>
      <c r="E97" s="15"/>
      <c r="F97" s="16"/>
      <c r="G97" s="14"/>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356"/>
      <c r="AP97" s="17"/>
    </row>
    <row r="98" spans="1:42" x14ac:dyDescent="0.25">
      <c r="A98" s="89"/>
      <c r="B98" s="89"/>
      <c r="C98" s="90" t="s">
        <v>173</v>
      </c>
      <c r="D98" s="91"/>
      <c r="E98" s="92"/>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3"/>
    </row>
    <row r="99" spans="1:42" outlineLevel="1" x14ac:dyDescent="0.25">
      <c r="A99" s="23"/>
      <c r="B99" s="23"/>
      <c r="C99" s="24" t="s">
        <v>505</v>
      </c>
      <c r="D99" s="24"/>
      <c r="E99" s="25"/>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7"/>
    </row>
    <row r="100" spans="1:42" outlineLevel="1" x14ac:dyDescent="0.25">
      <c r="A100" s="13"/>
      <c r="B100" s="13"/>
      <c r="C100" s="30"/>
      <c r="D100" s="30"/>
      <c r="E100" s="31"/>
      <c r="F100" s="16"/>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3"/>
    </row>
    <row r="101" spans="1:42" outlineLevel="1" x14ac:dyDescent="0.25">
      <c r="A101" s="12"/>
      <c r="B101" s="13"/>
      <c r="C101" s="14"/>
      <c r="D101" s="14"/>
      <c r="E101" s="15"/>
      <c r="F101" s="16"/>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7"/>
    </row>
    <row r="102" spans="1:42" outlineLevel="1" x14ac:dyDescent="0.25">
      <c r="A102" s="12"/>
      <c r="B102" s="13"/>
      <c r="C102" s="37" t="s">
        <v>506</v>
      </c>
      <c r="D102" s="37"/>
      <c r="E102" s="38"/>
      <c r="F102" s="39"/>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17"/>
    </row>
    <row r="103" spans="1:42" outlineLevel="1" x14ac:dyDescent="0.25">
      <c r="A103" s="12"/>
      <c r="B103" s="13"/>
      <c r="C103" s="41" t="s">
        <v>507</v>
      </c>
      <c r="D103" s="41"/>
      <c r="E103" s="15" t="s">
        <v>465</v>
      </c>
      <c r="F103" s="16"/>
      <c r="G103" s="14"/>
      <c r="H103" s="141"/>
      <c r="I103" s="141">
        <f>Route!I18</f>
        <v>51480</v>
      </c>
      <c r="J103" s="141">
        <f>Route!J18</f>
        <v>51480</v>
      </c>
      <c r="K103" s="141">
        <f>Route!K18</f>
        <v>51480</v>
      </c>
      <c r="L103" s="141">
        <f>Route!L18</f>
        <v>51480</v>
      </c>
      <c r="M103" s="141">
        <f>Route!M18</f>
        <v>51480</v>
      </c>
      <c r="N103" s="141">
        <f>Route!N18</f>
        <v>51480</v>
      </c>
      <c r="O103" s="141">
        <f>Route!O18</f>
        <v>51480</v>
      </c>
      <c r="P103" s="141">
        <f>Route!P18</f>
        <v>51480</v>
      </c>
      <c r="Q103" s="141">
        <f>Route!Q18</f>
        <v>51480</v>
      </c>
      <c r="R103" s="141">
        <f>Route!R18</f>
        <v>51480</v>
      </c>
      <c r="S103" s="141">
        <f>Route!S18</f>
        <v>51480</v>
      </c>
      <c r="T103" s="141">
        <f>Route!T18</f>
        <v>51480</v>
      </c>
      <c r="U103" s="141">
        <f>Route!U18</f>
        <v>51480</v>
      </c>
      <c r="V103" s="141">
        <f>Route!V18</f>
        <v>51480</v>
      </c>
      <c r="W103" s="141">
        <f>Route!W18</f>
        <v>51480</v>
      </c>
      <c r="X103" s="141">
        <f>Route!X18</f>
        <v>51480</v>
      </c>
      <c r="Y103" s="141">
        <f>Route!Y18</f>
        <v>51480</v>
      </c>
      <c r="Z103" s="141">
        <f>Route!Z18</f>
        <v>51480</v>
      </c>
      <c r="AA103" s="141">
        <f>Route!AA18</f>
        <v>51480</v>
      </c>
      <c r="AB103" s="141">
        <f>Route!AB18</f>
        <v>51480</v>
      </c>
      <c r="AC103" s="141"/>
      <c r="AD103" s="141"/>
      <c r="AE103" s="141"/>
      <c r="AF103" s="141"/>
      <c r="AG103" s="141"/>
      <c r="AH103" s="141"/>
      <c r="AI103" s="141"/>
      <c r="AJ103" s="141"/>
      <c r="AK103" s="141"/>
      <c r="AL103" s="141"/>
      <c r="AM103" s="141"/>
      <c r="AN103" s="141"/>
      <c r="AO103" s="141"/>
      <c r="AP103" s="17"/>
    </row>
    <row r="104" spans="1:42" outlineLevel="1" x14ac:dyDescent="0.25">
      <c r="A104" s="12"/>
      <c r="B104" s="13"/>
      <c r="C104" s="41"/>
      <c r="D104" s="41"/>
      <c r="E104" s="15"/>
      <c r="F104" s="16"/>
      <c r="G104" s="14"/>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
      <c r="AD104" s="14"/>
      <c r="AE104" s="14"/>
      <c r="AF104" s="14"/>
      <c r="AG104" s="14"/>
      <c r="AH104" s="14"/>
      <c r="AI104" s="14"/>
      <c r="AJ104" s="14"/>
      <c r="AK104" s="14"/>
      <c r="AL104" s="14"/>
      <c r="AM104" s="14"/>
      <c r="AN104" s="14"/>
      <c r="AO104" s="14"/>
      <c r="AP104" s="17"/>
    </row>
    <row r="105" spans="1:42" outlineLevel="1" x14ac:dyDescent="0.25">
      <c r="A105" s="12"/>
      <c r="B105" s="13"/>
      <c r="C105" s="41"/>
      <c r="D105" s="41"/>
      <c r="E105" s="15"/>
      <c r="F105" s="16"/>
      <c r="G105" s="14"/>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
      <c r="AD105" s="14"/>
      <c r="AE105" s="14"/>
      <c r="AF105" s="14"/>
      <c r="AG105" s="14"/>
      <c r="AH105" s="14"/>
      <c r="AI105" s="14"/>
      <c r="AJ105" s="14"/>
      <c r="AK105" s="14"/>
      <c r="AL105" s="14"/>
      <c r="AM105" s="14"/>
      <c r="AN105" s="14"/>
      <c r="AO105" s="14"/>
      <c r="AP105" s="17"/>
    </row>
    <row r="106" spans="1:42" outlineLevel="1" x14ac:dyDescent="0.25">
      <c r="A106" s="12"/>
      <c r="B106" s="13"/>
      <c r="C106" s="14"/>
      <c r="D106" s="14"/>
      <c r="E106" s="15"/>
      <c r="F106" s="16"/>
      <c r="G106" s="14"/>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356"/>
      <c r="AP106" s="17"/>
    </row>
    <row r="107" spans="1:42" outlineLevel="1" x14ac:dyDescent="0.25">
      <c r="A107" s="12"/>
      <c r="B107" s="13"/>
      <c r="C107" s="14"/>
      <c r="D107" s="14"/>
      <c r="E107" s="15"/>
      <c r="F107" s="16"/>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7"/>
    </row>
    <row r="108" spans="1:42" outlineLevel="1" x14ac:dyDescent="0.25">
      <c r="A108" s="12"/>
      <c r="B108" s="13"/>
      <c r="C108" s="37" t="s">
        <v>508</v>
      </c>
      <c r="D108" s="37"/>
      <c r="E108" s="38"/>
      <c r="F108" s="39"/>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17"/>
    </row>
    <row r="109" spans="1:42" outlineLevel="1" x14ac:dyDescent="0.25">
      <c r="A109" s="12"/>
      <c r="B109" s="13"/>
      <c r="C109" s="95" t="s">
        <v>254</v>
      </c>
      <c r="D109" s="14"/>
      <c r="E109" s="15"/>
      <c r="F109" s="16"/>
      <c r="G109" s="14"/>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356"/>
      <c r="AP109" s="29"/>
    </row>
    <row r="110" spans="1:42" outlineLevel="1" x14ac:dyDescent="0.25">
      <c r="A110" s="12"/>
      <c r="B110" s="13"/>
      <c r="C110" s="96" t="s">
        <v>120</v>
      </c>
      <c r="D110" s="14"/>
      <c r="E110" s="15" t="s">
        <v>142</v>
      </c>
      <c r="F110" s="158" t="str">
        <f>Dashboard!$I$53</f>
        <v>3 Axle rigid</v>
      </c>
      <c r="G110" s="14"/>
      <c r="H110" s="150">
        <f>IF(C110=F110,Data!$E$112,0)</f>
        <v>0</v>
      </c>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356"/>
      <c r="AP110" s="29"/>
    </row>
    <row r="111" spans="1:42" outlineLevel="1" x14ac:dyDescent="0.25">
      <c r="A111" s="12"/>
      <c r="B111" s="13"/>
      <c r="C111" s="96" t="s">
        <v>124</v>
      </c>
      <c r="D111" s="14"/>
      <c r="E111" s="15" t="s">
        <v>142</v>
      </c>
      <c r="F111" s="158" t="str">
        <f>Dashboard!$I$53</f>
        <v>3 Axle rigid</v>
      </c>
      <c r="G111" s="14"/>
      <c r="H111" s="150">
        <f>IF(C111=F111,Data!$E$113,0)</f>
        <v>400000</v>
      </c>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356"/>
      <c r="AP111" s="29"/>
    </row>
    <row r="112" spans="1:42" outlineLevel="1" x14ac:dyDescent="0.25">
      <c r="A112" s="12"/>
      <c r="B112" s="13"/>
      <c r="C112" s="96" t="s">
        <v>126</v>
      </c>
      <c r="D112" s="14"/>
      <c r="E112" s="15" t="s">
        <v>142</v>
      </c>
      <c r="F112" s="158" t="str">
        <f>Dashboard!$I$53</f>
        <v>3 Axle rigid</v>
      </c>
      <c r="G112" s="14"/>
      <c r="H112" s="150">
        <f>IF(C112=F112,Data!$E$114,0)</f>
        <v>0</v>
      </c>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356"/>
      <c r="AP112" s="29"/>
    </row>
    <row r="113" spans="1:42" outlineLevel="1" x14ac:dyDescent="0.25">
      <c r="A113" s="12"/>
      <c r="B113" s="13"/>
      <c r="C113" s="20" t="s">
        <v>509</v>
      </c>
      <c r="D113" s="14"/>
      <c r="E113" s="15" t="s">
        <v>142</v>
      </c>
      <c r="F113" s="16"/>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7"/>
    </row>
    <row r="114" spans="1:42" outlineLevel="1" x14ac:dyDescent="0.25">
      <c r="A114" s="12"/>
      <c r="B114" s="13"/>
      <c r="C114" s="19" t="s">
        <v>510</v>
      </c>
      <c r="D114" s="45"/>
      <c r="E114" s="15"/>
      <c r="F114" s="16"/>
      <c r="G114" s="14"/>
      <c r="H114" s="182">
        <f>SUM(H110:H113)</f>
        <v>400000</v>
      </c>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357"/>
      <c r="AP114" s="29"/>
    </row>
    <row r="115" spans="1:42" s="140" customFormat="1" outlineLevel="1" x14ac:dyDescent="0.25">
      <c r="A115" s="78"/>
      <c r="B115" s="19"/>
      <c r="C115" s="95" t="s">
        <v>511</v>
      </c>
      <c r="D115" s="20"/>
      <c r="E115" s="21" t="s">
        <v>54</v>
      </c>
      <c r="F115" s="48"/>
      <c r="G115" s="20"/>
      <c r="H115" s="20"/>
      <c r="I115" s="244">
        <f>-PMT(Data!$E$10,Data!$E$126,'Diesel (BAU)'!$H$114,0,0)</f>
        <v>29432.700131451558</v>
      </c>
      <c r="J115" s="244">
        <f>-PMT(Data!$E$10,Data!$E$126,'Diesel (BAU)'!$H$114,0,0)</f>
        <v>29432.700131451558</v>
      </c>
      <c r="K115" s="244">
        <f>-PMT(Data!$E$10,Data!$E$126,'Diesel (BAU)'!$H$114,0,0)</f>
        <v>29432.700131451558</v>
      </c>
      <c r="L115" s="244">
        <f>-PMT(Data!$E$10,Data!$E$126,'Diesel (BAU)'!$H$114,0,0)</f>
        <v>29432.700131451558</v>
      </c>
      <c r="M115" s="244">
        <f>-PMT(Data!$E$10,Data!$E$126,'Diesel (BAU)'!$H$114,0,0)</f>
        <v>29432.700131451558</v>
      </c>
      <c r="N115" s="244">
        <f>-PMT(Data!$E$10,Data!$E$126,'Diesel (BAU)'!$H$114,0,0)</f>
        <v>29432.700131451558</v>
      </c>
      <c r="O115" s="244">
        <f>-PMT(Data!$E$10,Data!$E$126,'Diesel (BAU)'!$H$114,0,0)</f>
        <v>29432.700131451558</v>
      </c>
      <c r="P115" s="244">
        <f>-PMT(Data!$E$10,Data!$E$126,'Diesel (BAU)'!$H$114,0,0)</f>
        <v>29432.700131451558</v>
      </c>
      <c r="Q115" s="244">
        <f>-PMT(Data!$E$10,Data!$E$126,'Diesel (BAU)'!$H$114,0,0)</f>
        <v>29432.700131451558</v>
      </c>
      <c r="R115" s="244">
        <f>-PMT(Data!$E$10,Data!$E$126,'Diesel (BAU)'!$H$114,0,0)</f>
        <v>29432.700131451558</v>
      </c>
      <c r="S115" s="244">
        <f>-PMT(Data!$E$10,Data!$E$126,'Diesel (BAU)'!$H$114,0,0)</f>
        <v>29432.700131451558</v>
      </c>
      <c r="T115" s="244">
        <f>-PMT(Data!$E$10,Data!$E$126,'Diesel (BAU)'!$H$114,0,0)</f>
        <v>29432.700131451558</v>
      </c>
      <c r="U115" s="244">
        <f>-PMT(Data!$E$10,Data!$E$126,'Diesel (BAU)'!$H$114,0,0)</f>
        <v>29432.700131451558</v>
      </c>
      <c r="V115" s="244">
        <f>-PMT(Data!$E$10,Data!$E$126,'Diesel (BAU)'!$H$114,0,0)</f>
        <v>29432.700131451558</v>
      </c>
      <c r="W115" s="244">
        <f>-PMT(Data!$E$10,Data!$E$126,'Diesel (BAU)'!$H$114,0,0)</f>
        <v>29432.700131451558</v>
      </c>
      <c r="X115" s="244">
        <f>-PMT(Data!$E$10,Data!$E$126,'Diesel (BAU)'!$H$114,0,0)</f>
        <v>29432.700131451558</v>
      </c>
      <c r="Y115" s="244">
        <f>-PMT(Data!$E$10,Data!$E$126,'Diesel (BAU)'!$H$114,0,0)</f>
        <v>29432.700131451558</v>
      </c>
      <c r="Z115" s="244">
        <f>-PMT(Data!$E$10,Data!$E$126,'Diesel (BAU)'!$H$114,0,0)</f>
        <v>29432.700131451558</v>
      </c>
      <c r="AA115" s="244">
        <f>-PMT(Data!$E$10,Data!$E$126,'Diesel (BAU)'!$H$114,0,0)</f>
        <v>29432.700131451558</v>
      </c>
      <c r="AB115" s="244">
        <f>-PMT(Data!$E$10,Data!$E$126,'Diesel (BAU)'!$H$114,0,0)</f>
        <v>29432.700131451558</v>
      </c>
      <c r="AC115" s="20"/>
      <c r="AD115" s="20"/>
      <c r="AE115" s="20"/>
      <c r="AF115" s="20"/>
      <c r="AG115" s="20"/>
      <c r="AH115" s="20"/>
      <c r="AI115" s="20"/>
      <c r="AJ115" s="20"/>
      <c r="AK115" s="20"/>
      <c r="AL115" s="20"/>
      <c r="AM115" s="20"/>
      <c r="AN115" s="20"/>
      <c r="AO115" s="20"/>
      <c r="AP115" s="370"/>
    </row>
    <row r="116" spans="1:42" outlineLevel="1" x14ac:dyDescent="0.25">
      <c r="A116" s="12"/>
      <c r="B116" s="13"/>
      <c r="C116" s="14"/>
      <c r="D116" s="14"/>
      <c r="E116" s="15"/>
      <c r="F116" s="16"/>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7"/>
    </row>
    <row r="117" spans="1:42" outlineLevel="1" x14ac:dyDescent="0.25">
      <c r="A117" s="12"/>
      <c r="B117" s="13"/>
      <c r="C117" s="37" t="s">
        <v>472</v>
      </c>
      <c r="D117" s="37"/>
      <c r="E117" s="38"/>
      <c r="F117" s="39"/>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17"/>
    </row>
    <row r="118" spans="1:42" outlineLevel="1" x14ac:dyDescent="0.25">
      <c r="A118" s="12"/>
      <c r="B118" s="13"/>
      <c r="C118" s="44" t="s">
        <v>258</v>
      </c>
      <c r="D118" s="44"/>
      <c r="E118" s="15"/>
      <c r="F118" s="16"/>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7"/>
    </row>
    <row r="119" spans="1:42" outlineLevel="1" x14ac:dyDescent="0.25">
      <c r="A119" s="12"/>
      <c r="B119" s="13"/>
      <c r="C119" s="45" t="s">
        <v>120</v>
      </c>
      <c r="D119" s="45"/>
      <c r="E119" s="15" t="s">
        <v>474</v>
      </c>
      <c r="F119" s="158" t="str">
        <f>Dashboard!$I$53</f>
        <v>3 Axle rigid</v>
      </c>
      <c r="G119" s="14"/>
      <c r="H119" s="177"/>
      <c r="I119" s="177">
        <f>IF($C$119=$F$119,Data!$E$118*I103,0)</f>
        <v>0</v>
      </c>
      <c r="J119" s="177">
        <f>IF($C$119=$F$119,Data!$E$118*J103,0)</f>
        <v>0</v>
      </c>
      <c r="K119" s="177">
        <f>IF($C$119=$F$119,Data!$E$118*K103,0)</f>
        <v>0</v>
      </c>
      <c r="L119" s="177">
        <f>IF($C$119=$F$119,Data!$E$118*L103,0)</f>
        <v>0</v>
      </c>
      <c r="M119" s="177">
        <f>IF($C$119=$F$119,Data!$E$118*M103,0)</f>
        <v>0</v>
      </c>
      <c r="N119" s="177">
        <f>IF($C$119=$F$119,Data!$E$118*N103,0)</f>
        <v>0</v>
      </c>
      <c r="O119" s="177">
        <f>IF($C$119=$F$119,Data!$E$118*O103,0)</f>
        <v>0</v>
      </c>
      <c r="P119" s="177">
        <f>IF($C$119=$F$119,Data!$E$118*P103,0)</f>
        <v>0</v>
      </c>
      <c r="Q119" s="177">
        <f>IF($C$119=$F$119,Data!$E$118*Q103,0)</f>
        <v>0</v>
      </c>
      <c r="R119" s="177">
        <f>IF($C$119=$F$119,Data!$E$118*R103,0)</f>
        <v>0</v>
      </c>
      <c r="S119" s="177">
        <f>IF($C$119=$F$119,Data!$E$118*S103,0)</f>
        <v>0</v>
      </c>
      <c r="T119" s="177">
        <f>IF($C$119=$F$119,Data!$E$118*T103,0)</f>
        <v>0</v>
      </c>
      <c r="U119" s="177">
        <f>IF($C$119=$F$119,Data!$E$118*U103,0)</f>
        <v>0</v>
      </c>
      <c r="V119" s="177">
        <f>IF($C$119=$F$119,Data!$E$118*V103,0)</f>
        <v>0</v>
      </c>
      <c r="W119" s="177">
        <f>IF($C$119=$F$119,Data!$E$118*W103,0)</f>
        <v>0</v>
      </c>
      <c r="X119" s="177">
        <f>IF($C$119=$F$119,Data!$E$118*X103,0)</f>
        <v>0</v>
      </c>
      <c r="Y119" s="177">
        <f>IF($C$119=$F$119,Data!$E$118*Y103,0)</f>
        <v>0</v>
      </c>
      <c r="Z119" s="177">
        <f>IF($C$119=$F$119,Data!$E$118*Z103,0)</f>
        <v>0</v>
      </c>
      <c r="AA119" s="177">
        <f>IF($C$119=$F$119,Data!$E$118*AA103,0)</f>
        <v>0</v>
      </c>
      <c r="AB119" s="177">
        <f>IF($C$119=$F$119,Data!$E$118*AB103,0)</f>
        <v>0</v>
      </c>
      <c r="AC119" s="28"/>
      <c r="AD119" s="28"/>
      <c r="AE119" s="28"/>
      <c r="AF119" s="28"/>
      <c r="AG119" s="28"/>
      <c r="AH119" s="28"/>
      <c r="AI119" s="28"/>
      <c r="AJ119" s="28"/>
      <c r="AK119" s="28"/>
      <c r="AL119" s="28"/>
      <c r="AM119" s="28"/>
      <c r="AN119" s="28"/>
      <c r="AO119" s="357"/>
      <c r="AP119" s="29"/>
    </row>
    <row r="120" spans="1:42" outlineLevel="1" x14ac:dyDescent="0.25">
      <c r="A120" s="12"/>
      <c r="B120" s="13"/>
      <c r="C120" s="45" t="s">
        <v>124</v>
      </c>
      <c r="D120" s="45"/>
      <c r="E120" s="15" t="s">
        <v>474</v>
      </c>
      <c r="F120" s="158" t="str">
        <f>Dashboard!$I$53</f>
        <v>3 Axle rigid</v>
      </c>
      <c r="G120" s="14"/>
      <c r="H120" s="177"/>
      <c r="I120" s="177">
        <f>IF($C$120=$F$120,Data!$E$119*I103,0)</f>
        <v>44125.714285714283</v>
      </c>
      <c r="J120" s="177">
        <f>IF($C$120=$F$120,Data!$E$119*J103,0)</f>
        <v>44125.714285714283</v>
      </c>
      <c r="K120" s="177">
        <f>IF($C$120=$F$120,Data!$E$119*K103,0)</f>
        <v>44125.714285714283</v>
      </c>
      <c r="L120" s="177">
        <f>IF($C$120=$F$120,Data!$E$119*L103,0)</f>
        <v>44125.714285714283</v>
      </c>
      <c r="M120" s="177">
        <f>IF($C$120=$F$120,Data!$E$119*M103,0)</f>
        <v>44125.714285714283</v>
      </c>
      <c r="N120" s="177">
        <f>IF($C$120=$F$120,Data!$E$119*N103,0)</f>
        <v>44125.714285714283</v>
      </c>
      <c r="O120" s="177">
        <f>IF($C$120=$F$120,Data!$E$119*O103,0)</f>
        <v>44125.714285714283</v>
      </c>
      <c r="P120" s="177">
        <f>IF($C$120=$F$120,Data!$E$119*P103,0)</f>
        <v>44125.714285714283</v>
      </c>
      <c r="Q120" s="177">
        <f>IF($C$120=$F$120,Data!$E$119*Q103,0)</f>
        <v>44125.714285714283</v>
      </c>
      <c r="R120" s="177">
        <f>IF($C$120=$F$120,Data!$E$119*R103,0)</f>
        <v>44125.714285714283</v>
      </c>
      <c r="S120" s="177">
        <f>IF($C$120=$F$120,Data!$E$119*S103,0)</f>
        <v>44125.714285714283</v>
      </c>
      <c r="T120" s="177">
        <f>IF($C$120=$F$120,Data!$E$119*T103,0)</f>
        <v>44125.714285714283</v>
      </c>
      <c r="U120" s="177">
        <f>IF($C$120=$F$120,Data!$E$119*U103,0)</f>
        <v>44125.714285714283</v>
      </c>
      <c r="V120" s="177">
        <f>IF($C$120=$F$120,Data!$E$119*V103,0)</f>
        <v>44125.714285714283</v>
      </c>
      <c r="W120" s="177">
        <f>IF($C$120=$F$120,Data!$E$119*W103,0)</f>
        <v>44125.714285714283</v>
      </c>
      <c r="X120" s="177">
        <f>IF($C$120=$F$120,Data!$E$119*X103,0)</f>
        <v>44125.714285714283</v>
      </c>
      <c r="Y120" s="177">
        <f>IF($C$120=$F$120,Data!$E$119*Y103,0)</f>
        <v>44125.714285714283</v>
      </c>
      <c r="Z120" s="177">
        <f>IF($C$120=$F$120,Data!$E$119*Z103,0)</f>
        <v>44125.714285714283</v>
      </c>
      <c r="AA120" s="177">
        <f>IF($C$120=$F$120,Data!$E$119*AA103,0)</f>
        <v>44125.714285714283</v>
      </c>
      <c r="AB120" s="177">
        <f>IF($C$120=$F$120,Data!$E$119*AB103,0)</f>
        <v>44125.714285714283</v>
      </c>
      <c r="AC120" s="28"/>
      <c r="AD120" s="28"/>
      <c r="AE120" s="28"/>
      <c r="AF120" s="28"/>
      <c r="AG120" s="28"/>
      <c r="AH120" s="28"/>
      <c r="AI120" s="28"/>
      <c r="AJ120" s="28"/>
      <c r="AK120" s="28"/>
      <c r="AL120" s="28"/>
      <c r="AM120" s="28"/>
      <c r="AN120" s="28"/>
      <c r="AO120" s="357"/>
      <c r="AP120" s="29"/>
    </row>
    <row r="121" spans="1:42" outlineLevel="1" x14ac:dyDescent="0.25">
      <c r="A121" s="12"/>
      <c r="B121" s="13"/>
      <c r="C121" s="45" t="s">
        <v>126</v>
      </c>
      <c r="D121" s="45"/>
      <c r="E121" s="15" t="s">
        <v>474</v>
      </c>
      <c r="F121" s="158" t="str">
        <f>Dashboard!$I$53</f>
        <v>3 Axle rigid</v>
      </c>
      <c r="G121" s="14"/>
      <c r="H121" s="177"/>
      <c r="I121" s="177">
        <f>IF($C$121=$F$121,Data!$E$120*I103,0)</f>
        <v>0</v>
      </c>
      <c r="J121" s="177">
        <f>IF($C$121=$F$121,Data!$E$120*J103,0)</f>
        <v>0</v>
      </c>
      <c r="K121" s="177">
        <f>IF($C$121=$F$121,Data!$E$120*K103,0)</f>
        <v>0</v>
      </c>
      <c r="L121" s="177">
        <f>IF($C$121=$F$121,Data!$E$120*L103,0)</f>
        <v>0</v>
      </c>
      <c r="M121" s="177">
        <f>IF($C$121=$F$121,Data!$E$120*M103,0)</f>
        <v>0</v>
      </c>
      <c r="N121" s="177">
        <f>IF($C$121=$F$121,Data!$E$120*N103,0)</f>
        <v>0</v>
      </c>
      <c r="O121" s="177">
        <f>IF($C$121=$F$121,Data!$E$120*O103,0)</f>
        <v>0</v>
      </c>
      <c r="P121" s="177">
        <f>IF($C$121=$F$121,Data!$E$120*P103,0)</f>
        <v>0</v>
      </c>
      <c r="Q121" s="177">
        <f>IF($C$121=$F$121,Data!$E$120*Q103,0)</f>
        <v>0</v>
      </c>
      <c r="R121" s="177">
        <f>IF($C$121=$F$121,Data!$E$120*R103,0)</f>
        <v>0</v>
      </c>
      <c r="S121" s="177">
        <f>IF($C$121=$F$121,Data!$E$120*S103,0)</f>
        <v>0</v>
      </c>
      <c r="T121" s="177">
        <f>IF($C$121=$F$121,Data!$E$120*T103,0)</f>
        <v>0</v>
      </c>
      <c r="U121" s="177">
        <f>IF($C$121=$F$121,Data!$E$120*U103,0)</f>
        <v>0</v>
      </c>
      <c r="V121" s="177">
        <f>IF($C$121=$F$121,Data!$E$120*V103,0)</f>
        <v>0</v>
      </c>
      <c r="W121" s="177">
        <f>IF($C$121=$F$121,Data!$E$120*W103,0)</f>
        <v>0</v>
      </c>
      <c r="X121" s="177">
        <f>IF($C$121=$F$121,Data!$E$120*X103,0)</f>
        <v>0</v>
      </c>
      <c r="Y121" s="177">
        <f>IF($C$121=$F$121,Data!$E$120*Y103,0)</f>
        <v>0</v>
      </c>
      <c r="Z121" s="177">
        <f>IF($C$121=$F$121,Data!$E$120*Z103,0)</f>
        <v>0</v>
      </c>
      <c r="AA121" s="177">
        <f>IF($C$121=$F$121,Data!$E$120*AA103,0)</f>
        <v>0</v>
      </c>
      <c r="AB121" s="177">
        <f>IF($C$121=$F$121,Data!$E$120*AB103,0)</f>
        <v>0</v>
      </c>
      <c r="AC121" s="28"/>
      <c r="AD121" s="28"/>
      <c r="AE121" s="28"/>
      <c r="AF121" s="28"/>
      <c r="AG121" s="28"/>
      <c r="AH121" s="28"/>
      <c r="AI121" s="28"/>
      <c r="AJ121" s="28"/>
      <c r="AK121" s="28"/>
      <c r="AL121" s="28"/>
      <c r="AM121" s="28"/>
      <c r="AN121" s="28"/>
      <c r="AO121" s="357"/>
      <c r="AP121" s="29"/>
    </row>
    <row r="122" spans="1:42" outlineLevel="1" x14ac:dyDescent="0.25">
      <c r="A122" s="12"/>
      <c r="B122" s="13"/>
      <c r="C122" s="45"/>
      <c r="D122" s="45"/>
      <c r="E122" s="15"/>
      <c r="F122" s="16"/>
      <c r="G122" s="14"/>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357"/>
      <c r="AP122" s="29"/>
    </row>
    <row r="123" spans="1:42" outlineLevel="1" x14ac:dyDescent="0.25">
      <c r="A123" s="12"/>
      <c r="B123" s="13"/>
      <c r="C123" s="44" t="s">
        <v>532</v>
      </c>
      <c r="D123" s="45"/>
      <c r="E123" s="15" t="s">
        <v>318</v>
      </c>
      <c r="F123" s="16"/>
      <c r="G123" s="14"/>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357"/>
      <c r="AP123" s="29"/>
    </row>
    <row r="124" spans="1:42" outlineLevel="1" x14ac:dyDescent="0.25">
      <c r="A124" s="12"/>
      <c r="B124" s="13"/>
      <c r="C124" s="44" t="s">
        <v>260</v>
      </c>
      <c r="D124" s="14"/>
      <c r="E124" s="15" t="s">
        <v>318</v>
      </c>
      <c r="F124" s="16"/>
      <c r="G124" s="14"/>
      <c r="H124" s="151"/>
      <c r="I124" s="151">
        <f>Data!$E$122*I103</f>
        <v>18553.392</v>
      </c>
      <c r="J124" s="151">
        <f>Data!$E$122*J103</f>
        <v>18553.392</v>
      </c>
      <c r="K124" s="151">
        <f>Data!$E$122*K103</f>
        <v>18553.392</v>
      </c>
      <c r="L124" s="151">
        <f>Data!$E$122*L103</f>
        <v>18553.392</v>
      </c>
      <c r="M124" s="151">
        <f>Data!$E$122*M103</f>
        <v>18553.392</v>
      </c>
      <c r="N124" s="151">
        <f>Data!$E$122*N103</f>
        <v>18553.392</v>
      </c>
      <c r="O124" s="151">
        <f>Data!$E$122*O103</f>
        <v>18553.392</v>
      </c>
      <c r="P124" s="151">
        <f>Data!$E$122*P103</f>
        <v>18553.392</v>
      </c>
      <c r="Q124" s="151">
        <f>Data!$E$122*Q103</f>
        <v>18553.392</v>
      </c>
      <c r="R124" s="151">
        <f>Data!$E$122*R103</f>
        <v>18553.392</v>
      </c>
      <c r="S124" s="151">
        <f>Data!$E$122*S103</f>
        <v>18553.392</v>
      </c>
      <c r="T124" s="151">
        <f>Data!$E$122*T103</f>
        <v>18553.392</v>
      </c>
      <c r="U124" s="151">
        <f>Data!$E$122*U103</f>
        <v>18553.392</v>
      </c>
      <c r="V124" s="151">
        <f>Data!$E$122*V103</f>
        <v>18553.392</v>
      </c>
      <c r="W124" s="151">
        <f>Data!$E$122*W103</f>
        <v>18553.392</v>
      </c>
      <c r="X124" s="151">
        <f>Data!$E$122*X103</f>
        <v>18553.392</v>
      </c>
      <c r="Y124" s="151">
        <f>Data!$E$122*Y103</f>
        <v>18553.392</v>
      </c>
      <c r="Z124" s="151">
        <f>Data!$E$122*Z103</f>
        <v>18553.392</v>
      </c>
      <c r="AA124" s="151">
        <f>Data!$E$122*AA103</f>
        <v>18553.392</v>
      </c>
      <c r="AB124" s="151">
        <f>Data!$E$122*AB103</f>
        <v>18553.392</v>
      </c>
      <c r="AC124" s="46"/>
      <c r="AD124" s="46"/>
      <c r="AE124" s="46"/>
      <c r="AF124" s="46"/>
      <c r="AG124" s="46"/>
      <c r="AH124" s="46"/>
      <c r="AI124" s="46"/>
      <c r="AJ124" s="46"/>
      <c r="AK124" s="46"/>
      <c r="AL124" s="46"/>
      <c r="AM124" s="46"/>
      <c r="AN124" s="46"/>
      <c r="AO124" s="46"/>
      <c r="AP124" s="17"/>
    </row>
    <row r="125" spans="1:42" outlineLevel="1" x14ac:dyDescent="0.25">
      <c r="A125" s="12"/>
      <c r="B125" s="13"/>
      <c r="C125" s="44"/>
      <c r="D125" s="44"/>
      <c r="E125" s="15"/>
      <c r="F125" s="16"/>
      <c r="G125" s="14"/>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17"/>
    </row>
    <row r="126" spans="1:42" outlineLevel="1" x14ac:dyDescent="0.25">
      <c r="A126" s="12"/>
      <c r="B126" s="13"/>
      <c r="C126" s="44" t="s">
        <v>398</v>
      </c>
      <c r="D126" s="45"/>
      <c r="E126" s="15"/>
      <c r="F126" s="16"/>
      <c r="G126" s="14"/>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357"/>
      <c r="AP126" s="29"/>
    </row>
    <row r="127" spans="1:42" outlineLevel="1" x14ac:dyDescent="0.25">
      <c r="A127" s="12"/>
      <c r="B127" s="13"/>
      <c r="C127" s="45" t="s">
        <v>127</v>
      </c>
      <c r="D127" s="45"/>
      <c r="E127" s="15" t="s">
        <v>475</v>
      </c>
      <c r="F127" s="158" t="str">
        <f>Dashboard!$I$52</f>
        <v>Hilly (Gradient  6%)</v>
      </c>
      <c r="G127" s="14"/>
      <c r="H127" s="62"/>
      <c r="I127" s="181" cm="1">
        <f t="array" ref="I127">INDEX('Control panel'!$E$17:$E$19,MATCH($F$127,'Control panel'!$C$17:$C$19,0),0)</f>
        <v>2.0035308778415004</v>
      </c>
      <c r="J127" s="181" cm="1">
        <f t="array" ref="J127">INDEX('Control panel'!$E$17:$E$19,MATCH($F$127,'Control panel'!$C$17:$C$19,0),0)</f>
        <v>2.0035308778415004</v>
      </c>
      <c r="K127" s="181" cm="1">
        <f t="array" ref="K127">INDEX('Control panel'!$E$17:$E$19,MATCH($F$127,'Control panel'!$C$17:$C$19,0),0)</f>
        <v>2.0035308778415004</v>
      </c>
      <c r="L127" s="181" cm="1">
        <f t="array" ref="L127">INDEX('Control panel'!$E$17:$E$19,MATCH($F$127,'Control panel'!$C$17:$C$19,0),0)</f>
        <v>2.0035308778415004</v>
      </c>
      <c r="M127" s="181" cm="1">
        <f t="array" ref="M127">INDEX('Control panel'!$E$17:$E$19,MATCH($F$127,'Control panel'!$C$17:$C$19,0),0)</f>
        <v>2.0035308778415004</v>
      </c>
      <c r="N127" s="181" cm="1">
        <f t="array" ref="N127">INDEX('Control panel'!$E$17:$E$19,MATCH($F$127,'Control panel'!$C$17:$C$19,0),0)</f>
        <v>2.0035308778415004</v>
      </c>
      <c r="O127" s="181" cm="1">
        <f t="array" ref="O127">INDEX('Control panel'!$E$17:$E$19,MATCH($F$127,'Control panel'!$C$17:$C$19,0),0)</f>
        <v>2.0035308778415004</v>
      </c>
      <c r="P127" s="181" cm="1">
        <f t="array" ref="P127">INDEX('Control panel'!$E$17:$E$19,MATCH($F$127,'Control panel'!$C$17:$C$19,0),0)</f>
        <v>2.0035308778415004</v>
      </c>
      <c r="Q127" s="181" cm="1">
        <f t="array" ref="Q127">INDEX('Control panel'!$E$17:$E$19,MATCH($F$127,'Control panel'!$C$17:$C$19,0),0)</f>
        <v>2.0035308778415004</v>
      </c>
      <c r="R127" s="181" cm="1">
        <f t="array" ref="R127">INDEX('Control panel'!$E$17:$E$19,MATCH($F$127,'Control panel'!$C$17:$C$19,0),0)</f>
        <v>2.0035308778415004</v>
      </c>
      <c r="S127" s="181" cm="1">
        <f t="array" ref="S127">INDEX('Control panel'!$E$17:$E$19,MATCH($F$127,'Control panel'!$C$17:$C$19,0),0)</f>
        <v>2.0035308778415004</v>
      </c>
      <c r="T127" s="181" cm="1">
        <f t="array" ref="T127">INDEX('Control panel'!$E$17:$E$19,MATCH($F$127,'Control panel'!$C$17:$C$19,0),0)</f>
        <v>2.0035308778415004</v>
      </c>
      <c r="U127" s="181" cm="1">
        <f t="array" ref="U127">INDEX('Control panel'!$E$17:$E$19,MATCH($F$127,'Control panel'!$C$17:$C$19,0),0)</f>
        <v>2.0035308778415004</v>
      </c>
      <c r="V127" s="181" cm="1">
        <f t="array" ref="V127">INDEX('Control panel'!$E$17:$E$19,MATCH($F$127,'Control panel'!$C$17:$C$19,0),0)</f>
        <v>2.0035308778415004</v>
      </c>
      <c r="W127" s="181" cm="1">
        <f t="array" ref="W127">INDEX('Control panel'!$E$17:$E$19,MATCH($F$127,'Control panel'!$C$17:$C$19,0),0)</f>
        <v>2.0035308778415004</v>
      </c>
      <c r="X127" s="181" cm="1">
        <f t="array" ref="X127">INDEX('Control panel'!$E$17:$E$19,MATCH($F$127,'Control panel'!$C$17:$C$19,0),0)</f>
        <v>2.0035308778415004</v>
      </c>
      <c r="Y127" s="181" cm="1">
        <f t="array" ref="Y127">INDEX('Control panel'!$E$17:$E$19,MATCH($F$127,'Control panel'!$C$17:$C$19,0),0)</f>
        <v>2.0035308778415004</v>
      </c>
      <c r="Z127" s="181" cm="1">
        <f t="array" ref="Z127">INDEX('Control panel'!$E$17:$E$19,MATCH($F$127,'Control panel'!$C$17:$C$19,0),0)</f>
        <v>2.0035308778415004</v>
      </c>
      <c r="AA127" s="181" cm="1">
        <f t="array" ref="AA127">INDEX('Control panel'!$E$17:$E$19,MATCH($F$127,'Control panel'!$C$17:$C$19,0),0)</f>
        <v>2.0035308778415004</v>
      </c>
      <c r="AB127" s="181" cm="1">
        <f t="array" ref="AB127">INDEX('Control panel'!$E$17:$E$19,MATCH($F$127,'Control panel'!$C$17:$C$19,0),0)</f>
        <v>2.0035308778415004</v>
      </c>
      <c r="AC127" s="28"/>
      <c r="AD127" s="28"/>
      <c r="AE127" s="28"/>
      <c r="AF127" s="28"/>
      <c r="AG127" s="28"/>
      <c r="AH127" s="28"/>
      <c r="AI127" s="28"/>
      <c r="AJ127" s="28"/>
      <c r="AK127" s="28"/>
      <c r="AL127" s="28"/>
      <c r="AM127" s="28"/>
      <c r="AN127" s="28"/>
      <c r="AO127" s="357"/>
      <c r="AP127" s="29"/>
    </row>
    <row r="128" spans="1:42" outlineLevel="1" x14ac:dyDescent="0.25">
      <c r="A128" s="12"/>
      <c r="B128" s="13"/>
      <c r="C128" s="45" t="s">
        <v>120</v>
      </c>
      <c r="D128" s="45"/>
      <c r="E128" s="15" t="s">
        <v>318</v>
      </c>
      <c r="F128" s="158" t="str">
        <f>Dashboard!$I$53</f>
        <v>3 Axle rigid</v>
      </c>
      <c r="G128" s="14"/>
      <c r="H128" s="62"/>
      <c r="I128" s="177">
        <f>IF($C$128=$F$128,I103*Data!$E$129*Data!H$61,0)*(1+I127)*(1+Data!$E$92)</f>
        <v>0</v>
      </c>
      <c r="J128" s="177">
        <f>IF($C$128=$F$128,J103*Data!$E$129*Data!I$61,0)*(1+J127)*(1+Data!$E$92)</f>
        <v>0</v>
      </c>
      <c r="K128" s="177">
        <f>IF($C$128=$F$128,K103*Data!$E$129*Data!J$61,0)*(1+K127)*(1+Data!$E$92)</f>
        <v>0</v>
      </c>
      <c r="L128" s="177">
        <f>IF($C$128=$F$128,L103*Data!$E$129*Data!K$61,0)*(1+L127)*(1+Data!$E$92)</f>
        <v>0</v>
      </c>
      <c r="M128" s="177">
        <f>IF($C$128=$F$128,M103*Data!$E$129*Data!L$61,0)*(1+M127)*(1+Data!$E$92)</f>
        <v>0</v>
      </c>
      <c r="N128" s="177">
        <f>IF($C$128=$F$128,N103*Data!$E$129*Data!M$61,0)*(1+N127)*(1+Data!$E$92)</f>
        <v>0</v>
      </c>
      <c r="O128" s="177">
        <f>IF($C$128=$F$128,O103*Data!$E$129*Data!N$61,0)*(1+O127)*(1+Data!$E$92)</f>
        <v>0</v>
      </c>
      <c r="P128" s="177">
        <f>IF($C$128=$F$128,P103*Data!$E$129*Data!O$61,0)*(1+P127)*(1+Data!$E$92)</f>
        <v>0</v>
      </c>
      <c r="Q128" s="177">
        <f>IF($C$128=$F$128,Q103*Data!$E$129*Data!P$61,0)*(1+Q127)*(1+Data!$E$92)</f>
        <v>0</v>
      </c>
      <c r="R128" s="177">
        <f>IF($C$128=$F$128,R103*Data!$E$129*Data!Q$61,0)*(1+R127)*(1+Data!$E$92)</f>
        <v>0</v>
      </c>
      <c r="S128" s="177">
        <f>IF($C$128=$F$128,S103*Data!$E$129*Data!R$61,0)*(1+S127)*(1+Data!$E$92)</f>
        <v>0</v>
      </c>
      <c r="T128" s="177">
        <f>IF($C$128=$F$128,T103*Data!$E$129*Data!S$61,0)*(1+T127)*(1+Data!$E$92)</f>
        <v>0</v>
      </c>
      <c r="U128" s="177">
        <f>IF($C$128=$F$128,U103*Data!$E$129*Data!T$61,0)*(1+U127)*(1+Data!$E$92)</f>
        <v>0</v>
      </c>
      <c r="V128" s="177">
        <f>IF($C$128=$F$128,V103*Data!$E$129*Data!U$61,0)*(1+V127)*(1+Data!$E$92)</f>
        <v>0</v>
      </c>
      <c r="W128" s="177">
        <f>IF($C$128=$F$128,W103*Data!$E$129*Data!V$61,0)*(1+W127)*(1+Data!$E$92)</f>
        <v>0</v>
      </c>
      <c r="X128" s="177">
        <f>IF($C$128=$F$128,X103*Data!$E$129*Data!W$61,0)*(1+X127)*(1+Data!$E$92)</f>
        <v>0</v>
      </c>
      <c r="Y128" s="177">
        <f>IF($C$128=$F$128,Y103*Data!$E$129*Data!X$61,0)*(1+Y127)*(1+Data!$E$92)</f>
        <v>0</v>
      </c>
      <c r="Z128" s="177">
        <f>IF($C$128=$F$128,Z103*Data!$E$129*Data!Y$61,0)*(1+Z127)*(1+Data!$E$92)</f>
        <v>0</v>
      </c>
      <c r="AA128" s="177">
        <f>IF($C$128=$F$128,AA103*Data!$E$129*Data!Z$61,0)*(1+AA127)*(1+Data!$E$92)</f>
        <v>0</v>
      </c>
      <c r="AB128" s="177">
        <f>IF($C$128=$F$128,AB103*Data!$E$129*Data!AA$61,0)*(1+AB127)*(1+Data!$E$92)</f>
        <v>0</v>
      </c>
      <c r="AC128" s="28"/>
      <c r="AD128" s="28"/>
      <c r="AE128" s="28"/>
      <c r="AF128" s="28"/>
      <c r="AG128" s="28"/>
      <c r="AH128" s="28"/>
      <c r="AI128" s="28"/>
      <c r="AJ128" s="28"/>
      <c r="AK128" s="28"/>
      <c r="AL128" s="28"/>
      <c r="AM128" s="28"/>
      <c r="AN128" s="28"/>
      <c r="AO128" s="357"/>
      <c r="AP128" s="29"/>
    </row>
    <row r="129" spans="1:42" outlineLevel="1" x14ac:dyDescent="0.25">
      <c r="A129" s="12"/>
      <c r="B129" s="13"/>
      <c r="C129" s="45" t="s">
        <v>124</v>
      </c>
      <c r="D129" s="45"/>
      <c r="E129" s="15" t="s">
        <v>318</v>
      </c>
      <c r="F129" s="158" t="str">
        <f>Dashboard!$I$53</f>
        <v>3 Axle rigid</v>
      </c>
      <c r="G129" s="14"/>
      <c r="H129" s="62"/>
      <c r="I129" s="177">
        <f>IF($C$129=$F$129,I103*Data!$E$130*Data!H$61,0)*(1+I127)*(1+Data!$E$92)</f>
        <v>135680.60281634858</v>
      </c>
      <c r="J129" s="177">
        <f>IF($C$129=$F$129,J103*Data!$E$130*Data!I$61,0)*(1+J127)*(1+Data!$E$92)</f>
        <v>108389.87660695429</v>
      </c>
      <c r="K129" s="177">
        <f>IF($C$129=$F$129,K103*Data!$E$130*Data!J$61,0)*(1+K127)*(1+Data!$E$92)</f>
        <v>108389.87660695429</v>
      </c>
      <c r="L129" s="177">
        <f>IF($C$129=$F$129,L103*Data!$E$130*Data!K$61,0)*(1+L127)*(1+Data!$E$92)</f>
        <v>108389.87660695429</v>
      </c>
      <c r="M129" s="177">
        <f>IF($C$129=$F$129,M103*Data!$E$130*Data!L$61,0)*(1+M127)*(1+Data!$E$92)</f>
        <v>108389.87660695429</v>
      </c>
      <c r="N129" s="177">
        <f>IF($C$129=$F$129,N103*Data!$E$130*Data!M$61,0)*(1+N127)*(1+Data!$E$92)</f>
        <v>108389.87660695429</v>
      </c>
      <c r="O129" s="177">
        <f>IF($C$129=$F$129,O103*Data!$E$130*Data!N$61,0)*(1+O127)*(1+Data!$E$92)</f>
        <v>108389.87660695429</v>
      </c>
      <c r="P129" s="177">
        <f>IF($C$129=$F$129,P103*Data!$E$130*Data!O$61,0)*(1+P127)*(1+Data!$E$92)</f>
        <v>108389.87660695429</v>
      </c>
      <c r="Q129" s="177">
        <f>IF($C$129=$F$129,Q103*Data!$E$130*Data!P$61,0)*(1+Q127)*(1+Data!$E$92)</f>
        <v>108389.87660695429</v>
      </c>
      <c r="R129" s="177">
        <f>IF($C$129=$F$129,R103*Data!$E$130*Data!Q$61,0)*(1+R127)*(1+Data!$E$92)</f>
        <v>108389.87660695429</v>
      </c>
      <c r="S129" s="177">
        <f>IF($C$129=$F$129,S103*Data!$E$130*Data!R$61,0)*(1+S127)*(1+Data!$E$92)</f>
        <v>108389.87660695429</v>
      </c>
      <c r="T129" s="177">
        <f>IF($C$129=$F$129,T103*Data!$E$130*Data!S$61,0)*(1+T127)*(1+Data!$E$92)</f>
        <v>108389.87660695429</v>
      </c>
      <c r="U129" s="177">
        <f>IF($C$129=$F$129,U103*Data!$E$130*Data!T$61,0)*(1+U127)*(1+Data!$E$92)</f>
        <v>108389.87660695429</v>
      </c>
      <c r="V129" s="177">
        <f>IF($C$129=$F$129,V103*Data!$E$130*Data!U$61,0)*(1+V127)*(1+Data!$E$92)</f>
        <v>108389.87660695429</v>
      </c>
      <c r="W129" s="177">
        <f>IF($C$129=$F$129,W103*Data!$E$130*Data!V$61,0)*(1+W127)*(1+Data!$E$92)</f>
        <v>108389.87660695429</v>
      </c>
      <c r="X129" s="177">
        <f>IF($C$129=$F$129,X103*Data!$E$130*Data!W$61,0)*(1+X127)*(1+Data!$E$92)</f>
        <v>108389.87660695429</v>
      </c>
      <c r="Y129" s="177">
        <f>IF($C$129=$F$129,Y103*Data!$E$130*Data!X$61,0)*(1+Y127)*(1+Data!$E$92)</f>
        <v>108389.87660695429</v>
      </c>
      <c r="Z129" s="177">
        <f>IF($C$129=$F$129,Z103*Data!$E$130*Data!Y$61,0)*(1+Z127)*(1+Data!$E$92)</f>
        <v>108389.87660695429</v>
      </c>
      <c r="AA129" s="177">
        <f>IF($C$129=$F$129,AA103*Data!$E$130*Data!Z$61,0)*(1+AA127)*(1+Data!$E$92)</f>
        <v>108389.87660695429</v>
      </c>
      <c r="AB129" s="177">
        <f>IF($C$129=$F$129,AB103*Data!$E$130*Data!AA$61,0)*(1+AB127)*(1+Data!$E$92)</f>
        <v>108389.87660695429</v>
      </c>
      <c r="AC129" s="28"/>
      <c r="AD129" s="28"/>
      <c r="AE129" s="28"/>
      <c r="AF129" s="28"/>
      <c r="AG129" s="28"/>
      <c r="AH129" s="28"/>
      <c r="AI129" s="28"/>
      <c r="AJ129" s="28"/>
      <c r="AK129" s="28"/>
      <c r="AL129" s="28"/>
      <c r="AM129" s="28"/>
      <c r="AN129" s="28"/>
      <c r="AO129" s="357"/>
      <c r="AP129" s="29"/>
    </row>
    <row r="130" spans="1:42" outlineLevel="1" x14ac:dyDescent="0.25">
      <c r="A130" s="12"/>
      <c r="B130" s="13"/>
      <c r="C130" s="45" t="s">
        <v>126</v>
      </c>
      <c r="D130" s="45"/>
      <c r="E130" s="15" t="s">
        <v>318</v>
      </c>
      <c r="F130" s="158" t="str">
        <f>Dashboard!$I$53</f>
        <v>3 Axle rigid</v>
      </c>
      <c r="G130" s="14"/>
      <c r="H130" s="62"/>
      <c r="I130" s="177">
        <f>IF($C$130=$F$130,I103*Data!$E$131*Data!H$61,0)*(1+I127)*(1+Data!$E$92)</f>
        <v>0</v>
      </c>
      <c r="J130" s="177">
        <f>IF($C$130=$F$130,J103*Data!$E$131*Data!I$61,0)*(1+J127)*(1+Data!$E$92)</f>
        <v>0</v>
      </c>
      <c r="K130" s="177">
        <f>IF($C$130=$F$130,K103*Data!$E$131*Data!J$61,0)*(1+K127)*(1+Data!$E$92)</f>
        <v>0</v>
      </c>
      <c r="L130" s="177">
        <f>IF($C$130=$F$130,L103*Data!$E$131*Data!K$61,0)*(1+L127)*(1+Data!$E$92)</f>
        <v>0</v>
      </c>
      <c r="M130" s="177">
        <f>IF($C$130=$F$130,M103*Data!$E$131*Data!L$61,0)*(1+M127)*(1+Data!$E$92)</f>
        <v>0</v>
      </c>
      <c r="N130" s="177">
        <f>IF($C$130=$F$130,N103*Data!$E$131*Data!M$61,0)*(1+N127)*(1+Data!$E$92)</f>
        <v>0</v>
      </c>
      <c r="O130" s="177">
        <f>IF($C$130=$F$130,O103*Data!$E$131*Data!N$61,0)*(1+O127)*(1+Data!$E$92)</f>
        <v>0</v>
      </c>
      <c r="P130" s="177">
        <f>IF($C$130=$F$130,P103*Data!$E$131*Data!O$61,0)*(1+P127)*(1+Data!$E$92)</f>
        <v>0</v>
      </c>
      <c r="Q130" s="177">
        <f>IF($C$130=$F$130,Q103*Data!$E$131*Data!P$61,0)*(1+Q127)*(1+Data!$E$92)</f>
        <v>0</v>
      </c>
      <c r="R130" s="177">
        <f>IF($C$130=$F$130,R103*Data!$E$131*Data!Q$61,0)*(1+R127)*(1+Data!$E$92)</f>
        <v>0</v>
      </c>
      <c r="S130" s="177">
        <f>IF($C$130=$F$130,S103*Data!$E$131*Data!R$61,0)*(1+S127)*(1+Data!$E$92)</f>
        <v>0</v>
      </c>
      <c r="T130" s="177">
        <f>IF($C$130=$F$130,T103*Data!$E$131*Data!S$61,0)*(1+T127)*(1+Data!$E$92)</f>
        <v>0</v>
      </c>
      <c r="U130" s="177">
        <f>IF($C$130=$F$130,U103*Data!$E$131*Data!T$61,0)*(1+U127)*(1+Data!$E$92)</f>
        <v>0</v>
      </c>
      <c r="V130" s="177">
        <f>IF($C$130=$F$130,V103*Data!$E$131*Data!U$61,0)*(1+V127)*(1+Data!$E$92)</f>
        <v>0</v>
      </c>
      <c r="W130" s="177">
        <f>IF($C$130=$F$130,W103*Data!$E$131*Data!V$61,0)*(1+W127)*(1+Data!$E$92)</f>
        <v>0</v>
      </c>
      <c r="X130" s="177">
        <f>IF($C$130=$F$130,X103*Data!$E$131*Data!W$61,0)*(1+X127)*(1+Data!$E$92)</f>
        <v>0</v>
      </c>
      <c r="Y130" s="177">
        <f>IF($C$130=$F$130,Y103*Data!$E$131*Data!X$61,0)*(1+Y127)*(1+Data!$E$92)</f>
        <v>0</v>
      </c>
      <c r="Z130" s="177">
        <f>IF($C$130=$F$130,Z103*Data!$E$131*Data!Y$61,0)*(1+Z127)*(1+Data!$E$92)</f>
        <v>0</v>
      </c>
      <c r="AA130" s="177">
        <f>IF($C$130=$F$130,AA103*Data!$E$131*Data!Z$61,0)*(1+AA127)*(1+Data!$E$92)</f>
        <v>0</v>
      </c>
      <c r="AB130" s="177">
        <f>IF($C$130=$F$130,AB103*Data!$E$131*Data!AA$61,0)*(1+AB127)*(1+Data!$E$92)</f>
        <v>0</v>
      </c>
      <c r="AC130" s="46"/>
      <c r="AD130" s="46"/>
      <c r="AE130" s="46"/>
      <c r="AF130" s="46"/>
      <c r="AG130" s="46"/>
      <c r="AH130" s="46"/>
      <c r="AI130" s="46"/>
      <c r="AJ130" s="46"/>
      <c r="AK130" s="46"/>
      <c r="AL130" s="46"/>
      <c r="AM130" s="46"/>
      <c r="AN130" s="46"/>
      <c r="AO130" s="46"/>
      <c r="AP130" s="17"/>
    </row>
    <row r="131" spans="1:42" outlineLevel="1" x14ac:dyDescent="0.25">
      <c r="A131" s="12"/>
      <c r="B131" s="13"/>
      <c r="C131" s="44"/>
      <c r="D131" s="44"/>
      <c r="E131" s="15"/>
      <c r="F131" s="16"/>
      <c r="G131" s="14"/>
      <c r="H131" s="62"/>
      <c r="I131" s="96"/>
      <c r="J131" s="96"/>
      <c r="K131" s="96"/>
      <c r="L131" s="96"/>
      <c r="M131" s="96"/>
      <c r="N131" s="96"/>
      <c r="O131" s="96"/>
      <c r="P131" s="96"/>
      <c r="Q131" s="96"/>
      <c r="R131" s="96"/>
      <c r="S131" s="96"/>
      <c r="T131" s="96"/>
      <c r="U131" s="96"/>
      <c r="V131" s="96"/>
      <c r="W131" s="96"/>
      <c r="X131" s="96"/>
      <c r="Y131" s="96"/>
      <c r="Z131" s="96"/>
      <c r="AA131" s="96"/>
      <c r="AB131" s="96"/>
      <c r="AC131" s="46"/>
      <c r="AD131" s="46"/>
      <c r="AE131" s="46"/>
      <c r="AF131" s="46"/>
      <c r="AG131" s="46"/>
      <c r="AH131" s="46"/>
      <c r="AI131" s="46"/>
      <c r="AJ131" s="46"/>
      <c r="AK131" s="46"/>
      <c r="AL131" s="46"/>
      <c r="AM131" s="46"/>
      <c r="AN131" s="46"/>
      <c r="AO131" s="46"/>
      <c r="AP131" s="17"/>
    </row>
    <row r="132" spans="1:42" outlineLevel="1" x14ac:dyDescent="0.25">
      <c r="A132" s="12"/>
      <c r="B132" s="13"/>
      <c r="C132" s="19" t="s">
        <v>512</v>
      </c>
      <c r="D132" s="45"/>
      <c r="E132" s="15"/>
      <c r="F132" s="158"/>
      <c r="G132" s="14"/>
      <c r="H132" s="28"/>
      <c r="I132" s="182">
        <f>SUM(I119:I121)+I123+I124+SUM(I128:I130)</f>
        <v>198359.70910206286</v>
      </c>
      <c r="J132" s="182">
        <f t="shared" ref="J132:W132" si="19">SUM(J119:J121)+J123+J124+SUM(J128:J130)</f>
        <v>171068.98289266857</v>
      </c>
      <c r="K132" s="182">
        <f t="shared" si="19"/>
        <v>171068.98289266857</v>
      </c>
      <c r="L132" s="182">
        <f t="shared" si="19"/>
        <v>171068.98289266857</v>
      </c>
      <c r="M132" s="182">
        <f t="shared" si="19"/>
        <v>171068.98289266857</v>
      </c>
      <c r="N132" s="182">
        <f t="shared" si="19"/>
        <v>171068.98289266857</v>
      </c>
      <c r="O132" s="182">
        <f t="shared" si="19"/>
        <v>171068.98289266857</v>
      </c>
      <c r="P132" s="182">
        <f t="shared" si="19"/>
        <v>171068.98289266857</v>
      </c>
      <c r="Q132" s="182">
        <f t="shared" si="19"/>
        <v>171068.98289266857</v>
      </c>
      <c r="R132" s="182">
        <f t="shared" si="19"/>
        <v>171068.98289266857</v>
      </c>
      <c r="S132" s="182">
        <f t="shared" si="19"/>
        <v>171068.98289266857</v>
      </c>
      <c r="T132" s="182">
        <f t="shared" si="19"/>
        <v>171068.98289266857</v>
      </c>
      <c r="U132" s="182">
        <f t="shared" si="19"/>
        <v>171068.98289266857</v>
      </c>
      <c r="V132" s="182">
        <f t="shared" si="19"/>
        <v>171068.98289266857</v>
      </c>
      <c r="W132" s="182">
        <f t="shared" si="19"/>
        <v>171068.98289266857</v>
      </c>
      <c r="X132" s="182">
        <f t="shared" ref="X132:AB132" si="20">SUM(X119:X121)+X123+X124+SUM(X128:X130)</f>
        <v>171068.98289266857</v>
      </c>
      <c r="Y132" s="182">
        <f t="shared" si="20"/>
        <v>171068.98289266857</v>
      </c>
      <c r="Z132" s="182">
        <f t="shared" si="20"/>
        <v>171068.98289266857</v>
      </c>
      <c r="AA132" s="182">
        <f t="shared" si="20"/>
        <v>171068.98289266857</v>
      </c>
      <c r="AB132" s="182">
        <f t="shared" si="20"/>
        <v>171068.98289266857</v>
      </c>
      <c r="AC132" s="28"/>
      <c r="AD132" s="28"/>
      <c r="AE132" s="28"/>
      <c r="AF132" s="28"/>
      <c r="AG132" s="28"/>
      <c r="AH132" s="28"/>
      <c r="AI132" s="28"/>
      <c r="AJ132" s="28"/>
      <c r="AK132" s="28"/>
      <c r="AL132" s="28"/>
      <c r="AM132" s="28"/>
      <c r="AN132" s="28"/>
      <c r="AO132" s="357"/>
      <c r="AP132" s="29"/>
    </row>
    <row r="133" spans="1:42" outlineLevel="1" x14ac:dyDescent="0.25">
      <c r="A133" s="12"/>
      <c r="B133" s="13"/>
      <c r="C133" s="45"/>
      <c r="D133" s="45"/>
      <c r="E133" s="15"/>
      <c r="F133" s="16"/>
      <c r="G133" s="14"/>
      <c r="H133" s="177"/>
      <c r="I133" s="177"/>
      <c r="J133" s="177"/>
      <c r="K133" s="177"/>
      <c r="L133" s="177"/>
      <c r="M133" s="177"/>
      <c r="N133" s="177"/>
      <c r="O133" s="177"/>
      <c r="P133" s="177"/>
      <c r="Q133" s="177"/>
      <c r="R133" s="177"/>
      <c r="S133" s="177"/>
      <c r="T133" s="177"/>
      <c r="U133" s="177"/>
      <c r="V133" s="177"/>
      <c r="W133" s="177"/>
      <c r="X133" s="28"/>
      <c r="Y133" s="28"/>
      <c r="Z133" s="28"/>
      <c r="AA133" s="28"/>
      <c r="AB133" s="28"/>
      <c r="AC133" s="28"/>
      <c r="AD133" s="28"/>
      <c r="AE133" s="28"/>
      <c r="AF133" s="28"/>
      <c r="AG133" s="28"/>
      <c r="AH133" s="28"/>
      <c r="AI133" s="28"/>
      <c r="AJ133" s="28"/>
      <c r="AK133" s="28"/>
      <c r="AL133" s="28"/>
      <c r="AM133" s="28"/>
      <c r="AN133" s="28"/>
      <c r="AO133" s="357"/>
      <c r="AP133" s="29"/>
    </row>
    <row r="134" spans="1:42" outlineLevel="1" x14ac:dyDescent="0.25">
      <c r="A134" s="12"/>
      <c r="B134" s="13"/>
      <c r="C134" s="37" t="s">
        <v>513</v>
      </c>
      <c r="D134" s="37"/>
      <c r="E134" s="38"/>
      <c r="F134" s="39"/>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17"/>
    </row>
    <row r="135" spans="1:42" outlineLevel="1" x14ac:dyDescent="0.25">
      <c r="A135" s="12"/>
      <c r="B135" s="13"/>
      <c r="C135" s="45" t="s">
        <v>249</v>
      </c>
      <c r="D135" s="45"/>
      <c r="E135" s="15" t="s">
        <v>142</v>
      </c>
      <c r="F135" s="16"/>
      <c r="G135" s="14"/>
      <c r="H135" s="28"/>
      <c r="I135" s="28"/>
      <c r="J135" s="28"/>
      <c r="K135" s="28"/>
      <c r="L135" s="28"/>
      <c r="M135" s="28"/>
      <c r="N135" s="28"/>
      <c r="O135" s="28"/>
      <c r="P135" s="28"/>
      <c r="Q135" s="28"/>
      <c r="R135" s="28"/>
      <c r="S135" s="28"/>
      <c r="T135" s="28"/>
      <c r="U135" s="28"/>
      <c r="V135" s="28"/>
      <c r="W135" s="28"/>
      <c r="X135" s="28"/>
      <c r="Y135" s="28"/>
      <c r="Z135" s="28"/>
      <c r="AA135" s="28"/>
      <c r="AB135" s="28"/>
      <c r="AC135" s="182">
        <f>SUM(H110:H112)*Data!$E$135</f>
        <v>60000</v>
      </c>
      <c r="AD135" s="28"/>
      <c r="AE135" s="28"/>
      <c r="AF135" s="28"/>
      <c r="AG135" s="28"/>
      <c r="AH135" s="28"/>
      <c r="AI135" s="28"/>
      <c r="AJ135" s="28"/>
      <c r="AK135" s="28"/>
      <c r="AL135" s="28"/>
      <c r="AM135" s="28"/>
      <c r="AN135" s="28"/>
      <c r="AO135" s="357"/>
      <c r="AP135" s="29"/>
    </row>
    <row r="136" spans="1:42" outlineLevel="1" x14ac:dyDescent="0.25">
      <c r="A136" s="12"/>
      <c r="B136" s="13"/>
      <c r="C136" s="45"/>
      <c r="D136" s="45"/>
      <c r="E136" s="15"/>
      <c r="F136" s="16"/>
      <c r="G136" s="14"/>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357"/>
      <c r="AP136" s="29"/>
    </row>
    <row r="137" spans="1:42" outlineLevel="1" x14ac:dyDescent="0.25">
      <c r="A137" s="12"/>
      <c r="B137" s="13"/>
      <c r="C137" s="14"/>
      <c r="D137" s="14"/>
      <c r="E137" s="15"/>
      <c r="F137" s="16"/>
      <c r="G137" s="14"/>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17"/>
    </row>
    <row r="138" spans="1:42" outlineLevel="1" x14ac:dyDescent="0.25">
      <c r="A138" s="12"/>
      <c r="B138" s="13"/>
      <c r="C138" s="14"/>
      <c r="D138" s="14"/>
      <c r="E138" s="15"/>
      <c r="F138" s="16"/>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7"/>
    </row>
    <row r="139" spans="1:42" outlineLevel="1" x14ac:dyDescent="0.25">
      <c r="A139" s="12"/>
      <c r="B139" s="13"/>
      <c r="C139" s="37" t="s">
        <v>479</v>
      </c>
      <c r="D139" s="37"/>
      <c r="E139" s="38" t="s">
        <v>54</v>
      </c>
      <c r="F139" s="39"/>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17"/>
    </row>
    <row r="140" spans="1:42" outlineLevel="1" x14ac:dyDescent="0.25">
      <c r="A140" s="12"/>
      <c r="B140" s="13"/>
      <c r="C140" s="14" t="s">
        <v>479</v>
      </c>
      <c r="D140" s="14"/>
      <c r="E140" s="15" t="s">
        <v>54</v>
      </c>
      <c r="F140" s="16"/>
      <c r="G140" s="96"/>
      <c r="H140" s="165">
        <f>H115+H132-H135</f>
        <v>0</v>
      </c>
      <c r="I140" s="371">
        <f>I115+I132-I135</f>
        <v>227792.40923351442</v>
      </c>
      <c r="J140" s="371">
        <f t="shared" ref="J140:AB140" si="21">J115+J132-J135</f>
        <v>200501.68302412014</v>
      </c>
      <c r="K140" s="371">
        <f t="shared" si="21"/>
        <v>200501.68302412014</v>
      </c>
      <c r="L140" s="371">
        <f t="shared" si="21"/>
        <v>200501.68302412014</v>
      </c>
      <c r="M140" s="371">
        <f t="shared" si="21"/>
        <v>200501.68302412014</v>
      </c>
      <c r="N140" s="371">
        <f t="shared" si="21"/>
        <v>200501.68302412014</v>
      </c>
      <c r="O140" s="371">
        <f t="shared" si="21"/>
        <v>200501.68302412014</v>
      </c>
      <c r="P140" s="371">
        <f t="shared" si="21"/>
        <v>200501.68302412014</v>
      </c>
      <c r="Q140" s="371">
        <f t="shared" si="21"/>
        <v>200501.68302412014</v>
      </c>
      <c r="R140" s="371">
        <f t="shared" si="21"/>
        <v>200501.68302412014</v>
      </c>
      <c r="S140" s="371">
        <f t="shared" si="21"/>
        <v>200501.68302412014</v>
      </c>
      <c r="T140" s="371">
        <f t="shared" si="21"/>
        <v>200501.68302412014</v>
      </c>
      <c r="U140" s="371">
        <f t="shared" si="21"/>
        <v>200501.68302412014</v>
      </c>
      <c r="V140" s="371">
        <f t="shared" si="21"/>
        <v>200501.68302412014</v>
      </c>
      <c r="W140" s="371">
        <f t="shared" si="21"/>
        <v>200501.68302412014</v>
      </c>
      <c r="X140" s="371">
        <f t="shared" si="21"/>
        <v>200501.68302412014</v>
      </c>
      <c r="Y140" s="371">
        <f t="shared" si="21"/>
        <v>200501.68302412014</v>
      </c>
      <c r="Z140" s="371">
        <f t="shared" si="21"/>
        <v>200501.68302412014</v>
      </c>
      <c r="AA140" s="371">
        <f t="shared" si="21"/>
        <v>200501.68302412014</v>
      </c>
      <c r="AB140" s="371">
        <f t="shared" si="21"/>
        <v>200501.68302412014</v>
      </c>
      <c r="AC140" s="372">
        <f>AC115+AC132-AC135</f>
        <v>-60000</v>
      </c>
      <c r="AD140" s="42"/>
      <c r="AE140" s="42"/>
      <c r="AF140" s="42"/>
      <c r="AG140" s="42"/>
      <c r="AH140" s="42"/>
      <c r="AI140" s="42"/>
      <c r="AJ140" s="42"/>
      <c r="AK140" s="42"/>
      <c r="AL140" s="42"/>
      <c r="AM140" s="42"/>
      <c r="AN140" s="42"/>
      <c r="AO140" s="356"/>
      <c r="AP140" s="29"/>
    </row>
    <row r="141" spans="1:42" s="140" customFormat="1" outlineLevel="1" x14ac:dyDescent="0.25">
      <c r="A141" s="78"/>
      <c r="B141" s="19"/>
      <c r="C141" s="20" t="s">
        <v>480</v>
      </c>
      <c r="D141" s="20"/>
      <c r="E141" s="21" t="s">
        <v>54</v>
      </c>
      <c r="F141" s="48"/>
      <c r="G141" s="95"/>
      <c r="H141" s="182">
        <f>H140*Data!G$9</f>
        <v>0</v>
      </c>
      <c r="I141" s="182">
        <f>I140*Data!H$9</f>
        <v>219031.16272453309</v>
      </c>
      <c r="J141" s="182">
        <f>J140*Data!I$9</f>
        <v>185375.07676046609</v>
      </c>
      <c r="K141" s="182">
        <f>K140*Data!J$9</f>
        <v>178245.26611583278</v>
      </c>
      <c r="L141" s="182">
        <f>L140*Data!K$9</f>
        <v>171389.67895753149</v>
      </c>
      <c r="M141" s="182">
        <f>M140*Data!L$9</f>
        <v>164797.76822839567</v>
      </c>
      <c r="N141" s="182">
        <f>N140*Data!M$9</f>
        <v>158459.39252730351</v>
      </c>
      <c r="O141" s="182">
        <f>O140*Data!N$9</f>
        <v>152364.80050702262</v>
      </c>
      <c r="P141" s="182">
        <f>P140*Data!O$9</f>
        <v>146504.6158721371</v>
      </c>
      <c r="Q141" s="182">
        <f>Q140*Data!P$9</f>
        <v>140869.82295397797</v>
      </c>
      <c r="R141" s="182">
        <f>R140*Data!Q$9</f>
        <v>135451.75284036345</v>
      </c>
      <c r="S141" s="182">
        <f>S140*Data!R$9</f>
        <v>130242.07003881101</v>
      </c>
      <c r="T141" s="182">
        <f>T140*Data!S$9</f>
        <v>125232.75965270287</v>
      </c>
      <c r="U141" s="182">
        <f>U140*Data!T$9</f>
        <v>120416.11505067583</v>
      </c>
      <c r="V141" s="182">
        <f>V140*Data!U$9</f>
        <v>115784.72601026524</v>
      </c>
      <c r="W141" s="182">
        <f>W140*Data!V$9</f>
        <v>111331.46731756271</v>
      </c>
      <c r="X141" s="182">
        <f>X140*Data!W$9</f>
        <v>107049.48780534875</v>
      </c>
      <c r="Y141" s="182">
        <f>Y140*Data!X$9</f>
        <v>102932.19981283533</v>
      </c>
      <c r="Z141" s="182">
        <f>Z140*Data!Y$9</f>
        <v>98973.269050803196</v>
      </c>
      <c r="AA141" s="182">
        <f>AA140*Data!Z$9</f>
        <v>95166.60485654154</v>
      </c>
      <c r="AB141" s="182">
        <f>AB140*Data!AA$9</f>
        <v>91506.350823597633</v>
      </c>
      <c r="AC141" s="372">
        <f>AC140*Data!AB$9</f>
        <v>-26330.016126997612</v>
      </c>
      <c r="AD141" s="182">
        <f>AD140*Data!AC$9</f>
        <v>0</v>
      </c>
      <c r="AE141" s="182">
        <f>AE140*Data!AD$9</f>
        <v>0</v>
      </c>
      <c r="AF141" s="182">
        <f>AF140*Data!AE$9</f>
        <v>0</v>
      </c>
      <c r="AG141" s="182">
        <f>AG140*Data!AF$9</f>
        <v>0</v>
      </c>
      <c r="AH141" s="182">
        <f>AH140*Data!AG$9</f>
        <v>0</v>
      </c>
      <c r="AI141" s="182">
        <f>AI140*Data!AH$9</f>
        <v>0</v>
      </c>
      <c r="AJ141" s="182">
        <f>AJ140*Data!AI$9</f>
        <v>0</v>
      </c>
      <c r="AK141" s="182">
        <f>AK140*Data!AJ$9</f>
        <v>0</v>
      </c>
      <c r="AL141" s="182">
        <f>AL140*Data!AK$9</f>
        <v>0</v>
      </c>
      <c r="AM141" s="182">
        <f>AM140*Data!AL$9</f>
        <v>0</v>
      </c>
      <c r="AN141" s="49"/>
      <c r="AO141" s="358"/>
      <c r="AP141" s="50"/>
    </row>
    <row r="142" spans="1:42" outlineLevel="1" x14ac:dyDescent="0.25">
      <c r="A142" s="12"/>
      <c r="B142" s="13"/>
      <c r="C142" s="14" t="s">
        <v>479</v>
      </c>
      <c r="D142" s="14"/>
      <c r="E142" s="15" t="s">
        <v>142</v>
      </c>
      <c r="F142" s="16"/>
      <c r="G142" s="165">
        <f>SUM(H141:AO141)</f>
        <v>2724794.3717797096</v>
      </c>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357"/>
      <c r="AP142" s="29"/>
    </row>
    <row r="143" spans="1:42" outlineLevel="1" x14ac:dyDescent="0.25">
      <c r="A143" s="12"/>
      <c r="B143" s="13"/>
      <c r="C143" s="44" t="s">
        <v>514</v>
      </c>
      <c r="D143" s="44"/>
      <c r="E143" s="15" t="s">
        <v>261</v>
      </c>
      <c r="F143" s="16"/>
      <c r="G143" s="183">
        <f>G142/SUM(I103:AO103)</f>
        <v>2.6464591800502228</v>
      </c>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7"/>
    </row>
    <row r="144" spans="1:42" outlineLevel="1" x14ac:dyDescent="0.25">
      <c r="A144" s="12"/>
      <c r="B144" s="13"/>
      <c r="C144" s="45"/>
      <c r="D144" s="45"/>
      <c r="E144" s="15"/>
      <c r="F144" s="16"/>
      <c r="G144" s="14"/>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357"/>
      <c r="AP144" s="29"/>
    </row>
    <row r="145" spans="1:42" outlineLevel="1" x14ac:dyDescent="0.25">
      <c r="A145" s="12"/>
      <c r="B145" s="13"/>
      <c r="C145" s="14"/>
      <c r="D145" s="14"/>
      <c r="E145" s="15"/>
      <c r="F145" s="16"/>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7"/>
    </row>
    <row r="146" spans="1:42" outlineLevel="1" x14ac:dyDescent="0.25">
      <c r="A146" s="12"/>
      <c r="B146" s="13"/>
      <c r="C146" s="19"/>
      <c r="D146" s="19"/>
      <c r="E146" s="15"/>
      <c r="F146" s="16"/>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7"/>
    </row>
    <row r="147" spans="1:42" outlineLevel="1" x14ac:dyDescent="0.25">
      <c r="A147" s="12"/>
      <c r="B147" s="13"/>
      <c r="C147" s="37" t="s">
        <v>515</v>
      </c>
      <c r="D147" s="37"/>
      <c r="E147" s="38"/>
      <c r="F147" s="39"/>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17"/>
    </row>
    <row r="148" spans="1:42" outlineLevel="1" x14ac:dyDescent="0.25">
      <c r="A148" s="12"/>
      <c r="B148" s="13"/>
      <c r="C148" s="20" t="s">
        <v>516</v>
      </c>
      <c r="D148" s="45"/>
      <c r="E148" s="15"/>
      <c r="F148" s="16"/>
      <c r="G148" s="165"/>
      <c r="H148" s="165"/>
      <c r="I148" s="165"/>
      <c r="J148" s="165"/>
      <c r="K148" s="165"/>
      <c r="L148" s="165"/>
      <c r="M148" s="165"/>
      <c r="N148" s="165"/>
      <c r="O148" s="165"/>
      <c r="P148" s="165"/>
      <c r="Q148" s="165"/>
      <c r="R148" s="165"/>
      <c r="S148" s="165"/>
      <c r="T148" s="165"/>
      <c r="U148" s="28"/>
      <c r="V148" s="28"/>
      <c r="W148" s="28"/>
      <c r="X148" s="28"/>
      <c r="Y148" s="28"/>
      <c r="Z148" s="28"/>
      <c r="AA148" s="28"/>
      <c r="AB148" s="28"/>
      <c r="AC148" s="28"/>
      <c r="AD148" s="28"/>
      <c r="AE148" s="28"/>
      <c r="AF148" s="28"/>
      <c r="AG148" s="28"/>
      <c r="AH148" s="28"/>
      <c r="AI148" s="28"/>
      <c r="AJ148" s="28"/>
      <c r="AK148" s="28"/>
      <c r="AL148" s="28"/>
      <c r="AM148" s="28"/>
      <c r="AN148" s="28"/>
      <c r="AO148" s="357"/>
      <c r="AP148" s="29"/>
    </row>
    <row r="149" spans="1:42" outlineLevel="1" x14ac:dyDescent="0.25">
      <c r="A149" s="12"/>
      <c r="B149" s="13"/>
      <c r="C149" s="45" t="s">
        <v>517</v>
      </c>
      <c r="D149" s="45"/>
      <c r="E149" s="15" t="s">
        <v>342</v>
      </c>
      <c r="F149" s="179">
        <f>Data!$E$138</f>
        <v>100000</v>
      </c>
      <c r="G149" s="165"/>
      <c r="H149" s="165"/>
      <c r="I149" s="165"/>
      <c r="J149" s="165"/>
      <c r="K149" s="165"/>
      <c r="L149" s="165"/>
      <c r="M149" s="165"/>
      <c r="N149" s="165"/>
      <c r="O149" s="165"/>
      <c r="P149" s="165"/>
      <c r="Q149" s="165"/>
      <c r="R149" s="165"/>
      <c r="S149" s="165"/>
      <c r="T149" s="165"/>
      <c r="U149" s="28"/>
      <c r="V149" s="28"/>
      <c r="W149" s="28"/>
      <c r="X149" s="28"/>
      <c r="Y149" s="28"/>
      <c r="Z149" s="28"/>
      <c r="AA149" s="28"/>
      <c r="AB149" s="28"/>
      <c r="AC149" s="28"/>
      <c r="AD149" s="28"/>
      <c r="AE149" s="28"/>
      <c r="AF149" s="28"/>
      <c r="AG149" s="28"/>
      <c r="AH149" s="28"/>
      <c r="AI149" s="28"/>
      <c r="AJ149" s="28"/>
      <c r="AK149" s="28"/>
      <c r="AL149" s="28"/>
      <c r="AM149" s="28"/>
      <c r="AN149" s="28"/>
      <c r="AO149" s="357"/>
      <c r="AP149" s="29"/>
    </row>
    <row r="150" spans="1:42" outlineLevel="1" x14ac:dyDescent="0.25">
      <c r="A150" s="12"/>
      <c r="B150" s="13"/>
      <c r="C150" s="45" t="s">
        <v>518</v>
      </c>
      <c r="D150" s="45"/>
      <c r="E150" s="15" t="s">
        <v>142</v>
      </c>
      <c r="F150" s="179"/>
      <c r="G150" s="186">
        <f>F149*Data!$G$16/1000</f>
        <v>8700</v>
      </c>
      <c r="H150" s="165"/>
      <c r="I150" s="165"/>
      <c r="J150" s="165"/>
      <c r="K150" s="165"/>
      <c r="L150" s="165"/>
      <c r="M150" s="165"/>
      <c r="N150" s="165"/>
      <c r="O150" s="165"/>
      <c r="P150" s="165"/>
      <c r="Q150" s="165"/>
      <c r="R150" s="165"/>
      <c r="S150" s="165"/>
      <c r="T150" s="165"/>
      <c r="U150" s="28"/>
      <c r="V150" s="28"/>
      <c r="W150" s="28"/>
      <c r="X150" s="28"/>
      <c r="Y150" s="28"/>
      <c r="Z150" s="28"/>
      <c r="AA150" s="28"/>
      <c r="AB150" s="28"/>
      <c r="AC150" s="28"/>
      <c r="AD150" s="28"/>
      <c r="AE150" s="28"/>
      <c r="AF150" s="28"/>
      <c r="AG150" s="28"/>
      <c r="AH150" s="28"/>
      <c r="AI150" s="28"/>
      <c r="AJ150" s="28"/>
      <c r="AK150" s="28"/>
      <c r="AL150" s="28"/>
      <c r="AM150" s="28"/>
      <c r="AN150" s="28"/>
      <c r="AO150" s="357"/>
      <c r="AP150" s="29"/>
    </row>
    <row r="151" spans="1:42" outlineLevel="1" x14ac:dyDescent="0.25">
      <c r="A151" s="12"/>
      <c r="B151" s="13"/>
      <c r="C151" s="45" t="s">
        <v>518</v>
      </c>
      <c r="D151" s="45"/>
      <c r="E151" s="15" t="s">
        <v>261</v>
      </c>
      <c r="F151" s="179"/>
      <c r="G151" s="184">
        <f>G150/(SUM(H103:AN103))</f>
        <v>8.44988344988345E-3</v>
      </c>
      <c r="H151" s="165"/>
      <c r="I151" s="165"/>
      <c r="J151" s="165"/>
      <c r="K151" s="165"/>
      <c r="L151" s="165"/>
      <c r="M151" s="165"/>
      <c r="N151" s="165"/>
      <c r="O151" s="165"/>
      <c r="P151" s="165"/>
      <c r="Q151" s="165"/>
      <c r="R151" s="165"/>
      <c r="S151" s="165"/>
      <c r="T151" s="165"/>
      <c r="U151" s="28"/>
      <c r="V151" s="28"/>
      <c r="W151" s="28"/>
      <c r="X151" s="28"/>
      <c r="Y151" s="28"/>
      <c r="Z151" s="28"/>
      <c r="AA151" s="28"/>
      <c r="AB151" s="28"/>
      <c r="AC151" s="28"/>
      <c r="AD151" s="28"/>
      <c r="AE151" s="28"/>
      <c r="AF151" s="28"/>
      <c r="AG151" s="28"/>
      <c r="AH151" s="28"/>
      <c r="AI151" s="28"/>
      <c r="AJ151" s="28"/>
      <c r="AK151" s="28"/>
      <c r="AL151" s="28"/>
      <c r="AM151" s="28"/>
      <c r="AN151" s="28"/>
      <c r="AO151" s="357"/>
      <c r="AP151" s="29"/>
    </row>
    <row r="152" spans="1:42" outlineLevel="1" x14ac:dyDescent="0.25">
      <c r="A152" s="12"/>
      <c r="B152" s="13"/>
      <c r="C152" s="20" t="s">
        <v>519</v>
      </c>
      <c r="D152" s="19"/>
      <c r="E152" s="15"/>
      <c r="F152" s="16"/>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7"/>
    </row>
    <row r="153" spans="1:42" outlineLevel="1" x14ac:dyDescent="0.25">
      <c r="A153" s="12"/>
      <c r="B153" s="13"/>
      <c r="C153" t="s">
        <v>520</v>
      </c>
      <c r="D153" s="14"/>
      <c r="E153" s="15" t="s">
        <v>521</v>
      </c>
      <c r="F153" s="16"/>
      <c r="G153" s="20" t="s">
        <v>522</v>
      </c>
      <c r="H153" s="141"/>
      <c r="I153" s="141">
        <f>I103</f>
        <v>51480</v>
      </c>
      <c r="J153" s="141">
        <f t="shared" ref="J153:AB153" si="22">J103</f>
        <v>51480</v>
      </c>
      <c r="K153" s="141">
        <f t="shared" si="22"/>
        <v>51480</v>
      </c>
      <c r="L153" s="141">
        <f t="shared" si="22"/>
        <v>51480</v>
      </c>
      <c r="M153" s="141">
        <f t="shared" si="22"/>
        <v>51480</v>
      </c>
      <c r="N153" s="141">
        <f t="shared" si="22"/>
        <v>51480</v>
      </c>
      <c r="O153" s="141">
        <f t="shared" si="22"/>
        <v>51480</v>
      </c>
      <c r="P153" s="141">
        <f t="shared" si="22"/>
        <v>51480</v>
      </c>
      <c r="Q153" s="141">
        <f t="shared" si="22"/>
        <v>51480</v>
      </c>
      <c r="R153" s="141">
        <f t="shared" si="22"/>
        <v>51480</v>
      </c>
      <c r="S153" s="141">
        <f t="shared" si="22"/>
        <v>51480</v>
      </c>
      <c r="T153" s="141">
        <f t="shared" si="22"/>
        <v>51480</v>
      </c>
      <c r="U153" s="141">
        <f t="shared" si="22"/>
        <v>51480</v>
      </c>
      <c r="V153" s="141">
        <f t="shared" si="22"/>
        <v>51480</v>
      </c>
      <c r="W153" s="141">
        <f t="shared" si="22"/>
        <v>51480</v>
      </c>
      <c r="X153" s="141">
        <f t="shared" si="22"/>
        <v>51480</v>
      </c>
      <c r="Y153" s="141">
        <f t="shared" si="22"/>
        <v>51480</v>
      </c>
      <c r="Z153" s="141">
        <f t="shared" si="22"/>
        <v>51480</v>
      </c>
      <c r="AA153" s="141">
        <f t="shared" si="22"/>
        <v>51480</v>
      </c>
      <c r="AB153" s="141">
        <f t="shared" si="22"/>
        <v>51480</v>
      </c>
      <c r="AC153" s="141"/>
      <c r="AD153" s="141"/>
      <c r="AE153" s="141"/>
      <c r="AF153" s="141"/>
      <c r="AG153" s="141"/>
      <c r="AH153" s="141"/>
      <c r="AI153" s="141"/>
      <c r="AJ153" s="141"/>
      <c r="AK153" s="141"/>
      <c r="AL153" s="141"/>
      <c r="AM153" s="141"/>
      <c r="AN153" s="141"/>
      <c r="AO153" s="141"/>
      <c r="AP153" s="17"/>
    </row>
    <row r="154" spans="1:42" outlineLevel="1" x14ac:dyDescent="0.25">
      <c r="A154" s="12"/>
      <c r="B154" s="13"/>
      <c r="C154" s="14" t="s">
        <v>483</v>
      </c>
      <c r="D154" s="14"/>
      <c r="E154" s="15"/>
      <c r="F154" s="16"/>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7"/>
    </row>
    <row r="155" spans="1:42" ht="14.25" customHeight="1" outlineLevel="1" x14ac:dyDescent="0.25">
      <c r="A155" s="54"/>
      <c r="B155" s="13"/>
      <c r="C155" s="14" t="s">
        <v>205</v>
      </c>
      <c r="D155" s="14"/>
      <c r="E155" s="70" t="s">
        <v>352</v>
      </c>
      <c r="F155" s="201">
        <f>Data!$E$485/1000</f>
        <v>4.3953694163207466E-3</v>
      </c>
      <c r="G155" s="231">
        <f>SUM(I155:AO155)</f>
        <v>4525.4723510438425</v>
      </c>
      <c r="H155" s="56"/>
      <c r="I155" s="56">
        <f>I$153*$F155</f>
        <v>226.27361755219204</v>
      </c>
      <c r="J155" s="56">
        <f t="shared" ref="J155:AO161" si="23">J$153*$F155</f>
        <v>226.27361755219204</v>
      </c>
      <c r="K155" s="56">
        <f t="shared" si="23"/>
        <v>226.27361755219204</v>
      </c>
      <c r="L155" s="56">
        <f t="shared" si="23"/>
        <v>226.27361755219204</v>
      </c>
      <c r="M155" s="56">
        <f t="shared" si="23"/>
        <v>226.27361755219204</v>
      </c>
      <c r="N155" s="56">
        <f t="shared" si="23"/>
        <v>226.27361755219204</v>
      </c>
      <c r="O155" s="56">
        <f t="shared" si="23"/>
        <v>226.27361755219204</v>
      </c>
      <c r="P155" s="56">
        <f t="shared" si="23"/>
        <v>226.27361755219204</v>
      </c>
      <c r="Q155" s="56">
        <f t="shared" si="23"/>
        <v>226.27361755219204</v>
      </c>
      <c r="R155" s="56">
        <f t="shared" si="23"/>
        <v>226.27361755219204</v>
      </c>
      <c r="S155" s="56">
        <f t="shared" si="23"/>
        <v>226.27361755219204</v>
      </c>
      <c r="T155" s="56">
        <f t="shared" si="23"/>
        <v>226.27361755219204</v>
      </c>
      <c r="U155" s="56">
        <f t="shared" si="23"/>
        <v>226.27361755219204</v>
      </c>
      <c r="V155" s="56">
        <f t="shared" si="23"/>
        <v>226.27361755219204</v>
      </c>
      <c r="W155" s="56">
        <f t="shared" si="23"/>
        <v>226.27361755219204</v>
      </c>
      <c r="X155" s="56">
        <f t="shared" si="23"/>
        <v>226.27361755219204</v>
      </c>
      <c r="Y155" s="56">
        <f t="shared" si="23"/>
        <v>226.27361755219204</v>
      </c>
      <c r="Z155" s="56">
        <f t="shared" si="23"/>
        <v>226.27361755219204</v>
      </c>
      <c r="AA155" s="56">
        <f t="shared" si="23"/>
        <v>226.27361755219204</v>
      </c>
      <c r="AB155" s="56">
        <f t="shared" si="23"/>
        <v>226.27361755219204</v>
      </c>
      <c r="AC155" s="56">
        <f t="shared" si="23"/>
        <v>0</v>
      </c>
      <c r="AD155" s="56">
        <f t="shared" si="23"/>
        <v>0</v>
      </c>
      <c r="AE155" s="56">
        <f t="shared" si="23"/>
        <v>0</v>
      </c>
      <c r="AF155" s="56">
        <f t="shared" si="23"/>
        <v>0</v>
      </c>
      <c r="AG155" s="56">
        <f t="shared" si="23"/>
        <v>0</v>
      </c>
      <c r="AH155" s="56">
        <f t="shared" si="23"/>
        <v>0</v>
      </c>
      <c r="AI155" s="56">
        <f t="shared" si="23"/>
        <v>0</v>
      </c>
      <c r="AJ155" s="56">
        <f t="shared" si="23"/>
        <v>0</v>
      </c>
      <c r="AK155" s="56">
        <f t="shared" si="23"/>
        <v>0</v>
      </c>
      <c r="AL155" s="56">
        <f t="shared" si="23"/>
        <v>0</v>
      </c>
      <c r="AM155" s="56">
        <f t="shared" si="23"/>
        <v>0</v>
      </c>
      <c r="AN155" s="56">
        <f t="shared" si="23"/>
        <v>0</v>
      </c>
      <c r="AO155" s="68">
        <f t="shared" si="23"/>
        <v>0</v>
      </c>
      <c r="AP155" s="29"/>
    </row>
    <row r="156" spans="1:42" s="140" customFormat="1" ht="14.25" customHeight="1" outlineLevel="1" x14ac:dyDescent="0.25">
      <c r="A156" s="235"/>
      <c r="B156" s="19"/>
      <c r="C156" s="20" t="s">
        <v>484</v>
      </c>
      <c r="D156" s="20"/>
      <c r="E156" s="236" t="s">
        <v>352</v>
      </c>
      <c r="F156" s="201">
        <f>Data!$E$486/1000</f>
        <v>2.7723529845073447</v>
      </c>
      <c r="G156" s="231">
        <f t="shared" ref="G156:G168" si="24">SUM(I156:AO156)</f>
        <v>2854414.632848762</v>
      </c>
      <c r="H156" s="231"/>
      <c r="I156" s="56">
        <f t="shared" ref="I156:X161" si="25">I$153*$F156</f>
        <v>142720.7316424381</v>
      </c>
      <c r="J156" s="56">
        <f t="shared" si="25"/>
        <v>142720.7316424381</v>
      </c>
      <c r="K156" s="56">
        <f t="shared" si="25"/>
        <v>142720.7316424381</v>
      </c>
      <c r="L156" s="56">
        <f t="shared" si="25"/>
        <v>142720.7316424381</v>
      </c>
      <c r="M156" s="56">
        <f t="shared" si="25"/>
        <v>142720.7316424381</v>
      </c>
      <c r="N156" s="56">
        <f t="shared" si="25"/>
        <v>142720.7316424381</v>
      </c>
      <c r="O156" s="56">
        <f t="shared" si="25"/>
        <v>142720.7316424381</v>
      </c>
      <c r="P156" s="56">
        <f t="shared" si="25"/>
        <v>142720.7316424381</v>
      </c>
      <c r="Q156" s="56">
        <f t="shared" si="25"/>
        <v>142720.7316424381</v>
      </c>
      <c r="R156" s="56">
        <f t="shared" si="25"/>
        <v>142720.7316424381</v>
      </c>
      <c r="S156" s="56">
        <f t="shared" si="25"/>
        <v>142720.7316424381</v>
      </c>
      <c r="T156" s="56">
        <f t="shared" si="25"/>
        <v>142720.7316424381</v>
      </c>
      <c r="U156" s="56">
        <f t="shared" si="25"/>
        <v>142720.7316424381</v>
      </c>
      <c r="V156" s="56">
        <f t="shared" si="25"/>
        <v>142720.7316424381</v>
      </c>
      <c r="W156" s="56">
        <f t="shared" si="25"/>
        <v>142720.7316424381</v>
      </c>
      <c r="X156" s="56">
        <f t="shared" si="25"/>
        <v>142720.7316424381</v>
      </c>
      <c r="Y156" s="56">
        <f t="shared" si="23"/>
        <v>142720.7316424381</v>
      </c>
      <c r="Z156" s="56">
        <f t="shared" si="23"/>
        <v>142720.7316424381</v>
      </c>
      <c r="AA156" s="56">
        <f t="shared" si="23"/>
        <v>142720.7316424381</v>
      </c>
      <c r="AB156" s="56">
        <f t="shared" si="23"/>
        <v>142720.7316424381</v>
      </c>
      <c r="AC156" s="56">
        <f t="shared" si="23"/>
        <v>0</v>
      </c>
      <c r="AD156" s="56">
        <f t="shared" si="23"/>
        <v>0</v>
      </c>
      <c r="AE156" s="56">
        <f t="shared" si="23"/>
        <v>0</v>
      </c>
      <c r="AF156" s="56">
        <f t="shared" si="23"/>
        <v>0</v>
      </c>
      <c r="AG156" s="56">
        <f t="shared" si="23"/>
        <v>0</v>
      </c>
      <c r="AH156" s="56">
        <f t="shared" si="23"/>
        <v>0</v>
      </c>
      <c r="AI156" s="56">
        <f t="shared" si="23"/>
        <v>0</v>
      </c>
      <c r="AJ156" s="56">
        <f t="shared" si="23"/>
        <v>0</v>
      </c>
      <c r="AK156" s="56">
        <f t="shared" si="23"/>
        <v>0</v>
      </c>
      <c r="AL156" s="56">
        <f t="shared" si="23"/>
        <v>0</v>
      </c>
      <c r="AM156" s="56">
        <f t="shared" si="23"/>
        <v>0</v>
      </c>
      <c r="AN156" s="56">
        <f t="shared" si="23"/>
        <v>0</v>
      </c>
      <c r="AO156" s="68">
        <f t="shared" si="23"/>
        <v>0</v>
      </c>
      <c r="AP156" s="50"/>
    </row>
    <row r="157" spans="1:42" outlineLevel="1" x14ac:dyDescent="0.25">
      <c r="A157" s="54"/>
      <c r="B157" s="13"/>
      <c r="C157" s="14" t="s">
        <v>285</v>
      </c>
      <c r="D157" s="14"/>
      <c r="E157" s="70" t="s">
        <v>352</v>
      </c>
      <c r="F157" s="201">
        <f>Data!$E$487/1000</f>
        <v>3.4917477856892727E-4</v>
      </c>
      <c r="G157" s="231">
        <f t="shared" si="24"/>
        <v>359.51035201456756</v>
      </c>
      <c r="H157" s="56"/>
      <c r="I157" s="56">
        <f t="shared" si="25"/>
        <v>17.975517600728377</v>
      </c>
      <c r="J157" s="56">
        <f t="shared" si="23"/>
        <v>17.975517600728377</v>
      </c>
      <c r="K157" s="56">
        <f t="shared" si="23"/>
        <v>17.975517600728377</v>
      </c>
      <c r="L157" s="56">
        <f t="shared" si="23"/>
        <v>17.975517600728377</v>
      </c>
      <c r="M157" s="56">
        <f t="shared" si="23"/>
        <v>17.975517600728377</v>
      </c>
      <c r="N157" s="56">
        <f t="shared" si="23"/>
        <v>17.975517600728377</v>
      </c>
      <c r="O157" s="56">
        <f t="shared" si="23"/>
        <v>17.975517600728377</v>
      </c>
      <c r="P157" s="56">
        <f t="shared" si="23"/>
        <v>17.975517600728377</v>
      </c>
      <c r="Q157" s="56">
        <f t="shared" si="23"/>
        <v>17.975517600728377</v>
      </c>
      <c r="R157" s="56">
        <f t="shared" si="23"/>
        <v>17.975517600728377</v>
      </c>
      <c r="S157" s="56">
        <f t="shared" si="23"/>
        <v>17.975517600728377</v>
      </c>
      <c r="T157" s="56">
        <f t="shared" si="23"/>
        <v>17.975517600728377</v>
      </c>
      <c r="U157" s="56">
        <f t="shared" si="23"/>
        <v>17.975517600728377</v>
      </c>
      <c r="V157" s="56">
        <f t="shared" si="23"/>
        <v>17.975517600728377</v>
      </c>
      <c r="W157" s="56">
        <f t="shared" si="23"/>
        <v>17.975517600728377</v>
      </c>
      <c r="X157" s="56">
        <f t="shared" si="23"/>
        <v>17.975517600728377</v>
      </c>
      <c r="Y157" s="56">
        <f t="shared" si="23"/>
        <v>17.975517600728377</v>
      </c>
      <c r="Z157" s="56">
        <f t="shared" si="23"/>
        <v>17.975517600728377</v>
      </c>
      <c r="AA157" s="56">
        <f t="shared" si="23"/>
        <v>17.975517600728377</v>
      </c>
      <c r="AB157" s="56">
        <f t="shared" si="23"/>
        <v>17.975517600728377</v>
      </c>
      <c r="AC157" s="56">
        <f t="shared" si="23"/>
        <v>0</v>
      </c>
      <c r="AD157" s="56">
        <f t="shared" si="23"/>
        <v>0</v>
      </c>
      <c r="AE157" s="56">
        <f t="shared" si="23"/>
        <v>0</v>
      </c>
      <c r="AF157" s="56">
        <f t="shared" si="23"/>
        <v>0</v>
      </c>
      <c r="AG157" s="56">
        <f t="shared" si="23"/>
        <v>0</v>
      </c>
      <c r="AH157" s="56">
        <f t="shared" si="23"/>
        <v>0</v>
      </c>
      <c r="AI157" s="56">
        <f t="shared" si="23"/>
        <v>0</v>
      </c>
      <c r="AJ157" s="56">
        <f t="shared" si="23"/>
        <v>0</v>
      </c>
      <c r="AK157" s="56">
        <f t="shared" si="23"/>
        <v>0</v>
      </c>
      <c r="AL157" s="56">
        <f t="shared" si="23"/>
        <v>0</v>
      </c>
      <c r="AM157" s="56">
        <f t="shared" si="23"/>
        <v>0</v>
      </c>
      <c r="AN157" s="56">
        <f t="shared" si="23"/>
        <v>0</v>
      </c>
      <c r="AO157" s="68">
        <f t="shared" si="23"/>
        <v>0</v>
      </c>
      <c r="AP157" s="29"/>
    </row>
    <row r="158" spans="1:42" outlineLevel="1" x14ac:dyDescent="0.25">
      <c r="A158" s="54"/>
      <c r="B158" s="13"/>
      <c r="C158" s="14" t="s">
        <v>220</v>
      </c>
      <c r="D158" s="14"/>
      <c r="E158" s="70" t="s">
        <v>352</v>
      </c>
      <c r="F158" s="201">
        <f>Data!$E$488/1000</f>
        <v>1.5499642131509336E-2</v>
      </c>
      <c r="G158" s="231">
        <f t="shared" si="24"/>
        <v>15958.431538602015</v>
      </c>
      <c r="H158" s="56"/>
      <c r="I158" s="56">
        <f t="shared" si="25"/>
        <v>797.92157693010063</v>
      </c>
      <c r="J158" s="56">
        <f t="shared" si="23"/>
        <v>797.92157693010063</v>
      </c>
      <c r="K158" s="56">
        <f t="shared" si="23"/>
        <v>797.92157693010063</v>
      </c>
      <c r="L158" s="56">
        <f t="shared" si="23"/>
        <v>797.92157693010063</v>
      </c>
      <c r="M158" s="56">
        <f t="shared" si="23"/>
        <v>797.92157693010063</v>
      </c>
      <c r="N158" s="56">
        <f t="shared" si="23"/>
        <v>797.92157693010063</v>
      </c>
      <c r="O158" s="56">
        <f t="shared" si="23"/>
        <v>797.92157693010063</v>
      </c>
      <c r="P158" s="56">
        <f t="shared" si="23"/>
        <v>797.92157693010063</v>
      </c>
      <c r="Q158" s="56">
        <f t="shared" si="23"/>
        <v>797.92157693010063</v>
      </c>
      <c r="R158" s="56">
        <f t="shared" si="23"/>
        <v>797.92157693010063</v>
      </c>
      <c r="S158" s="56">
        <f t="shared" si="23"/>
        <v>797.92157693010063</v>
      </c>
      <c r="T158" s="56">
        <f t="shared" si="23"/>
        <v>797.92157693010063</v>
      </c>
      <c r="U158" s="56">
        <f t="shared" si="23"/>
        <v>797.92157693010063</v>
      </c>
      <c r="V158" s="56">
        <f t="shared" si="23"/>
        <v>797.92157693010063</v>
      </c>
      <c r="W158" s="56">
        <f t="shared" si="23"/>
        <v>797.92157693010063</v>
      </c>
      <c r="X158" s="56">
        <f t="shared" si="23"/>
        <v>797.92157693010063</v>
      </c>
      <c r="Y158" s="56">
        <f t="shared" si="23"/>
        <v>797.92157693010063</v>
      </c>
      <c r="Z158" s="56">
        <f t="shared" si="23"/>
        <v>797.92157693010063</v>
      </c>
      <c r="AA158" s="56">
        <f t="shared" si="23"/>
        <v>797.92157693010063</v>
      </c>
      <c r="AB158" s="56">
        <f t="shared" si="23"/>
        <v>797.92157693010063</v>
      </c>
      <c r="AC158" s="56">
        <f t="shared" si="23"/>
        <v>0</v>
      </c>
      <c r="AD158" s="56">
        <f t="shared" si="23"/>
        <v>0</v>
      </c>
      <c r="AE158" s="56">
        <f t="shared" si="23"/>
        <v>0</v>
      </c>
      <c r="AF158" s="56">
        <f t="shared" si="23"/>
        <v>0</v>
      </c>
      <c r="AG158" s="56">
        <f t="shared" si="23"/>
        <v>0</v>
      </c>
      <c r="AH158" s="56">
        <f t="shared" si="23"/>
        <v>0</v>
      </c>
      <c r="AI158" s="56">
        <f t="shared" si="23"/>
        <v>0</v>
      </c>
      <c r="AJ158" s="56">
        <f t="shared" si="23"/>
        <v>0</v>
      </c>
      <c r="AK158" s="56">
        <f t="shared" si="23"/>
        <v>0</v>
      </c>
      <c r="AL158" s="56">
        <f t="shared" si="23"/>
        <v>0</v>
      </c>
      <c r="AM158" s="56">
        <f t="shared" si="23"/>
        <v>0</v>
      </c>
      <c r="AN158" s="56">
        <f t="shared" si="23"/>
        <v>0</v>
      </c>
      <c r="AO158" s="68">
        <f t="shared" si="23"/>
        <v>0</v>
      </c>
      <c r="AP158" s="29"/>
    </row>
    <row r="159" spans="1:42" outlineLevel="1" x14ac:dyDescent="0.25">
      <c r="A159" s="54"/>
      <c r="B159" s="13"/>
      <c r="C159" s="14" t="s">
        <v>212</v>
      </c>
      <c r="D159" s="14"/>
      <c r="E159" s="70" t="s">
        <v>352</v>
      </c>
      <c r="F159" s="201">
        <f>Data!$E$489/1000</f>
        <v>1.7773516852597467E-3</v>
      </c>
      <c r="G159" s="231">
        <f t="shared" si="24"/>
        <v>1829.9612951434349</v>
      </c>
      <c r="H159" s="56"/>
      <c r="I159" s="56">
        <f t="shared" si="25"/>
        <v>91.498064757171761</v>
      </c>
      <c r="J159" s="56">
        <f t="shared" si="23"/>
        <v>91.498064757171761</v>
      </c>
      <c r="K159" s="56">
        <f t="shared" si="23"/>
        <v>91.498064757171761</v>
      </c>
      <c r="L159" s="56">
        <f t="shared" si="23"/>
        <v>91.498064757171761</v>
      </c>
      <c r="M159" s="56">
        <f t="shared" si="23"/>
        <v>91.498064757171761</v>
      </c>
      <c r="N159" s="56">
        <f t="shared" si="23"/>
        <v>91.498064757171761</v>
      </c>
      <c r="O159" s="56">
        <f t="shared" si="23"/>
        <v>91.498064757171761</v>
      </c>
      <c r="P159" s="56">
        <f t="shared" si="23"/>
        <v>91.498064757171761</v>
      </c>
      <c r="Q159" s="56">
        <f t="shared" si="23"/>
        <v>91.498064757171761</v>
      </c>
      <c r="R159" s="56">
        <f t="shared" si="23"/>
        <v>91.498064757171761</v>
      </c>
      <c r="S159" s="56">
        <f t="shared" si="23"/>
        <v>91.498064757171761</v>
      </c>
      <c r="T159" s="56">
        <f t="shared" si="23"/>
        <v>91.498064757171761</v>
      </c>
      <c r="U159" s="56">
        <f t="shared" si="23"/>
        <v>91.498064757171761</v>
      </c>
      <c r="V159" s="56">
        <f t="shared" si="23"/>
        <v>91.498064757171761</v>
      </c>
      <c r="W159" s="56">
        <f t="shared" si="23"/>
        <v>91.498064757171761</v>
      </c>
      <c r="X159" s="56">
        <f t="shared" si="23"/>
        <v>91.498064757171761</v>
      </c>
      <c r="Y159" s="56">
        <f t="shared" si="23"/>
        <v>91.498064757171761</v>
      </c>
      <c r="Z159" s="56">
        <f t="shared" si="23"/>
        <v>91.498064757171761</v>
      </c>
      <c r="AA159" s="56">
        <f t="shared" si="23"/>
        <v>91.498064757171761</v>
      </c>
      <c r="AB159" s="56">
        <f t="shared" si="23"/>
        <v>91.498064757171761</v>
      </c>
      <c r="AC159" s="56">
        <f t="shared" si="23"/>
        <v>0</v>
      </c>
      <c r="AD159" s="56">
        <f t="shared" si="23"/>
        <v>0</v>
      </c>
      <c r="AE159" s="56">
        <f t="shared" si="23"/>
        <v>0</v>
      </c>
      <c r="AF159" s="56">
        <f t="shared" si="23"/>
        <v>0</v>
      </c>
      <c r="AG159" s="56">
        <f t="shared" si="23"/>
        <v>0</v>
      </c>
      <c r="AH159" s="56">
        <f t="shared" si="23"/>
        <v>0</v>
      </c>
      <c r="AI159" s="56">
        <f t="shared" si="23"/>
        <v>0</v>
      </c>
      <c r="AJ159" s="56">
        <f t="shared" si="23"/>
        <v>0</v>
      </c>
      <c r="AK159" s="56">
        <f t="shared" si="23"/>
        <v>0</v>
      </c>
      <c r="AL159" s="56">
        <f t="shared" si="23"/>
        <v>0</v>
      </c>
      <c r="AM159" s="56">
        <f t="shared" si="23"/>
        <v>0</v>
      </c>
      <c r="AN159" s="56">
        <f t="shared" si="23"/>
        <v>0</v>
      </c>
      <c r="AO159" s="68">
        <f t="shared" si="23"/>
        <v>0</v>
      </c>
      <c r="AP159" s="29"/>
    </row>
    <row r="160" spans="1:42" outlineLevel="1" x14ac:dyDescent="0.25">
      <c r="A160" s="54"/>
      <c r="B160" s="13"/>
      <c r="C160" s="14" t="s">
        <v>485</v>
      </c>
      <c r="D160" s="14"/>
      <c r="E160" s="70" t="s">
        <v>352</v>
      </c>
      <c r="F160" s="201">
        <f>Data!$E$490/1000</f>
        <v>3.8228686252612731E-4</v>
      </c>
      <c r="G160" s="231">
        <f t="shared" si="24"/>
        <v>393.60255365690057</v>
      </c>
      <c r="H160" s="56"/>
      <c r="I160" s="56">
        <f t="shared" si="25"/>
        <v>19.680127682845033</v>
      </c>
      <c r="J160" s="56">
        <f t="shared" si="23"/>
        <v>19.680127682845033</v>
      </c>
      <c r="K160" s="56">
        <f t="shared" si="23"/>
        <v>19.680127682845033</v>
      </c>
      <c r="L160" s="56">
        <f t="shared" si="23"/>
        <v>19.680127682845033</v>
      </c>
      <c r="M160" s="56">
        <f t="shared" si="23"/>
        <v>19.680127682845033</v>
      </c>
      <c r="N160" s="56">
        <f t="shared" si="23"/>
        <v>19.680127682845033</v>
      </c>
      <c r="O160" s="56">
        <f t="shared" si="23"/>
        <v>19.680127682845033</v>
      </c>
      <c r="P160" s="56">
        <f t="shared" si="23"/>
        <v>19.680127682845033</v>
      </c>
      <c r="Q160" s="56">
        <f t="shared" si="23"/>
        <v>19.680127682845033</v>
      </c>
      <c r="R160" s="56">
        <f t="shared" si="23"/>
        <v>19.680127682845033</v>
      </c>
      <c r="S160" s="56">
        <f t="shared" si="23"/>
        <v>19.680127682845033</v>
      </c>
      <c r="T160" s="56">
        <f t="shared" si="23"/>
        <v>19.680127682845033</v>
      </c>
      <c r="U160" s="56">
        <f t="shared" si="23"/>
        <v>19.680127682845033</v>
      </c>
      <c r="V160" s="56">
        <f t="shared" si="23"/>
        <v>19.680127682845033</v>
      </c>
      <c r="W160" s="56">
        <f t="shared" si="23"/>
        <v>19.680127682845033</v>
      </c>
      <c r="X160" s="56">
        <f t="shared" si="23"/>
        <v>19.680127682845033</v>
      </c>
      <c r="Y160" s="56">
        <f t="shared" si="23"/>
        <v>19.680127682845033</v>
      </c>
      <c r="Z160" s="56">
        <f t="shared" si="23"/>
        <v>19.680127682845033</v>
      </c>
      <c r="AA160" s="56">
        <f t="shared" si="23"/>
        <v>19.680127682845033</v>
      </c>
      <c r="AB160" s="56">
        <f t="shared" si="23"/>
        <v>19.680127682845033</v>
      </c>
      <c r="AC160" s="56">
        <f t="shared" si="23"/>
        <v>0</v>
      </c>
      <c r="AD160" s="56">
        <f t="shared" si="23"/>
        <v>0</v>
      </c>
      <c r="AE160" s="56">
        <f t="shared" si="23"/>
        <v>0</v>
      </c>
      <c r="AF160" s="56">
        <f t="shared" si="23"/>
        <v>0</v>
      </c>
      <c r="AG160" s="56">
        <f t="shared" si="23"/>
        <v>0</v>
      </c>
      <c r="AH160" s="56">
        <f t="shared" si="23"/>
        <v>0</v>
      </c>
      <c r="AI160" s="56">
        <f t="shared" si="23"/>
        <v>0</v>
      </c>
      <c r="AJ160" s="56">
        <f t="shared" si="23"/>
        <v>0</v>
      </c>
      <c r="AK160" s="56">
        <f t="shared" si="23"/>
        <v>0</v>
      </c>
      <c r="AL160" s="56">
        <f t="shared" si="23"/>
        <v>0</v>
      </c>
      <c r="AM160" s="56">
        <f t="shared" si="23"/>
        <v>0</v>
      </c>
      <c r="AN160" s="56">
        <f t="shared" si="23"/>
        <v>0</v>
      </c>
      <c r="AO160" s="68">
        <f t="shared" si="23"/>
        <v>0</v>
      </c>
      <c r="AP160" s="29"/>
    </row>
    <row r="161" spans="1:42" outlineLevel="1" x14ac:dyDescent="0.25">
      <c r="A161" s="54"/>
      <c r="B161" s="13"/>
      <c r="C161" s="14" t="s">
        <v>214</v>
      </c>
      <c r="D161" s="14"/>
      <c r="E161" s="70" t="s">
        <v>352</v>
      </c>
      <c r="F161" s="201">
        <f>Data!$E$491/1000</f>
        <v>4.1005175397632309E-5</v>
      </c>
      <c r="G161" s="231">
        <f t="shared" si="24"/>
        <v>42.218928589402225</v>
      </c>
      <c r="H161" s="56"/>
      <c r="I161" s="56">
        <f t="shared" si="25"/>
        <v>2.1109464294701112</v>
      </c>
      <c r="J161" s="56">
        <f t="shared" si="23"/>
        <v>2.1109464294701112</v>
      </c>
      <c r="K161" s="56">
        <f t="shared" si="23"/>
        <v>2.1109464294701112</v>
      </c>
      <c r="L161" s="56">
        <f t="shared" si="23"/>
        <v>2.1109464294701112</v>
      </c>
      <c r="M161" s="56">
        <f t="shared" si="23"/>
        <v>2.1109464294701112</v>
      </c>
      <c r="N161" s="56">
        <f t="shared" si="23"/>
        <v>2.1109464294701112</v>
      </c>
      <c r="O161" s="56">
        <f t="shared" si="23"/>
        <v>2.1109464294701112</v>
      </c>
      <c r="P161" s="56">
        <f t="shared" si="23"/>
        <v>2.1109464294701112</v>
      </c>
      <c r="Q161" s="56">
        <f t="shared" si="23"/>
        <v>2.1109464294701112</v>
      </c>
      <c r="R161" s="56">
        <f t="shared" si="23"/>
        <v>2.1109464294701112</v>
      </c>
      <c r="S161" s="56">
        <f t="shared" si="23"/>
        <v>2.1109464294701112</v>
      </c>
      <c r="T161" s="56">
        <f t="shared" si="23"/>
        <v>2.1109464294701112</v>
      </c>
      <c r="U161" s="56">
        <f t="shared" si="23"/>
        <v>2.1109464294701112</v>
      </c>
      <c r="V161" s="56">
        <f t="shared" si="23"/>
        <v>2.1109464294701112</v>
      </c>
      <c r="W161" s="56">
        <f t="shared" si="23"/>
        <v>2.1109464294701112</v>
      </c>
      <c r="X161" s="56">
        <f t="shared" si="23"/>
        <v>2.1109464294701112</v>
      </c>
      <c r="Y161" s="56">
        <f t="shared" si="23"/>
        <v>2.1109464294701112</v>
      </c>
      <c r="Z161" s="56">
        <f t="shared" si="23"/>
        <v>2.1109464294701112</v>
      </c>
      <c r="AA161" s="56">
        <f t="shared" si="23"/>
        <v>2.1109464294701112</v>
      </c>
      <c r="AB161" s="56">
        <f t="shared" si="23"/>
        <v>2.1109464294701112</v>
      </c>
      <c r="AC161" s="56">
        <f t="shared" si="23"/>
        <v>0</v>
      </c>
      <c r="AD161" s="56">
        <f t="shared" si="23"/>
        <v>0</v>
      </c>
      <c r="AE161" s="56">
        <f t="shared" si="23"/>
        <v>0</v>
      </c>
      <c r="AF161" s="56">
        <f t="shared" si="23"/>
        <v>0</v>
      </c>
      <c r="AG161" s="56">
        <f t="shared" si="23"/>
        <v>0</v>
      </c>
      <c r="AH161" s="56">
        <f t="shared" si="23"/>
        <v>0</v>
      </c>
      <c r="AI161" s="56">
        <f t="shared" si="23"/>
        <v>0</v>
      </c>
      <c r="AJ161" s="56">
        <f t="shared" si="23"/>
        <v>0</v>
      </c>
      <c r="AK161" s="56">
        <f t="shared" si="23"/>
        <v>0</v>
      </c>
      <c r="AL161" s="56">
        <f t="shared" si="23"/>
        <v>0</v>
      </c>
      <c r="AM161" s="56">
        <f t="shared" si="23"/>
        <v>0</v>
      </c>
      <c r="AN161" s="56">
        <f t="shared" si="23"/>
        <v>0</v>
      </c>
      <c r="AO161" s="68">
        <f t="shared" si="23"/>
        <v>0</v>
      </c>
      <c r="AP161" s="29"/>
    </row>
    <row r="162" spans="1:42" outlineLevel="1" x14ac:dyDescent="0.25">
      <c r="A162" s="12"/>
      <c r="B162" s="13"/>
      <c r="C162" s="14"/>
      <c r="D162" s="14"/>
      <c r="E162" s="15"/>
      <c r="F162" s="16"/>
      <c r="G162" s="231">
        <f t="shared" si="24"/>
        <v>0</v>
      </c>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4"/>
      <c r="AI162" s="14"/>
      <c r="AJ162" s="14"/>
      <c r="AK162" s="14"/>
      <c r="AL162" s="14"/>
      <c r="AM162" s="14"/>
      <c r="AN162" s="14"/>
      <c r="AO162" s="14"/>
      <c r="AP162" s="17"/>
    </row>
    <row r="163" spans="1:42" outlineLevel="1" x14ac:dyDescent="0.25">
      <c r="A163" s="54"/>
      <c r="B163" s="13"/>
      <c r="C163" s="14" t="s">
        <v>205</v>
      </c>
      <c r="D163" s="14"/>
      <c r="E163" s="70" t="s">
        <v>474</v>
      </c>
      <c r="F163" s="200">
        <f>Data!$E$35/1000</f>
        <v>3.4099438202247192E-3</v>
      </c>
      <c r="G163" s="231">
        <f t="shared" si="24"/>
        <v>15.431606477039777</v>
      </c>
      <c r="H163" s="56"/>
      <c r="I163" s="56">
        <f>I$155*$F163</f>
        <v>0.77158032385198883</v>
      </c>
      <c r="J163" s="56">
        <f t="shared" ref="J163:AO163" si="26">J$155*$F163</f>
        <v>0.77158032385198883</v>
      </c>
      <c r="K163" s="56">
        <f t="shared" si="26"/>
        <v>0.77158032385198883</v>
      </c>
      <c r="L163" s="56">
        <f t="shared" si="26"/>
        <v>0.77158032385198883</v>
      </c>
      <c r="M163" s="56">
        <f t="shared" si="26"/>
        <v>0.77158032385198883</v>
      </c>
      <c r="N163" s="56">
        <f t="shared" si="26"/>
        <v>0.77158032385198883</v>
      </c>
      <c r="O163" s="56">
        <f t="shared" si="26"/>
        <v>0.77158032385198883</v>
      </c>
      <c r="P163" s="56">
        <f t="shared" si="26"/>
        <v>0.77158032385198883</v>
      </c>
      <c r="Q163" s="56">
        <f t="shared" si="26"/>
        <v>0.77158032385198883</v>
      </c>
      <c r="R163" s="56">
        <f t="shared" si="26"/>
        <v>0.77158032385198883</v>
      </c>
      <c r="S163" s="56">
        <f t="shared" si="26"/>
        <v>0.77158032385198883</v>
      </c>
      <c r="T163" s="56">
        <f t="shared" si="26"/>
        <v>0.77158032385198883</v>
      </c>
      <c r="U163" s="56">
        <f t="shared" si="26"/>
        <v>0.77158032385198883</v>
      </c>
      <c r="V163" s="56">
        <f t="shared" si="26"/>
        <v>0.77158032385198883</v>
      </c>
      <c r="W163" s="56">
        <f t="shared" si="26"/>
        <v>0.77158032385198883</v>
      </c>
      <c r="X163" s="56">
        <f t="shared" si="26"/>
        <v>0.77158032385198883</v>
      </c>
      <c r="Y163" s="56">
        <f t="shared" si="26"/>
        <v>0.77158032385198883</v>
      </c>
      <c r="Z163" s="56">
        <f t="shared" si="26"/>
        <v>0.77158032385198883</v>
      </c>
      <c r="AA163" s="56">
        <f t="shared" si="26"/>
        <v>0.77158032385198883</v>
      </c>
      <c r="AB163" s="56">
        <f t="shared" si="26"/>
        <v>0.77158032385198883</v>
      </c>
      <c r="AC163" s="56">
        <f t="shared" si="26"/>
        <v>0</v>
      </c>
      <c r="AD163" s="56">
        <f t="shared" si="26"/>
        <v>0</v>
      </c>
      <c r="AE163" s="56">
        <f t="shared" si="26"/>
        <v>0</v>
      </c>
      <c r="AF163" s="56">
        <f t="shared" si="26"/>
        <v>0</v>
      </c>
      <c r="AG163" s="56">
        <f t="shared" si="26"/>
        <v>0</v>
      </c>
      <c r="AH163" s="56">
        <f t="shared" si="26"/>
        <v>0</v>
      </c>
      <c r="AI163" s="56">
        <f t="shared" si="26"/>
        <v>0</v>
      </c>
      <c r="AJ163" s="56">
        <f t="shared" si="26"/>
        <v>0</v>
      </c>
      <c r="AK163" s="56">
        <f t="shared" si="26"/>
        <v>0</v>
      </c>
      <c r="AL163" s="56">
        <f t="shared" si="26"/>
        <v>0</v>
      </c>
      <c r="AM163" s="56">
        <f t="shared" si="26"/>
        <v>0</v>
      </c>
      <c r="AN163" s="56">
        <f t="shared" si="26"/>
        <v>0</v>
      </c>
      <c r="AO163" s="68">
        <f t="shared" si="26"/>
        <v>0</v>
      </c>
      <c r="AP163" s="29"/>
    </row>
    <row r="164" spans="1:42" outlineLevel="1" x14ac:dyDescent="0.25">
      <c r="A164" s="54"/>
      <c r="B164" s="13"/>
      <c r="C164" s="14" t="s">
        <v>484</v>
      </c>
      <c r="D164" s="14"/>
      <c r="E164" s="70" t="s">
        <v>474</v>
      </c>
      <c r="F164" s="200"/>
      <c r="G164" s="231">
        <f>SUM(I164:AO164)</f>
        <v>493242.84855626611</v>
      </c>
      <c r="H164" s="56"/>
      <c r="I164" s="56">
        <f>I$156*Data!H$16/1000</f>
        <v>13843.910969316496</v>
      </c>
      <c r="J164" s="56">
        <f>J$156*Data!I$16/1000</f>
        <v>15271.118285740877</v>
      </c>
      <c r="K164" s="56">
        <f>K$156*Data!J$16/1000</f>
        <v>16555.60487052282</v>
      </c>
      <c r="L164" s="56">
        <f>L$156*Data!K$16/1000</f>
        <v>17982.812186947202</v>
      </c>
      <c r="M164" s="56">
        <f>M$156*Data!L$16/1000</f>
        <v>19410.019503371583</v>
      </c>
      <c r="N164" s="56">
        <f>N$156*Data!M$16/1000</f>
        <v>20837.226819795964</v>
      </c>
      <c r="O164" s="56">
        <f>O$156*Data!N$16/1000</f>
        <v>22121.713404577902</v>
      </c>
      <c r="P164" s="56">
        <f>P$156*Data!O$16/1000</f>
        <v>22978.037794432537</v>
      </c>
      <c r="Q164" s="56">
        <f>Q$156*Data!P$16/1000</f>
        <v>23834.362184287162</v>
      </c>
      <c r="R164" s="56">
        <f>R$156*Data!Q$16/1000</f>
        <v>24833.407305784229</v>
      </c>
      <c r="S164" s="56">
        <f>S$156*Data!R$16/1000</f>
        <v>25689.731695638857</v>
      </c>
      <c r="T164" s="56">
        <f>T$156*Data!S$16/1000</f>
        <v>26546.056085493485</v>
      </c>
      <c r="U164" s="56">
        <f>U$156*Data!T$16/1000</f>
        <v>27402.380475348116</v>
      </c>
      <c r="V164" s="56">
        <f>V$156*Data!U$16/1000</f>
        <v>28258.704865202744</v>
      </c>
      <c r="W164" s="56">
        <f>W$156*Data!V$16/1000</f>
        <v>29115.029255057372</v>
      </c>
      <c r="X164" s="56">
        <f>X$156*Data!W$16/1000</f>
        <v>29971.353644912</v>
      </c>
      <c r="Y164" s="56">
        <f>Y$156*Data!X$16/1000</f>
        <v>30827.678034766628</v>
      </c>
      <c r="Z164" s="56">
        <f>Z$156*Data!Y$16/1000</f>
        <v>31684.00242462126</v>
      </c>
      <c r="AA164" s="56">
        <f>AA$156*Data!Z$16/1000</f>
        <v>32540.326814475888</v>
      </c>
      <c r="AB164" s="56">
        <f>AB$156*Data!AA$16/1000</f>
        <v>33539.371935972951</v>
      </c>
      <c r="AC164" s="56">
        <f>AC$156*Data!AB$16/1000</f>
        <v>0</v>
      </c>
      <c r="AD164" s="56">
        <f>AD$156*Data!AC$16/1000</f>
        <v>0</v>
      </c>
      <c r="AE164" s="56">
        <f>AE$156*Data!AD$16/1000</f>
        <v>0</v>
      </c>
      <c r="AF164" s="56">
        <f>AF$156*Data!AE$16/1000</f>
        <v>0</v>
      </c>
      <c r="AG164" s="56">
        <f>AG$156*Data!AF$16/1000</f>
        <v>0</v>
      </c>
      <c r="AH164" s="56">
        <f>AH$156*Data!AG$16/1000</f>
        <v>0</v>
      </c>
      <c r="AI164" s="56">
        <f>AI$156*Data!AH$16/1000</f>
        <v>0</v>
      </c>
      <c r="AJ164" s="56">
        <f>AJ$156*Data!AI$16/1000</f>
        <v>0</v>
      </c>
      <c r="AK164" s="56">
        <f>AK$156*Data!AJ$16/1000</f>
        <v>0</v>
      </c>
      <c r="AL164" s="56">
        <f>AL$156*Data!AK$16/1000</f>
        <v>0</v>
      </c>
      <c r="AM164" s="56">
        <f>AM$156*Data!AL$16/1000</f>
        <v>0</v>
      </c>
      <c r="AN164" s="56">
        <f>AN$156*Data!AM$16/1000</f>
        <v>0</v>
      </c>
      <c r="AO164" s="68">
        <f>AO$156*Data!AN$16/1000</f>
        <v>0</v>
      </c>
      <c r="AP164" s="29"/>
    </row>
    <row r="165" spans="1:42" outlineLevel="1" x14ac:dyDescent="0.25">
      <c r="A165" s="54"/>
      <c r="B165" s="13"/>
      <c r="C165" s="14" t="s">
        <v>285</v>
      </c>
      <c r="D165" s="14"/>
      <c r="E165" s="70" t="s">
        <v>474</v>
      </c>
      <c r="F165" s="200">
        <f>Data!$E$36/1000</f>
        <v>1.0822865168539326</v>
      </c>
      <c r="G165" s="231">
        <f t="shared" si="24"/>
        <v>389.09320665477742</v>
      </c>
      <c r="H165" s="56"/>
      <c r="I165" s="56">
        <f>I$157*$F165</f>
        <v>19.454660332738875</v>
      </c>
      <c r="J165" s="56">
        <f t="shared" ref="J165:AO165" si="27">J$157*$F165</f>
        <v>19.454660332738875</v>
      </c>
      <c r="K165" s="56">
        <f t="shared" si="27"/>
        <v>19.454660332738875</v>
      </c>
      <c r="L165" s="56">
        <f t="shared" si="27"/>
        <v>19.454660332738875</v>
      </c>
      <c r="M165" s="56">
        <f t="shared" si="27"/>
        <v>19.454660332738875</v>
      </c>
      <c r="N165" s="56">
        <f t="shared" si="27"/>
        <v>19.454660332738875</v>
      </c>
      <c r="O165" s="56">
        <f t="shared" si="27"/>
        <v>19.454660332738875</v>
      </c>
      <c r="P165" s="56">
        <f t="shared" si="27"/>
        <v>19.454660332738875</v>
      </c>
      <c r="Q165" s="56">
        <f t="shared" si="27"/>
        <v>19.454660332738875</v>
      </c>
      <c r="R165" s="56">
        <f t="shared" si="27"/>
        <v>19.454660332738875</v>
      </c>
      <c r="S165" s="56">
        <f t="shared" si="27"/>
        <v>19.454660332738875</v>
      </c>
      <c r="T165" s="56">
        <f t="shared" si="27"/>
        <v>19.454660332738875</v>
      </c>
      <c r="U165" s="56">
        <f t="shared" si="27"/>
        <v>19.454660332738875</v>
      </c>
      <c r="V165" s="56">
        <f t="shared" si="27"/>
        <v>19.454660332738875</v>
      </c>
      <c r="W165" s="56">
        <f t="shared" si="27"/>
        <v>19.454660332738875</v>
      </c>
      <c r="X165" s="56">
        <f t="shared" si="27"/>
        <v>19.454660332738875</v>
      </c>
      <c r="Y165" s="56">
        <f t="shared" si="27"/>
        <v>19.454660332738875</v>
      </c>
      <c r="Z165" s="56">
        <f t="shared" si="27"/>
        <v>19.454660332738875</v>
      </c>
      <c r="AA165" s="56">
        <f t="shared" si="27"/>
        <v>19.454660332738875</v>
      </c>
      <c r="AB165" s="56">
        <f t="shared" si="27"/>
        <v>19.454660332738875</v>
      </c>
      <c r="AC165" s="56">
        <f t="shared" si="27"/>
        <v>0</v>
      </c>
      <c r="AD165" s="56">
        <f t="shared" si="27"/>
        <v>0</v>
      </c>
      <c r="AE165" s="56">
        <f t="shared" si="27"/>
        <v>0</v>
      </c>
      <c r="AF165" s="56">
        <f t="shared" si="27"/>
        <v>0</v>
      </c>
      <c r="AG165" s="56">
        <f t="shared" si="27"/>
        <v>0</v>
      </c>
      <c r="AH165" s="56">
        <f t="shared" si="27"/>
        <v>0</v>
      </c>
      <c r="AI165" s="56">
        <f t="shared" si="27"/>
        <v>0</v>
      </c>
      <c r="AJ165" s="56">
        <f t="shared" si="27"/>
        <v>0</v>
      </c>
      <c r="AK165" s="56">
        <f t="shared" si="27"/>
        <v>0</v>
      </c>
      <c r="AL165" s="56">
        <f t="shared" si="27"/>
        <v>0</v>
      </c>
      <c r="AM165" s="56">
        <f t="shared" si="27"/>
        <v>0</v>
      </c>
      <c r="AN165" s="56">
        <f t="shared" si="27"/>
        <v>0</v>
      </c>
      <c r="AO165" s="68">
        <f t="shared" si="27"/>
        <v>0</v>
      </c>
      <c r="AP165" s="29"/>
    </row>
    <row r="166" spans="1:42" outlineLevel="1" x14ac:dyDescent="0.25">
      <c r="A166" s="54"/>
      <c r="B166" s="13"/>
      <c r="C166" s="14" t="s">
        <v>220</v>
      </c>
      <c r="D166" s="14"/>
      <c r="E166" s="70" t="s">
        <v>474</v>
      </c>
      <c r="F166" s="200">
        <f>Data!$E$37/1000</f>
        <v>371.00188764044947</v>
      </c>
      <c r="G166" s="231">
        <f t="shared" si="24"/>
        <v>5920608.224602229</v>
      </c>
      <c r="H166" s="56"/>
      <c r="I166" s="56">
        <f>I$158*$F166</f>
        <v>296030.41123011144</v>
      </c>
      <c r="J166" s="56">
        <f t="shared" ref="J166:AO166" si="28">J$158*$F166</f>
        <v>296030.41123011144</v>
      </c>
      <c r="K166" s="56">
        <f t="shared" si="28"/>
        <v>296030.41123011144</v>
      </c>
      <c r="L166" s="56">
        <f t="shared" si="28"/>
        <v>296030.41123011144</v>
      </c>
      <c r="M166" s="56">
        <f t="shared" si="28"/>
        <v>296030.41123011144</v>
      </c>
      <c r="N166" s="56">
        <f t="shared" si="28"/>
        <v>296030.41123011144</v>
      </c>
      <c r="O166" s="56">
        <f t="shared" si="28"/>
        <v>296030.41123011144</v>
      </c>
      <c r="P166" s="56">
        <f t="shared" si="28"/>
        <v>296030.41123011144</v>
      </c>
      <c r="Q166" s="56">
        <f t="shared" si="28"/>
        <v>296030.41123011144</v>
      </c>
      <c r="R166" s="56">
        <f t="shared" si="28"/>
        <v>296030.41123011144</v>
      </c>
      <c r="S166" s="56">
        <f t="shared" si="28"/>
        <v>296030.41123011144</v>
      </c>
      <c r="T166" s="56">
        <f t="shared" si="28"/>
        <v>296030.41123011144</v>
      </c>
      <c r="U166" s="56">
        <f t="shared" si="28"/>
        <v>296030.41123011144</v>
      </c>
      <c r="V166" s="56">
        <f t="shared" si="28"/>
        <v>296030.41123011144</v>
      </c>
      <c r="W166" s="56">
        <f t="shared" si="28"/>
        <v>296030.41123011144</v>
      </c>
      <c r="X166" s="56">
        <f t="shared" si="28"/>
        <v>296030.41123011144</v>
      </c>
      <c r="Y166" s="56">
        <f t="shared" si="28"/>
        <v>296030.41123011144</v>
      </c>
      <c r="Z166" s="56">
        <f t="shared" si="28"/>
        <v>296030.41123011144</v>
      </c>
      <c r="AA166" s="56">
        <f t="shared" si="28"/>
        <v>296030.41123011144</v>
      </c>
      <c r="AB166" s="56">
        <f t="shared" si="28"/>
        <v>296030.41123011144</v>
      </c>
      <c r="AC166" s="56">
        <f t="shared" si="28"/>
        <v>0</v>
      </c>
      <c r="AD166" s="56">
        <f t="shared" si="28"/>
        <v>0</v>
      </c>
      <c r="AE166" s="56">
        <f t="shared" si="28"/>
        <v>0</v>
      </c>
      <c r="AF166" s="56">
        <f t="shared" si="28"/>
        <v>0</v>
      </c>
      <c r="AG166" s="56">
        <f t="shared" si="28"/>
        <v>0</v>
      </c>
      <c r="AH166" s="56">
        <f t="shared" si="28"/>
        <v>0</v>
      </c>
      <c r="AI166" s="56">
        <f t="shared" si="28"/>
        <v>0</v>
      </c>
      <c r="AJ166" s="56">
        <f t="shared" si="28"/>
        <v>0</v>
      </c>
      <c r="AK166" s="56">
        <f t="shared" si="28"/>
        <v>0</v>
      </c>
      <c r="AL166" s="56">
        <f t="shared" si="28"/>
        <v>0</v>
      </c>
      <c r="AM166" s="56">
        <f t="shared" si="28"/>
        <v>0</v>
      </c>
      <c r="AN166" s="56">
        <f t="shared" si="28"/>
        <v>0</v>
      </c>
      <c r="AO166" s="68">
        <f t="shared" si="28"/>
        <v>0</v>
      </c>
      <c r="AP166" s="29"/>
    </row>
    <row r="167" spans="1:42" outlineLevel="1" x14ac:dyDescent="0.25">
      <c r="A167" s="54"/>
      <c r="B167" s="13"/>
      <c r="C167" s="14" t="s">
        <v>212</v>
      </c>
      <c r="D167" s="14"/>
      <c r="E167" s="70" t="s">
        <v>474</v>
      </c>
      <c r="F167" s="200">
        <f>Data!$E$39/1000</f>
        <v>0</v>
      </c>
      <c r="G167" s="231">
        <f t="shared" si="24"/>
        <v>0</v>
      </c>
      <c r="H167" s="56"/>
      <c r="I167" s="56">
        <f>I$159*$F167</f>
        <v>0</v>
      </c>
      <c r="J167" s="56">
        <f t="shared" ref="J167:AO167" si="29">J$159*$F167</f>
        <v>0</v>
      </c>
      <c r="K167" s="56">
        <f t="shared" si="29"/>
        <v>0</v>
      </c>
      <c r="L167" s="56">
        <f t="shared" si="29"/>
        <v>0</v>
      </c>
      <c r="M167" s="56">
        <f t="shared" si="29"/>
        <v>0</v>
      </c>
      <c r="N167" s="56">
        <f t="shared" si="29"/>
        <v>0</v>
      </c>
      <c r="O167" s="56">
        <f t="shared" si="29"/>
        <v>0</v>
      </c>
      <c r="P167" s="56">
        <f t="shared" si="29"/>
        <v>0</v>
      </c>
      <c r="Q167" s="56">
        <f t="shared" si="29"/>
        <v>0</v>
      </c>
      <c r="R167" s="56">
        <f t="shared" si="29"/>
        <v>0</v>
      </c>
      <c r="S167" s="56">
        <f t="shared" si="29"/>
        <v>0</v>
      </c>
      <c r="T167" s="56">
        <f t="shared" si="29"/>
        <v>0</v>
      </c>
      <c r="U167" s="56">
        <f t="shared" si="29"/>
        <v>0</v>
      </c>
      <c r="V167" s="56">
        <f t="shared" si="29"/>
        <v>0</v>
      </c>
      <c r="W167" s="56">
        <f t="shared" si="29"/>
        <v>0</v>
      </c>
      <c r="X167" s="56">
        <f t="shared" si="29"/>
        <v>0</v>
      </c>
      <c r="Y167" s="56">
        <f t="shared" si="29"/>
        <v>0</v>
      </c>
      <c r="Z167" s="56">
        <f t="shared" si="29"/>
        <v>0</v>
      </c>
      <c r="AA167" s="56">
        <f t="shared" si="29"/>
        <v>0</v>
      </c>
      <c r="AB167" s="56">
        <f t="shared" si="29"/>
        <v>0</v>
      </c>
      <c r="AC167" s="56">
        <f t="shared" si="29"/>
        <v>0</v>
      </c>
      <c r="AD167" s="56">
        <f t="shared" si="29"/>
        <v>0</v>
      </c>
      <c r="AE167" s="56">
        <f t="shared" si="29"/>
        <v>0</v>
      </c>
      <c r="AF167" s="56">
        <f t="shared" si="29"/>
        <v>0</v>
      </c>
      <c r="AG167" s="56">
        <f t="shared" si="29"/>
        <v>0</v>
      </c>
      <c r="AH167" s="56">
        <f t="shared" si="29"/>
        <v>0</v>
      </c>
      <c r="AI167" s="56">
        <f t="shared" si="29"/>
        <v>0</v>
      </c>
      <c r="AJ167" s="56">
        <f t="shared" si="29"/>
        <v>0</v>
      </c>
      <c r="AK167" s="56">
        <f t="shared" si="29"/>
        <v>0</v>
      </c>
      <c r="AL167" s="56">
        <f t="shared" si="29"/>
        <v>0</v>
      </c>
      <c r="AM167" s="56">
        <f t="shared" si="29"/>
        <v>0</v>
      </c>
      <c r="AN167" s="56">
        <f t="shared" si="29"/>
        <v>0</v>
      </c>
      <c r="AO167" s="68">
        <f t="shared" si="29"/>
        <v>0</v>
      </c>
      <c r="AP167" s="29"/>
    </row>
    <row r="168" spans="1:42" outlineLevel="1" x14ac:dyDescent="0.25">
      <c r="A168" s="54"/>
      <c r="B168" s="13"/>
      <c r="C168" s="14" t="s">
        <v>485</v>
      </c>
      <c r="D168" s="14"/>
      <c r="E168" s="70" t="s">
        <v>474</v>
      </c>
      <c r="F168" s="200">
        <f>Data!$E$40/1000</f>
        <v>605.20914606741576</v>
      </c>
      <c r="G168" s="231">
        <f t="shared" si="24"/>
        <v>238211.86538864698</v>
      </c>
      <c r="H168" s="56"/>
      <c r="I168" s="56">
        <f>I$160*$F168</f>
        <v>11910.593269432351</v>
      </c>
      <c r="J168" s="56">
        <f t="shared" ref="J168:AO168" si="30">J$160*$F168</f>
        <v>11910.593269432351</v>
      </c>
      <c r="K168" s="56">
        <f t="shared" si="30"/>
        <v>11910.593269432351</v>
      </c>
      <c r="L168" s="56">
        <f t="shared" si="30"/>
        <v>11910.593269432351</v>
      </c>
      <c r="M168" s="56">
        <f t="shared" si="30"/>
        <v>11910.593269432351</v>
      </c>
      <c r="N168" s="56">
        <f t="shared" si="30"/>
        <v>11910.593269432351</v>
      </c>
      <c r="O168" s="56">
        <f t="shared" si="30"/>
        <v>11910.593269432351</v>
      </c>
      <c r="P168" s="56">
        <f t="shared" si="30"/>
        <v>11910.593269432351</v>
      </c>
      <c r="Q168" s="56">
        <f t="shared" si="30"/>
        <v>11910.593269432351</v>
      </c>
      <c r="R168" s="56">
        <f t="shared" si="30"/>
        <v>11910.593269432351</v>
      </c>
      <c r="S168" s="56">
        <f t="shared" si="30"/>
        <v>11910.593269432351</v>
      </c>
      <c r="T168" s="56">
        <f t="shared" si="30"/>
        <v>11910.593269432351</v>
      </c>
      <c r="U168" s="56">
        <f t="shared" si="30"/>
        <v>11910.593269432351</v>
      </c>
      <c r="V168" s="56">
        <f t="shared" si="30"/>
        <v>11910.593269432351</v>
      </c>
      <c r="W168" s="56">
        <f t="shared" si="30"/>
        <v>11910.593269432351</v>
      </c>
      <c r="X168" s="56">
        <f t="shared" si="30"/>
        <v>11910.593269432351</v>
      </c>
      <c r="Y168" s="56">
        <f t="shared" si="30"/>
        <v>11910.593269432351</v>
      </c>
      <c r="Z168" s="56">
        <f t="shared" si="30"/>
        <v>11910.593269432351</v>
      </c>
      <c r="AA168" s="56">
        <f t="shared" si="30"/>
        <v>11910.593269432351</v>
      </c>
      <c r="AB168" s="56">
        <f t="shared" si="30"/>
        <v>11910.593269432351</v>
      </c>
      <c r="AC168" s="56">
        <f t="shared" si="30"/>
        <v>0</v>
      </c>
      <c r="AD168" s="56">
        <f t="shared" si="30"/>
        <v>0</v>
      </c>
      <c r="AE168" s="56">
        <f t="shared" si="30"/>
        <v>0</v>
      </c>
      <c r="AF168" s="56">
        <f t="shared" si="30"/>
        <v>0</v>
      </c>
      <c r="AG168" s="56">
        <f t="shared" si="30"/>
        <v>0</v>
      </c>
      <c r="AH168" s="56">
        <f t="shared" si="30"/>
        <v>0</v>
      </c>
      <c r="AI168" s="56">
        <f t="shared" si="30"/>
        <v>0</v>
      </c>
      <c r="AJ168" s="56">
        <f t="shared" si="30"/>
        <v>0</v>
      </c>
      <c r="AK168" s="56">
        <f t="shared" si="30"/>
        <v>0</v>
      </c>
      <c r="AL168" s="56">
        <f t="shared" si="30"/>
        <v>0</v>
      </c>
      <c r="AM168" s="56">
        <f t="shared" si="30"/>
        <v>0</v>
      </c>
      <c r="AN168" s="56">
        <f t="shared" si="30"/>
        <v>0</v>
      </c>
      <c r="AO168" s="68">
        <f t="shared" si="30"/>
        <v>0</v>
      </c>
      <c r="AP168" s="29"/>
    </row>
    <row r="169" spans="1:42" outlineLevel="1" x14ac:dyDescent="0.25">
      <c r="A169" s="54"/>
      <c r="B169" s="13"/>
      <c r="C169" s="14" t="s">
        <v>214</v>
      </c>
      <c r="D169" s="14"/>
      <c r="E169" s="70" t="s">
        <v>474</v>
      </c>
      <c r="F169" s="200">
        <f>Data!$E$41/1000</f>
        <v>0</v>
      </c>
      <c r="G169" s="231">
        <f>SUM(I169:AO169)</f>
        <v>0</v>
      </c>
      <c r="H169" s="56"/>
      <c r="I169" s="56">
        <f>I$161*$F169</f>
        <v>0</v>
      </c>
      <c r="J169" s="56">
        <f t="shared" ref="J169:AO169" si="31">J$161*$F169</f>
        <v>0</v>
      </c>
      <c r="K169" s="56">
        <f t="shared" si="31"/>
        <v>0</v>
      </c>
      <c r="L169" s="56">
        <f t="shared" si="31"/>
        <v>0</v>
      </c>
      <c r="M169" s="56">
        <f t="shared" si="31"/>
        <v>0</v>
      </c>
      <c r="N169" s="56">
        <f t="shared" si="31"/>
        <v>0</v>
      </c>
      <c r="O169" s="56">
        <f t="shared" si="31"/>
        <v>0</v>
      </c>
      <c r="P169" s="56">
        <f t="shared" si="31"/>
        <v>0</v>
      </c>
      <c r="Q169" s="56">
        <f t="shared" si="31"/>
        <v>0</v>
      </c>
      <c r="R169" s="56">
        <f t="shared" si="31"/>
        <v>0</v>
      </c>
      <c r="S169" s="56">
        <f t="shared" si="31"/>
        <v>0</v>
      </c>
      <c r="T169" s="56">
        <f t="shared" si="31"/>
        <v>0</v>
      </c>
      <c r="U169" s="56">
        <f t="shared" si="31"/>
        <v>0</v>
      </c>
      <c r="V169" s="56">
        <f t="shared" si="31"/>
        <v>0</v>
      </c>
      <c r="W169" s="56">
        <f t="shared" si="31"/>
        <v>0</v>
      </c>
      <c r="X169" s="56">
        <f t="shared" si="31"/>
        <v>0</v>
      </c>
      <c r="Y169" s="56">
        <f t="shared" si="31"/>
        <v>0</v>
      </c>
      <c r="Z169" s="56">
        <f t="shared" si="31"/>
        <v>0</v>
      </c>
      <c r="AA169" s="56">
        <f t="shared" si="31"/>
        <v>0</v>
      </c>
      <c r="AB169" s="56">
        <f t="shared" si="31"/>
        <v>0</v>
      </c>
      <c r="AC169" s="56">
        <f t="shared" si="31"/>
        <v>0</v>
      </c>
      <c r="AD169" s="56">
        <f t="shared" si="31"/>
        <v>0</v>
      </c>
      <c r="AE169" s="56">
        <f t="shared" si="31"/>
        <v>0</v>
      </c>
      <c r="AF169" s="56">
        <f t="shared" si="31"/>
        <v>0</v>
      </c>
      <c r="AG169" s="56">
        <f t="shared" si="31"/>
        <v>0</v>
      </c>
      <c r="AH169" s="56">
        <f t="shared" si="31"/>
        <v>0</v>
      </c>
      <c r="AI169" s="56">
        <f t="shared" si="31"/>
        <v>0</v>
      </c>
      <c r="AJ169" s="56">
        <f t="shared" si="31"/>
        <v>0</v>
      </c>
      <c r="AK169" s="56">
        <f t="shared" si="31"/>
        <v>0</v>
      </c>
      <c r="AL169" s="56">
        <f t="shared" si="31"/>
        <v>0</v>
      </c>
      <c r="AM169" s="56">
        <f t="shared" si="31"/>
        <v>0</v>
      </c>
      <c r="AN169" s="56">
        <f t="shared" si="31"/>
        <v>0</v>
      </c>
      <c r="AO169" s="68">
        <f t="shared" si="31"/>
        <v>0</v>
      </c>
      <c r="AP169" s="29"/>
    </row>
    <row r="170" spans="1:42" outlineLevel="1" x14ac:dyDescent="0.25">
      <c r="A170" s="12"/>
      <c r="B170" s="13"/>
      <c r="C170" s="20" t="s">
        <v>486</v>
      </c>
      <c r="D170" s="14"/>
      <c r="E170" s="70" t="s">
        <v>474</v>
      </c>
      <c r="F170" s="16"/>
      <c r="G170" s="231">
        <f>SUM(I170:AO170)</f>
        <v>6652467.4633602751</v>
      </c>
      <c r="H170" s="185"/>
      <c r="I170" s="185">
        <f>SUM(I163:I169)</f>
        <v>321805.14170951687</v>
      </c>
      <c r="J170" s="185">
        <f t="shared" ref="J170:AO170" si="32">SUM(J163:J169)</f>
        <v>323232.34902594128</v>
      </c>
      <c r="K170" s="185">
        <f t="shared" si="32"/>
        <v>324516.83561072324</v>
      </c>
      <c r="L170" s="185">
        <f t="shared" si="32"/>
        <v>325944.04292714759</v>
      </c>
      <c r="M170" s="185">
        <f t="shared" si="32"/>
        <v>327371.25024357199</v>
      </c>
      <c r="N170" s="185">
        <f t="shared" si="32"/>
        <v>328798.45755999634</v>
      </c>
      <c r="O170" s="185">
        <f t="shared" si="32"/>
        <v>330082.9441447783</v>
      </c>
      <c r="P170" s="185">
        <f t="shared" si="32"/>
        <v>330939.26853463292</v>
      </c>
      <c r="Q170" s="185">
        <f t="shared" si="32"/>
        <v>331795.59292448754</v>
      </c>
      <c r="R170" s="185">
        <f t="shared" si="32"/>
        <v>332794.63804598461</v>
      </c>
      <c r="S170" s="185">
        <f t="shared" si="32"/>
        <v>333650.96243583923</v>
      </c>
      <c r="T170" s="185">
        <f t="shared" si="32"/>
        <v>334507.28682569391</v>
      </c>
      <c r="U170" s="185">
        <f t="shared" si="32"/>
        <v>335363.61121554853</v>
      </c>
      <c r="V170" s="185">
        <f t="shared" si="32"/>
        <v>336219.93560540315</v>
      </c>
      <c r="W170" s="185">
        <f t="shared" si="32"/>
        <v>337076.25999525777</v>
      </c>
      <c r="X170" s="185">
        <f t="shared" si="32"/>
        <v>337932.58438511239</v>
      </c>
      <c r="Y170" s="185">
        <f t="shared" si="32"/>
        <v>338788.90877496701</v>
      </c>
      <c r="Z170" s="185">
        <f t="shared" si="32"/>
        <v>339645.23316482164</v>
      </c>
      <c r="AA170" s="185">
        <f t="shared" si="32"/>
        <v>340501.55755467631</v>
      </c>
      <c r="AB170" s="185">
        <f t="shared" si="32"/>
        <v>341500.60267617338</v>
      </c>
      <c r="AC170" s="185">
        <f t="shared" si="32"/>
        <v>0</v>
      </c>
      <c r="AD170" s="185">
        <f t="shared" si="32"/>
        <v>0</v>
      </c>
      <c r="AE170" s="185">
        <f t="shared" si="32"/>
        <v>0</v>
      </c>
      <c r="AF170" s="185">
        <f t="shared" si="32"/>
        <v>0</v>
      </c>
      <c r="AG170" s="185">
        <f t="shared" si="32"/>
        <v>0</v>
      </c>
      <c r="AH170" s="185">
        <f t="shared" si="32"/>
        <v>0</v>
      </c>
      <c r="AI170" s="185">
        <f t="shared" si="32"/>
        <v>0</v>
      </c>
      <c r="AJ170" s="185">
        <f t="shared" si="32"/>
        <v>0</v>
      </c>
      <c r="AK170" s="185">
        <f t="shared" si="32"/>
        <v>0</v>
      </c>
      <c r="AL170" s="185">
        <f t="shared" si="32"/>
        <v>0</v>
      </c>
      <c r="AM170" s="185">
        <f t="shared" si="32"/>
        <v>0</v>
      </c>
      <c r="AN170" s="185">
        <f t="shared" si="32"/>
        <v>0</v>
      </c>
      <c r="AO170" s="185">
        <f t="shared" si="32"/>
        <v>0</v>
      </c>
      <c r="AP170" s="17"/>
    </row>
    <row r="171" spans="1:42" outlineLevel="1" x14ac:dyDescent="0.25">
      <c r="A171" s="12"/>
      <c r="B171" s="13"/>
      <c r="C171" s="14"/>
      <c r="D171" s="14"/>
      <c r="E171" s="15"/>
      <c r="F171" s="16"/>
      <c r="G171" s="159"/>
      <c r="H171" s="159"/>
      <c r="I171" s="159"/>
      <c r="J171" s="159"/>
      <c r="K171" s="159"/>
      <c r="L171" s="159"/>
      <c r="M171" s="159"/>
      <c r="N171" s="159"/>
      <c r="O171" s="159"/>
      <c r="P171" s="159"/>
      <c r="Q171" s="159"/>
      <c r="R171" s="159"/>
      <c r="S171" s="159"/>
      <c r="T171" s="159"/>
      <c r="U171" s="159"/>
      <c r="V171" s="159"/>
      <c r="W171" s="159"/>
      <c r="X171" s="14"/>
      <c r="Y171" s="14"/>
      <c r="Z171" s="14"/>
      <c r="AA171" s="14"/>
      <c r="AB171" s="14"/>
      <c r="AC171" s="14"/>
      <c r="AD171" s="14"/>
      <c r="AE171" s="14"/>
      <c r="AF171" s="14"/>
      <c r="AG171" s="14"/>
      <c r="AH171" s="14"/>
      <c r="AI171" s="14"/>
      <c r="AJ171" s="14"/>
      <c r="AK171" s="14"/>
      <c r="AL171" s="14"/>
      <c r="AM171" s="14"/>
      <c r="AN171" s="14"/>
      <c r="AO171" s="14"/>
      <c r="AP171" s="17"/>
    </row>
    <row r="172" spans="1:42" outlineLevel="1" x14ac:dyDescent="0.25">
      <c r="A172" s="12"/>
      <c r="B172" s="13"/>
      <c r="C172" s="14" t="s">
        <v>523</v>
      </c>
      <c r="D172" s="14"/>
      <c r="E172" s="15" t="s">
        <v>474</v>
      </c>
      <c r="F172" s="48"/>
      <c r="G172" s="185"/>
      <c r="H172" s="185"/>
      <c r="I172" s="185">
        <f>I170*Data!H$9</f>
        <v>309428.02087453543</v>
      </c>
      <c r="J172" s="185">
        <f>J170*Data!I$9</f>
        <v>298846.47654025635</v>
      </c>
      <c r="K172" s="185">
        <f>K170*Data!J$9</f>
        <v>288494.28518534085</v>
      </c>
      <c r="L172" s="185">
        <f>L170*Data!K$9</f>
        <v>278618.33393529861</v>
      </c>
      <c r="M172" s="185">
        <f>M170*Data!L$9</f>
        <v>269075.3045488908</v>
      </c>
      <c r="N172" s="185">
        <f>N170*Data!M$9</f>
        <v>259854.19704733195</v>
      </c>
      <c r="O172" s="185">
        <f>O170*Data!N$9</f>
        <v>250835.90908979875</v>
      </c>
      <c r="P172" s="185">
        <f>P170*Data!O$9</f>
        <v>241814.08196877749</v>
      </c>
      <c r="Q172" s="185">
        <f>Q170*Data!P$9</f>
        <v>233115.18251225821</v>
      </c>
      <c r="R172" s="185">
        <f>R170*Data!Q$9</f>
        <v>224824.13304121807</v>
      </c>
      <c r="S172" s="185">
        <f>S170*Data!R$9</f>
        <v>216733.30299605336</v>
      </c>
      <c r="T172" s="185">
        <f>T170*Data!S$9</f>
        <v>208932.26441436101</v>
      </c>
      <c r="U172" s="185">
        <f>U170*Data!T$9</f>
        <v>201410.69432860351</v>
      </c>
      <c r="V172" s="185">
        <f>V170*Data!U$9</f>
        <v>194158.63516007242</v>
      </c>
      <c r="W172" s="185">
        <f>W170*Data!V$9</f>
        <v>187166.48188271731</v>
      </c>
      <c r="X172" s="185">
        <f>X170*Data!W$9</f>
        <v>180424.96963385688</v>
      </c>
      <c r="Y172" s="185">
        <f>Y170*Data!X$9</f>
        <v>173925.1617563841</v>
      </c>
      <c r="Z172" s="185">
        <f>Z170*Data!Y$9</f>
        <v>167658.43825760172</v>
      </c>
      <c r="AA172" s="185">
        <f>AA170*Data!Z$9</f>
        <v>161616.4846703287</v>
      </c>
      <c r="AB172" s="185">
        <f>AB170*Data!AA$9</f>
        <v>155856.41718127957</v>
      </c>
      <c r="AC172" s="185">
        <f>AC170*Data!AB$9</f>
        <v>0</v>
      </c>
      <c r="AD172" s="185">
        <f>AD170*Data!AC$9</f>
        <v>0</v>
      </c>
      <c r="AE172" s="185">
        <f>AE170*Data!AD$9</f>
        <v>0</v>
      </c>
      <c r="AF172" s="185">
        <f>AF170*Data!AE$9</f>
        <v>0</v>
      </c>
      <c r="AG172" s="185">
        <f>AG170*Data!AF$9</f>
        <v>0</v>
      </c>
      <c r="AH172" s="185">
        <f>AH170*Data!AG$9</f>
        <v>0</v>
      </c>
      <c r="AI172" s="185">
        <f>AI170*Data!AH$9</f>
        <v>0</v>
      </c>
      <c r="AJ172" s="185">
        <f>AJ170*Data!AI$9</f>
        <v>0</v>
      </c>
      <c r="AK172" s="185">
        <f>AK170*Data!AJ$9</f>
        <v>0</v>
      </c>
      <c r="AL172" s="185">
        <f>AL170*Data!AK$9</f>
        <v>0</v>
      </c>
      <c r="AM172" s="185">
        <f>AM170*Data!AL$9</f>
        <v>0</v>
      </c>
      <c r="AN172" s="185">
        <f>AN170*Data!AM$9</f>
        <v>0</v>
      </c>
      <c r="AO172" s="185">
        <f>AO170*Data!AN$9</f>
        <v>0</v>
      </c>
      <c r="AP172" s="17"/>
    </row>
    <row r="173" spans="1:42" outlineLevel="1" x14ac:dyDescent="0.25">
      <c r="A173" s="12"/>
      <c r="B173" s="13"/>
      <c r="C173" s="14" t="s">
        <v>489</v>
      </c>
      <c r="D173" s="13"/>
      <c r="E173" s="15" t="s">
        <v>142</v>
      </c>
      <c r="F173" s="16"/>
      <c r="G173" s="159">
        <f>SUM(H172:AO172)</f>
        <v>4502788.7750249645</v>
      </c>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7"/>
    </row>
    <row r="174" spans="1:42" outlineLevel="1" x14ac:dyDescent="0.25">
      <c r="A174" s="12"/>
      <c r="B174" s="13"/>
      <c r="C174" s="41" t="s">
        <v>62</v>
      </c>
      <c r="D174" s="41"/>
      <c r="E174" s="15" t="s">
        <v>261</v>
      </c>
      <c r="F174" s="16"/>
      <c r="G174" s="184">
        <f>G173/(SUM(H153:AO153))</f>
        <v>4.3733379710809679</v>
      </c>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7"/>
    </row>
    <row r="175" spans="1:42" outlineLevel="1" x14ac:dyDescent="0.25">
      <c r="A175" s="12"/>
      <c r="B175" s="13"/>
      <c r="C175" s="14"/>
      <c r="D175" s="14"/>
      <c r="E175" s="15"/>
      <c r="F175" s="16"/>
      <c r="G175" s="14"/>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356"/>
      <c r="AP175" s="17"/>
    </row>
    <row r="176" spans="1:42" ht="18.75" outlineLevel="1" x14ac:dyDescent="0.3">
      <c r="A176" s="12"/>
      <c r="B176" s="13"/>
      <c r="C176" s="205" t="s">
        <v>524</v>
      </c>
      <c r="D176" s="14"/>
      <c r="E176" s="15" t="s">
        <v>261</v>
      </c>
      <c r="F176" s="16"/>
      <c r="G176" s="204">
        <f>G143+G151+G174</f>
        <v>7.0282470345810744</v>
      </c>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356"/>
      <c r="AP176" s="17"/>
    </row>
    <row r="177" spans="1:42" outlineLevel="1" x14ac:dyDescent="0.25">
      <c r="A177" s="12"/>
      <c r="B177" s="13"/>
      <c r="C177" s="13"/>
      <c r="D177" s="14"/>
      <c r="E177" s="15"/>
      <c r="F177" s="16"/>
      <c r="G177" s="14"/>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356"/>
      <c r="AP177" s="17"/>
    </row>
    <row r="178" spans="1:42" outlineLevel="1" x14ac:dyDescent="0.25">
      <c r="A178" s="23"/>
      <c r="B178" s="23"/>
      <c r="C178" s="24" t="s">
        <v>525</v>
      </c>
      <c r="D178" s="24"/>
      <c r="E178" s="25"/>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7"/>
    </row>
    <row r="179" spans="1:42" outlineLevel="1" x14ac:dyDescent="0.25">
      <c r="A179" s="12"/>
      <c r="B179" s="96"/>
      <c r="C179" s="96"/>
      <c r="D179" s="14"/>
      <c r="E179" s="15"/>
      <c r="F179" s="16"/>
      <c r="G179" s="14"/>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356"/>
      <c r="AP179" s="17"/>
    </row>
    <row r="180" spans="1:42" outlineLevel="1" x14ac:dyDescent="0.25">
      <c r="A180" s="12"/>
      <c r="B180" s="96"/>
      <c r="C180" s="96" t="s">
        <v>526</v>
      </c>
      <c r="D180" s="14"/>
      <c r="E180" s="15" t="s">
        <v>142</v>
      </c>
      <c r="F180" s="16"/>
      <c r="G180" s="159">
        <f>G142</f>
        <v>2724794.3717797096</v>
      </c>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356"/>
      <c r="AP180" s="17"/>
    </row>
    <row r="181" spans="1:42" outlineLevel="1" x14ac:dyDescent="0.25">
      <c r="A181" s="12"/>
      <c r="B181" s="96"/>
      <c r="C181" s="95" t="s">
        <v>527</v>
      </c>
      <c r="D181" s="14"/>
      <c r="E181" s="15" t="s">
        <v>474</v>
      </c>
      <c r="F181" s="16"/>
      <c r="G181" s="185">
        <f>G180/Data!$E$126</f>
        <v>136239.71858898547</v>
      </c>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356"/>
      <c r="AP181" s="17"/>
    </row>
    <row r="182" spans="1:42" outlineLevel="1" x14ac:dyDescent="0.25">
      <c r="A182" s="12"/>
      <c r="B182" s="96"/>
      <c r="C182" s="96" t="s">
        <v>528</v>
      </c>
      <c r="D182" s="14"/>
      <c r="E182" s="15" t="s">
        <v>529</v>
      </c>
      <c r="F182" s="16"/>
      <c r="G182" s="159">
        <f>SUM(I156:AO156)</f>
        <v>2854414.632848762</v>
      </c>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356"/>
      <c r="AP182" s="17"/>
    </row>
    <row r="183" spans="1:42" outlineLevel="1" x14ac:dyDescent="0.25">
      <c r="A183" s="12"/>
      <c r="B183" s="96"/>
      <c r="C183" s="95" t="s">
        <v>530</v>
      </c>
      <c r="D183" s="14"/>
      <c r="E183" s="15" t="s">
        <v>531</v>
      </c>
      <c r="F183" s="16"/>
      <c r="G183" s="231">
        <f>G182/Data!$E$126</f>
        <v>142720.7316424381</v>
      </c>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356"/>
      <c r="AP183" s="17"/>
    </row>
    <row r="184" spans="1:42" outlineLevel="1" x14ac:dyDescent="0.25">
      <c r="A184" s="12"/>
      <c r="B184" s="96"/>
      <c r="C184" s="96"/>
      <c r="D184" s="14"/>
      <c r="E184" s="15"/>
      <c r="F184" s="16"/>
      <c r="G184" s="14"/>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356"/>
      <c r="AP184" s="17"/>
    </row>
    <row r="185" spans="1:42" x14ac:dyDescent="0.25">
      <c r="A185" s="89"/>
      <c r="B185" s="89"/>
      <c r="C185" s="90" t="s">
        <v>174</v>
      </c>
      <c r="D185" s="91"/>
      <c r="E185" s="92"/>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3"/>
    </row>
    <row r="186" spans="1:42" outlineLevel="1" x14ac:dyDescent="0.25">
      <c r="A186" s="23"/>
      <c r="B186" s="23"/>
      <c r="C186" s="24" t="s">
        <v>505</v>
      </c>
      <c r="D186" s="24"/>
      <c r="E186" s="25"/>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7"/>
    </row>
    <row r="187" spans="1:42" outlineLevel="1" x14ac:dyDescent="0.25">
      <c r="A187" s="13"/>
      <c r="B187" s="13"/>
      <c r="C187" s="30"/>
      <c r="D187" s="30"/>
      <c r="E187" s="31"/>
      <c r="F187" s="16"/>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3"/>
    </row>
    <row r="188" spans="1:42" outlineLevel="1" x14ac:dyDescent="0.25">
      <c r="A188" s="12"/>
      <c r="B188" s="13"/>
      <c r="C188" s="14"/>
      <c r="D188" s="14"/>
      <c r="E188" s="15"/>
      <c r="F188" s="16"/>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7"/>
    </row>
    <row r="189" spans="1:42" outlineLevel="1" x14ac:dyDescent="0.25">
      <c r="A189" s="12"/>
      <c r="B189" s="13"/>
      <c r="C189" s="37" t="s">
        <v>506</v>
      </c>
      <c r="D189" s="37"/>
      <c r="E189" s="38"/>
      <c r="F189" s="39"/>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17"/>
    </row>
    <row r="190" spans="1:42" outlineLevel="1" x14ac:dyDescent="0.25">
      <c r="A190" s="12"/>
      <c r="B190" s="13"/>
      <c r="C190" s="41" t="s">
        <v>507</v>
      </c>
      <c r="D190" s="41"/>
      <c r="E190" s="15" t="s">
        <v>465</v>
      </c>
      <c r="F190" s="16"/>
      <c r="G190" s="14"/>
      <c r="H190" s="141"/>
      <c r="I190" s="141">
        <f>Route!I25</f>
        <v>93600</v>
      </c>
      <c r="J190" s="141">
        <f>Route!J25</f>
        <v>93600</v>
      </c>
      <c r="K190" s="141">
        <f>Route!K25</f>
        <v>93600</v>
      </c>
      <c r="L190" s="141">
        <f>Route!L25</f>
        <v>93600</v>
      </c>
      <c r="M190" s="141">
        <f>Route!M25</f>
        <v>93600</v>
      </c>
      <c r="N190" s="141">
        <f>Route!N25</f>
        <v>93600</v>
      </c>
      <c r="O190" s="141">
        <f>Route!O25</f>
        <v>93600</v>
      </c>
      <c r="P190" s="141">
        <f>Route!P25</f>
        <v>93600</v>
      </c>
      <c r="Q190" s="141">
        <f>Route!Q25</f>
        <v>93600</v>
      </c>
      <c r="R190" s="141">
        <f>Route!R25</f>
        <v>93600</v>
      </c>
      <c r="S190" s="141">
        <f>Route!S25</f>
        <v>93600</v>
      </c>
      <c r="T190" s="141">
        <f>Route!T25</f>
        <v>93600</v>
      </c>
      <c r="U190" s="141">
        <f>Route!U25</f>
        <v>93600</v>
      </c>
      <c r="V190" s="141">
        <f>Route!V25</f>
        <v>93600</v>
      </c>
      <c r="W190" s="141">
        <f>Route!W25</f>
        <v>93600</v>
      </c>
      <c r="X190" s="141">
        <f>Route!X25</f>
        <v>93600</v>
      </c>
      <c r="Y190" s="141">
        <f>Route!Y25</f>
        <v>93600</v>
      </c>
      <c r="Z190" s="141">
        <f>Route!Z25</f>
        <v>93600</v>
      </c>
      <c r="AA190" s="141">
        <f>Route!AA25</f>
        <v>93600</v>
      </c>
      <c r="AB190" s="141">
        <f>Route!AB25</f>
        <v>93600</v>
      </c>
      <c r="AC190" s="141"/>
      <c r="AD190" s="141"/>
      <c r="AE190" s="141"/>
      <c r="AF190" s="141"/>
      <c r="AG190" s="141"/>
      <c r="AH190" s="141"/>
      <c r="AI190" s="141"/>
      <c r="AJ190" s="141"/>
      <c r="AK190" s="141"/>
      <c r="AL190" s="141"/>
      <c r="AM190" s="141"/>
      <c r="AN190" s="141"/>
      <c r="AO190" s="141"/>
      <c r="AP190" s="17"/>
    </row>
    <row r="191" spans="1:42" outlineLevel="1" x14ac:dyDescent="0.25">
      <c r="A191" s="12"/>
      <c r="B191" s="13"/>
      <c r="C191" s="41"/>
      <c r="D191" s="41"/>
      <c r="E191" s="15"/>
      <c r="F191" s="16"/>
      <c r="G191" s="14"/>
      <c r="H191" s="141"/>
      <c r="I191" s="141"/>
      <c r="J191" s="141"/>
      <c r="K191" s="141"/>
      <c r="L191" s="141"/>
      <c r="M191" s="141"/>
      <c r="N191" s="141"/>
      <c r="O191" s="141"/>
      <c r="P191" s="141"/>
      <c r="Q191" s="141"/>
      <c r="R191" s="141"/>
      <c r="S191" s="141"/>
      <c r="T191" s="141"/>
      <c r="U191" s="141"/>
      <c r="V191" s="141"/>
      <c r="W191" s="141"/>
      <c r="X191" s="141"/>
      <c r="Y191" s="141"/>
      <c r="Z191" s="141"/>
      <c r="AA191" s="141"/>
      <c r="AB191" s="141"/>
      <c r="AC191" s="14"/>
      <c r="AD191" s="14"/>
      <c r="AE191" s="14"/>
      <c r="AF191" s="14"/>
      <c r="AG191" s="14"/>
      <c r="AH191" s="14"/>
      <c r="AI191" s="14"/>
      <c r="AJ191" s="14"/>
      <c r="AK191" s="14"/>
      <c r="AL191" s="14"/>
      <c r="AM191" s="14"/>
      <c r="AN191" s="14"/>
      <c r="AO191" s="14"/>
      <c r="AP191" s="17"/>
    </row>
    <row r="192" spans="1:42" outlineLevel="1" x14ac:dyDescent="0.25">
      <c r="A192" s="12"/>
      <c r="B192" s="13"/>
      <c r="C192" s="41"/>
      <c r="D192" s="41"/>
      <c r="E192" s="15"/>
      <c r="F192" s="16"/>
      <c r="G192" s="14"/>
      <c r="H192" s="141"/>
      <c r="I192" s="141"/>
      <c r="J192" s="141"/>
      <c r="K192" s="141"/>
      <c r="L192" s="141"/>
      <c r="M192" s="141"/>
      <c r="N192" s="141"/>
      <c r="O192" s="141"/>
      <c r="P192" s="141"/>
      <c r="Q192" s="141"/>
      <c r="R192" s="141"/>
      <c r="S192" s="141"/>
      <c r="T192" s="141"/>
      <c r="U192" s="141"/>
      <c r="V192" s="141"/>
      <c r="W192" s="141"/>
      <c r="X192" s="141"/>
      <c r="Y192" s="141"/>
      <c r="Z192" s="141"/>
      <c r="AA192" s="141"/>
      <c r="AB192" s="141"/>
      <c r="AC192" s="14"/>
      <c r="AD192" s="14"/>
      <c r="AE192" s="14"/>
      <c r="AF192" s="14"/>
      <c r="AG192" s="14"/>
      <c r="AH192" s="14"/>
      <c r="AI192" s="14"/>
      <c r="AJ192" s="14"/>
      <c r="AK192" s="14"/>
      <c r="AL192" s="14"/>
      <c r="AM192" s="14"/>
      <c r="AN192" s="14"/>
      <c r="AO192" s="14"/>
      <c r="AP192" s="17"/>
    </row>
    <row r="193" spans="1:42" outlineLevel="1" x14ac:dyDescent="0.25">
      <c r="A193" s="12"/>
      <c r="B193" s="13"/>
      <c r="C193" s="14"/>
      <c r="D193" s="14"/>
      <c r="E193" s="15"/>
      <c r="F193" s="16"/>
      <c r="G193" s="14"/>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356"/>
      <c r="AP193" s="17"/>
    </row>
    <row r="194" spans="1:42" outlineLevel="1" x14ac:dyDescent="0.25">
      <c r="A194" s="12"/>
      <c r="B194" s="13"/>
      <c r="C194" s="14"/>
      <c r="D194" s="14"/>
      <c r="E194" s="15"/>
      <c r="F194" s="16"/>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7"/>
    </row>
    <row r="195" spans="1:42" outlineLevel="1" x14ac:dyDescent="0.25">
      <c r="A195" s="12"/>
      <c r="B195" s="13"/>
      <c r="C195" s="37" t="s">
        <v>508</v>
      </c>
      <c r="D195" s="37"/>
      <c r="E195" s="38"/>
      <c r="F195" s="39"/>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17"/>
    </row>
    <row r="196" spans="1:42" outlineLevel="1" x14ac:dyDescent="0.25">
      <c r="A196" s="12"/>
      <c r="B196" s="13"/>
      <c r="C196" s="95" t="s">
        <v>254</v>
      </c>
      <c r="D196" s="14"/>
      <c r="E196" s="15"/>
      <c r="F196" s="16"/>
      <c r="G196" s="14"/>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356"/>
      <c r="AP196" s="29"/>
    </row>
    <row r="197" spans="1:42" outlineLevel="1" x14ac:dyDescent="0.25">
      <c r="A197" s="12"/>
      <c r="B197" s="13"/>
      <c r="C197" s="96" t="s">
        <v>120</v>
      </c>
      <c r="D197" s="14"/>
      <c r="E197" s="15" t="s">
        <v>142</v>
      </c>
      <c r="F197" s="158" t="str">
        <f>Dashboard!$I$63</f>
        <v>3 Axle Double Decker Bus</v>
      </c>
      <c r="G197" s="14"/>
      <c r="H197" s="150">
        <f>IF(C197=F197,Data!$E$112,0)</f>
        <v>0</v>
      </c>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356"/>
      <c r="AP197" s="29"/>
    </row>
    <row r="198" spans="1:42" outlineLevel="1" x14ac:dyDescent="0.25">
      <c r="A198" s="12"/>
      <c r="B198" s="13"/>
      <c r="C198" s="96" t="s">
        <v>124</v>
      </c>
      <c r="D198" s="14"/>
      <c r="E198" s="15" t="s">
        <v>142</v>
      </c>
      <c r="F198" s="158" t="str">
        <f>Dashboard!$I$63</f>
        <v>3 Axle Double Decker Bus</v>
      </c>
      <c r="G198" s="14"/>
      <c r="H198" s="150">
        <f>IF(C198=F198,Data!$E$113,0)</f>
        <v>0</v>
      </c>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356"/>
      <c r="AP198" s="29"/>
    </row>
    <row r="199" spans="1:42" outlineLevel="1" x14ac:dyDescent="0.25">
      <c r="A199" s="12"/>
      <c r="B199" s="13"/>
      <c r="C199" s="96" t="s">
        <v>126</v>
      </c>
      <c r="D199" s="14"/>
      <c r="E199" s="15" t="s">
        <v>142</v>
      </c>
      <c r="F199" s="158" t="str">
        <f>Dashboard!$I$63</f>
        <v>3 Axle Double Decker Bus</v>
      </c>
      <c r="G199" s="14"/>
      <c r="H199" s="150">
        <f>IF(C199=F199,Data!$E$114,0)</f>
        <v>700000</v>
      </c>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356"/>
      <c r="AP199" s="29"/>
    </row>
    <row r="200" spans="1:42" outlineLevel="1" x14ac:dyDescent="0.25">
      <c r="A200" s="12"/>
      <c r="B200" s="13"/>
      <c r="C200" s="20" t="s">
        <v>509</v>
      </c>
      <c r="D200" s="14"/>
      <c r="E200" s="15" t="s">
        <v>142</v>
      </c>
      <c r="F200" s="16"/>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7"/>
    </row>
    <row r="201" spans="1:42" outlineLevel="1" x14ac:dyDescent="0.25">
      <c r="A201" s="12"/>
      <c r="B201" s="13"/>
      <c r="C201" s="45"/>
      <c r="D201" s="45"/>
      <c r="E201" s="15"/>
      <c r="F201" s="16"/>
      <c r="G201" s="14"/>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357"/>
      <c r="AP201" s="29"/>
    </row>
    <row r="202" spans="1:42" outlineLevel="1" x14ac:dyDescent="0.25">
      <c r="A202" s="12"/>
      <c r="B202" s="13"/>
      <c r="C202" s="19" t="s">
        <v>510</v>
      </c>
      <c r="D202" s="45"/>
      <c r="E202" s="15" t="s">
        <v>142</v>
      </c>
      <c r="F202" s="16"/>
      <c r="G202" s="14"/>
      <c r="H202" s="182">
        <f>SUM(H197:H201)</f>
        <v>700000</v>
      </c>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357"/>
      <c r="AP202" s="29"/>
    </row>
    <row r="203" spans="1:42" s="140" customFormat="1" outlineLevel="1" x14ac:dyDescent="0.25">
      <c r="A203" s="78"/>
      <c r="B203" s="19"/>
      <c r="C203" s="95" t="s">
        <v>511</v>
      </c>
      <c r="D203" s="20"/>
      <c r="E203" s="21" t="s">
        <v>54</v>
      </c>
      <c r="F203" s="48"/>
      <c r="G203" s="20"/>
      <c r="H203" s="20"/>
      <c r="I203" s="244">
        <f>-PMT(Data!$E$10,Data!$E$126,'Diesel (BAU)'!$H$202,0,0)</f>
        <v>51507.225230040225</v>
      </c>
      <c r="J203" s="244">
        <f>-PMT(Data!$E$10,Data!$E$126,'Diesel (BAU)'!$H$202,0,0)</f>
        <v>51507.225230040225</v>
      </c>
      <c r="K203" s="244">
        <f>-PMT(Data!$E$10,Data!$E$126,'Diesel (BAU)'!$H$202,0,0)</f>
        <v>51507.225230040225</v>
      </c>
      <c r="L203" s="244">
        <f>-PMT(Data!$E$10,Data!$E$126,'Diesel (BAU)'!$H$202,0,0)</f>
        <v>51507.225230040225</v>
      </c>
      <c r="M203" s="244">
        <f>-PMT(Data!$E$10,Data!$E$126,'Diesel (BAU)'!$H$202,0,0)</f>
        <v>51507.225230040225</v>
      </c>
      <c r="N203" s="244">
        <f>-PMT(Data!$E$10,Data!$E$126,'Diesel (BAU)'!$H$202,0,0)</f>
        <v>51507.225230040225</v>
      </c>
      <c r="O203" s="244">
        <f>-PMT(Data!$E$10,Data!$E$126,'Diesel (BAU)'!$H$202,0,0)</f>
        <v>51507.225230040225</v>
      </c>
      <c r="P203" s="244">
        <f>-PMT(Data!$E$10,Data!$E$126,'Diesel (BAU)'!$H$202,0,0)</f>
        <v>51507.225230040225</v>
      </c>
      <c r="Q203" s="244">
        <f>-PMT(Data!$E$10,Data!$E$126,'Diesel (BAU)'!$H$202,0,0)</f>
        <v>51507.225230040225</v>
      </c>
      <c r="R203" s="244">
        <f>-PMT(Data!$E$10,Data!$E$126,'Diesel (BAU)'!$H$202,0,0)</f>
        <v>51507.225230040225</v>
      </c>
      <c r="S203" s="244">
        <f>-PMT(Data!$E$10,Data!$E$126,'Diesel (BAU)'!$H$202,0,0)</f>
        <v>51507.225230040225</v>
      </c>
      <c r="T203" s="244">
        <f>-PMT(Data!$E$10,Data!$E$126,'Diesel (BAU)'!$H$202,0,0)</f>
        <v>51507.225230040225</v>
      </c>
      <c r="U203" s="244">
        <f>-PMT(Data!$E$10,Data!$E$126,'Diesel (BAU)'!$H$202,0,0)</f>
        <v>51507.225230040225</v>
      </c>
      <c r="V203" s="244">
        <f>-PMT(Data!$E$10,Data!$E$126,'Diesel (BAU)'!$H$202,0,0)</f>
        <v>51507.225230040225</v>
      </c>
      <c r="W203" s="244">
        <f>-PMT(Data!$E$10,Data!$E$126,'Diesel (BAU)'!$H$202,0,0)</f>
        <v>51507.225230040225</v>
      </c>
      <c r="X203" s="244">
        <f>-PMT(Data!$E$10,Data!$E$126,'Diesel (BAU)'!$H$202,0,0)</f>
        <v>51507.225230040225</v>
      </c>
      <c r="Y203" s="244">
        <f>-PMT(Data!$E$10,Data!$E$126,'Diesel (BAU)'!$H$202,0,0)</f>
        <v>51507.225230040225</v>
      </c>
      <c r="Z203" s="244">
        <f>-PMT(Data!$E$10,Data!$E$126,'Diesel (BAU)'!$H$202,0,0)</f>
        <v>51507.225230040225</v>
      </c>
      <c r="AA203" s="244">
        <f>-PMT(Data!$E$10,Data!$E$126,'Diesel (BAU)'!$H$202,0,0)</f>
        <v>51507.225230040225</v>
      </c>
      <c r="AB203" s="244">
        <f>-PMT(Data!$E$10,Data!$E$126,'Diesel (BAU)'!$H$202,0,0)</f>
        <v>51507.225230040225</v>
      </c>
      <c r="AC203" s="20"/>
      <c r="AD203" s="20"/>
      <c r="AE203" s="20"/>
      <c r="AF203" s="20"/>
      <c r="AG203" s="20"/>
      <c r="AH203" s="20"/>
      <c r="AI203" s="20"/>
      <c r="AJ203" s="20"/>
      <c r="AK203" s="20"/>
      <c r="AL203" s="20"/>
      <c r="AM203" s="20"/>
      <c r="AN203" s="20"/>
      <c r="AO203" s="20"/>
      <c r="AP203" s="370"/>
    </row>
    <row r="204" spans="1:42" outlineLevel="1" x14ac:dyDescent="0.25">
      <c r="A204" s="12"/>
      <c r="B204" s="13"/>
      <c r="C204" s="37" t="s">
        <v>472</v>
      </c>
      <c r="D204" s="37"/>
      <c r="E204" s="38"/>
      <c r="F204" s="39"/>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17"/>
    </row>
    <row r="205" spans="1:42" outlineLevel="1" x14ac:dyDescent="0.25">
      <c r="A205" s="12"/>
      <c r="B205" s="13"/>
      <c r="C205" s="44" t="s">
        <v>258</v>
      </c>
      <c r="D205" s="44"/>
      <c r="E205" s="15"/>
      <c r="F205" s="16"/>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7"/>
    </row>
    <row r="206" spans="1:42" outlineLevel="1" x14ac:dyDescent="0.25">
      <c r="A206" s="12"/>
      <c r="B206" s="13"/>
      <c r="C206" s="45" t="s">
        <v>120</v>
      </c>
      <c r="D206" s="45"/>
      <c r="E206" s="15" t="s">
        <v>474</v>
      </c>
      <c r="F206" s="158" t="str">
        <f>Dashboard!$I$63</f>
        <v>3 Axle Double Decker Bus</v>
      </c>
      <c r="G206" s="14"/>
      <c r="H206" s="177"/>
      <c r="I206" s="177">
        <f>IF($C$206=$F$206,Data!$E$118*I190,0)</f>
        <v>0</v>
      </c>
      <c r="J206" s="177">
        <f>IF($C$206=$F$206,Data!$E$118*J190,0)</f>
        <v>0</v>
      </c>
      <c r="K206" s="177">
        <f>IF($C$206=$F$206,Data!$E$118*K190,0)</f>
        <v>0</v>
      </c>
      <c r="L206" s="177">
        <f>IF($C$206=$F$206,Data!$E$118*L190,0)</f>
        <v>0</v>
      </c>
      <c r="M206" s="177">
        <f>IF($C$206=$F$206,Data!$E$118*M190,0)</f>
        <v>0</v>
      </c>
      <c r="N206" s="177">
        <f>IF($C$206=$F$206,Data!$E$118*N190,0)</f>
        <v>0</v>
      </c>
      <c r="O206" s="177">
        <f>IF($C$206=$F$206,Data!$E$118*O190,0)</f>
        <v>0</v>
      </c>
      <c r="P206" s="177">
        <f>IF($C$206=$F$206,Data!$E$118*P190,0)</f>
        <v>0</v>
      </c>
      <c r="Q206" s="177">
        <f>IF($C$206=$F$206,Data!$E$118*Q190,0)</f>
        <v>0</v>
      </c>
      <c r="R206" s="177">
        <f>IF($C$206=$F$206,Data!$E$118*R190,0)</f>
        <v>0</v>
      </c>
      <c r="S206" s="177">
        <f>IF($C$206=$F$206,Data!$E$118*S190,0)</f>
        <v>0</v>
      </c>
      <c r="T206" s="177">
        <f>IF($C$206=$F$206,Data!$E$118*T190,0)</f>
        <v>0</v>
      </c>
      <c r="U206" s="177">
        <f>IF($C$206=$F$206,Data!$E$118*U190,0)</f>
        <v>0</v>
      </c>
      <c r="V206" s="177">
        <f>IF($C$206=$F$206,Data!$E$118*V190,0)</f>
        <v>0</v>
      </c>
      <c r="W206" s="177">
        <f>IF($C$206=$F$206,Data!$E$118*W190,0)</f>
        <v>0</v>
      </c>
      <c r="X206" s="177">
        <f>IF($C$206=$F$206,Data!$E$118*X190,0)</f>
        <v>0</v>
      </c>
      <c r="Y206" s="177">
        <f>IF($C$206=$F$206,Data!$E$118*Y190,0)</f>
        <v>0</v>
      </c>
      <c r="Z206" s="177">
        <f>IF($C$206=$F$206,Data!$E$118*Z190,0)</f>
        <v>0</v>
      </c>
      <c r="AA206" s="177">
        <f>IF($C$206=$F$206,Data!$E$118*AA190,0)</f>
        <v>0</v>
      </c>
      <c r="AB206" s="177">
        <f>IF($C$206=$F$206,Data!$E$118*AB190,0)</f>
        <v>0</v>
      </c>
      <c r="AC206" s="177">
        <f>IF($C$206=$F$206,Data!$E$118*AC190,0)</f>
        <v>0</v>
      </c>
      <c r="AD206" s="177">
        <f>IF($C$206=$F$206,Data!$E$118*AD190,0)</f>
        <v>0</v>
      </c>
      <c r="AE206" s="177">
        <f>IF($C$206=$F$206,Data!$E$118*AE190,0)</f>
        <v>0</v>
      </c>
      <c r="AF206" s="177">
        <f>IF($C$206=$F$206,Data!$E$118*AF190,0)</f>
        <v>0</v>
      </c>
      <c r="AG206" s="177">
        <f>IF($C$206=$F$206,Data!$E$118*AG190,0)</f>
        <v>0</v>
      </c>
      <c r="AH206" s="177">
        <f>IF($C$206=$F$206,Data!$E$118*AH190,0)</f>
        <v>0</v>
      </c>
      <c r="AI206" s="177">
        <f>IF($C$206=$F$206,Data!$E$118*AI190,0)</f>
        <v>0</v>
      </c>
      <c r="AJ206" s="177">
        <f>IF($C$206=$F$206,Data!$E$118*AJ190,0)</f>
        <v>0</v>
      </c>
      <c r="AK206" s="177">
        <f>IF($C$206=$F$206,Data!$E$118*AK190,0)</f>
        <v>0</v>
      </c>
      <c r="AL206" s="177">
        <f>IF($C$206=$F$206,Data!$E$118*AL190,0)</f>
        <v>0</v>
      </c>
      <c r="AM206" s="177">
        <f>IF($C$206=$F$206,Data!$E$118*AM190,0)</f>
        <v>0</v>
      </c>
      <c r="AN206" s="177">
        <f>IF($C$206=$F$206,Data!$E$118*AN190,0)</f>
        <v>0</v>
      </c>
      <c r="AO206" s="360">
        <f>IF($C$206=$F$206,Data!$E$118*AO190,0)</f>
        <v>0</v>
      </c>
      <c r="AP206" s="29"/>
    </row>
    <row r="207" spans="1:42" outlineLevel="1" x14ac:dyDescent="0.25">
      <c r="A207" s="12"/>
      <c r="B207" s="13"/>
      <c r="C207" s="45" t="s">
        <v>124</v>
      </c>
      <c r="D207" s="45"/>
      <c r="E207" s="15" t="s">
        <v>474</v>
      </c>
      <c r="F207" s="158" t="str">
        <f>Dashboard!$I$63</f>
        <v>3 Axle Double Decker Bus</v>
      </c>
      <c r="G207" s="14"/>
      <c r="H207" s="177"/>
      <c r="I207" s="177">
        <f>IF($C$207=$F$207,Data!$E$119*I190,0)</f>
        <v>0</v>
      </c>
      <c r="J207" s="177">
        <f>IF($C$207=$F$207,Data!$E$119*J190,0)</f>
        <v>0</v>
      </c>
      <c r="K207" s="177">
        <f>IF($C$207=$F$207,Data!$E$119*K190,0)</f>
        <v>0</v>
      </c>
      <c r="L207" s="177">
        <f>IF($C$207=$F$207,Data!$E$119*L190,0)</f>
        <v>0</v>
      </c>
      <c r="M207" s="177">
        <f>IF($C$207=$F$207,Data!$E$119*M190,0)</f>
        <v>0</v>
      </c>
      <c r="N207" s="177">
        <f>IF($C$207=$F$207,Data!$E$119*N190,0)</f>
        <v>0</v>
      </c>
      <c r="O207" s="177">
        <f>IF($C$207=$F$207,Data!$E$119*O190,0)</f>
        <v>0</v>
      </c>
      <c r="P207" s="177">
        <f>IF($C$207=$F$207,Data!$E$119*P190,0)</f>
        <v>0</v>
      </c>
      <c r="Q207" s="177">
        <f>IF($C$207=$F$207,Data!$E$119*Q190,0)</f>
        <v>0</v>
      </c>
      <c r="R207" s="177">
        <f>IF($C$207=$F$207,Data!$E$119*R190,0)</f>
        <v>0</v>
      </c>
      <c r="S207" s="177">
        <f>IF($C$207=$F$207,Data!$E$119*S190,0)</f>
        <v>0</v>
      </c>
      <c r="T207" s="177">
        <f>IF($C$207=$F$207,Data!$E$119*T190,0)</f>
        <v>0</v>
      </c>
      <c r="U207" s="177">
        <f>IF($C$207=$F$207,Data!$E$119*U190,0)</f>
        <v>0</v>
      </c>
      <c r="V207" s="177">
        <f>IF($C$207=$F$207,Data!$E$119*V190,0)</f>
        <v>0</v>
      </c>
      <c r="W207" s="177">
        <f>IF($C$207=$F$207,Data!$E$119*W190,0)</f>
        <v>0</v>
      </c>
      <c r="X207" s="177">
        <f>IF($C$207=$F$207,Data!$E$119*X190,0)</f>
        <v>0</v>
      </c>
      <c r="Y207" s="177">
        <f>IF($C$207=$F$207,Data!$E$119*Y190,0)</f>
        <v>0</v>
      </c>
      <c r="Z207" s="177">
        <f>IF($C$207=$F$207,Data!$E$119*Z190,0)</f>
        <v>0</v>
      </c>
      <c r="AA207" s="177">
        <f>IF($C$207=$F$207,Data!$E$119*AA190,0)</f>
        <v>0</v>
      </c>
      <c r="AB207" s="177">
        <f>IF($C$207=$F$207,Data!$E$119*AB190,0)</f>
        <v>0</v>
      </c>
      <c r="AC207" s="177">
        <f>IF($C$207=$F$207,Data!$E$119*AC190,0)</f>
        <v>0</v>
      </c>
      <c r="AD207" s="177">
        <f>IF($C$207=$F$207,Data!$E$119*AD190,0)</f>
        <v>0</v>
      </c>
      <c r="AE207" s="177">
        <f>IF($C$207=$F$207,Data!$E$119*AE190,0)</f>
        <v>0</v>
      </c>
      <c r="AF207" s="177">
        <f>IF($C$207=$F$207,Data!$E$119*AF190,0)</f>
        <v>0</v>
      </c>
      <c r="AG207" s="177">
        <f>IF($C$207=$F$207,Data!$E$119*AG190,0)</f>
        <v>0</v>
      </c>
      <c r="AH207" s="177">
        <f>IF($C$207=$F$207,Data!$E$119*AH190,0)</f>
        <v>0</v>
      </c>
      <c r="AI207" s="177">
        <f>IF($C$207=$F$207,Data!$E$119*AI190,0)</f>
        <v>0</v>
      </c>
      <c r="AJ207" s="177">
        <f>IF($C$207=$F$207,Data!$E$119*AJ190,0)</f>
        <v>0</v>
      </c>
      <c r="AK207" s="177">
        <f>IF($C$207=$F$207,Data!$E$119*AK190,0)</f>
        <v>0</v>
      </c>
      <c r="AL207" s="177">
        <f>IF($C$207=$F$207,Data!$E$119*AL190,0)</f>
        <v>0</v>
      </c>
      <c r="AM207" s="177">
        <f>IF($C$207=$F$207,Data!$E$119*AM190,0)</f>
        <v>0</v>
      </c>
      <c r="AN207" s="177">
        <f>IF($C$207=$F$207,Data!$E$119*AN190,0)</f>
        <v>0</v>
      </c>
      <c r="AO207" s="360">
        <f>IF($C$207=$F$207,Data!$E$119*AO190,0)</f>
        <v>0</v>
      </c>
      <c r="AP207" s="29"/>
    </row>
    <row r="208" spans="1:42" outlineLevel="1" x14ac:dyDescent="0.25">
      <c r="A208" s="12"/>
      <c r="B208" s="13"/>
      <c r="C208" s="45" t="s">
        <v>126</v>
      </c>
      <c r="D208" s="45"/>
      <c r="E208" s="15" t="s">
        <v>474</v>
      </c>
      <c r="F208" s="158" t="str">
        <f>Dashboard!$I$63</f>
        <v>3 Axle Double Decker Bus</v>
      </c>
      <c r="G208" s="14"/>
      <c r="H208" s="177"/>
      <c r="I208" s="177">
        <f>IF($C$208=$F$208,Data!$E$120*I190,0)</f>
        <v>160457.14285714284</v>
      </c>
      <c r="J208" s="177">
        <f>IF($C$208=$F$208,Data!$E$120*J190,0)</f>
        <v>160457.14285714284</v>
      </c>
      <c r="K208" s="177">
        <f>IF($C$208=$F$208,Data!$E$120*K190,0)</f>
        <v>160457.14285714284</v>
      </c>
      <c r="L208" s="177">
        <f>IF($C$208=$F$208,Data!$E$120*L190,0)</f>
        <v>160457.14285714284</v>
      </c>
      <c r="M208" s="177">
        <f>IF($C$208=$F$208,Data!$E$120*M190,0)</f>
        <v>160457.14285714284</v>
      </c>
      <c r="N208" s="177">
        <f>IF($C$208=$F$208,Data!$E$120*N190,0)</f>
        <v>160457.14285714284</v>
      </c>
      <c r="O208" s="177">
        <f>IF($C$208=$F$208,Data!$E$120*O190,0)</f>
        <v>160457.14285714284</v>
      </c>
      <c r="P208" s="177">
        <f>IF($C$208=$F$208,Data!$E$120*P190,0)</f>
        <v>160457.14285714284</v>
      </c>
      <c r="Q208" s="177">
        <f>IF($C$208=$F$208,Data!$E$120*Q190,0)</f>
        <v>160457.14285714284</v>
      </c>
      <c r="R208" s="177">
        <f>IF($C$208=$F$208,Data!$E$120*R190,0)</f>
        <v>160457.14285714284</v>
      </c>
      <c r="S208" s="177">
        <f>IF($C$208=$F$208,Data!$E$120*S190,0)</f>
        <v>160457.14285714284</v>
      </c>
      <c r="T208" s="177">
        <f>IF($C$208=$F$208,Data!$E$120*T190,0)</f>
        <v>160457.14285714284</v>
      </c>
      <c r="U208" s="177">
        <f>IF($C$208=$F$208,Data!$E$120*U190,0)</f>
        <v>160457.14285714284</v>
      </c>
      <c r="V208" s="177">
        <f>IF($C$208=$F$208,Data!$E$120*V190,0)</f>
        <v>160457.14285714284</v>
      </c>
      <c r="W208" s="177">
        <f>IF($C$208=$F$208,Data!$E$120*W190,0)</f>
        <v>160457.14285714284</v>
      </c>
      <c r="X208" s="177">
        <f>IF($C$208=$F$208,Data!$E$120*X190,0)</f>
        <v>160457.14285714284</v>
      </c>
      <c r="Y208" s="177">
        <f>IF($C$208=$F$208,Data!$E$120*Y190,0)</f>
        <v>160457.14285714284</v>
      </c>
      <c r="Z208" s="177">
        <f>IF($C$208=$F$208,Data!$E$120*Z190,0)</f>
        <v>160457.14285714284</v>
      </c>
      <c r="AA208" s="177">
        <f>IF($C$208=$F$208,Data!$E$120*AA190,0)</f>
        <v>160457.14285714284</v>
      </c>
      <c r="AB208" s="177">
        <f>IF($C$208=$F$208,Data!$E$120*AB190,0)</f>
        <v>160457.14285714284</v>
      </c>
      <c r="AC208" s="177">
        <f>IF($C$208=$F$208,Data!$E$120*AC190,0)</f>
        <v>0</v>
      </c>
      <c r="AD208" s="177">
        <f>IF($C$208=$F$208,Data!$E$120*AD190,0)</f>
        <v>0</v>
      </c>
      <c r="AE208" s="177">
        <f>IF($C$208=$F$208,Data!$E$120*AE190,0)</f>
        <v>0</v>
      </c>
      <c r="AF208" s="177">
        <f>IF($C$208=$F$208,Data!$E$120*AF190,0)</f>
        <v>0</v>
      </c>
      <c r="AG208" s="177">
        <f>IF($C$208=$F$208,Data!$E$120*AG190,0)</f>
        <v>0</v>
      </c>
      <c r="AH208" s="177">
        <f>IF($C$208=$F$208,Data!$E$120*AH190,0)</f>
        <v>0</v>
      </c>
      <c r="AI208" s="177">
        <f>IF($C$208=$F$208,Data!$E$120*AI190,0)</f>
        <v>0</v>
      </c>
      <c r="AJ208" s="177">
        <f>IF($C$208=$F$208,Data!$E$120*AJ190,0)</f>
        <v>0</v>
      </c>
      <c r="AK208" s="177">
        <f>IF($C$208=$F$208,Data!$E$120*AK190,0)</f>
        <v>0</v>
      </c>
      <c r="AL208" s="177">
        <f>IF($C$208=$F$208,Data!$E$120*AL190,0)</f>
        <v>0</v>
      </c>
      <c r="AM208" s="177">
        <f>IF($C$208=$F$208,Data!$E$120*AM190,0)</f>
        <v>0</v>
      </c>
      <c r="AN208" s="177">
        <f>IF($C$208=$F$208,Data!$E$120*AN190,0)</f>
        <v>0</v>
      </c>
      <c r="AO208" s="360">
        <f>IF($C$208=$F$208,Data!$E$120*AO190,0)</f>
        <v>0</v>
      </c>
      <c r="AP208" s="29"/>
    </row>
    <row r="209" spans="1:42" outlineLevel="1" x14ac:dyDescent="0.25">
      <c r="A209" s="12"/>
      <c r="B209" s="13"/>
      <c r="C209" s="45"/>
      <c r="D209" s="45"/>
      <c r="E209" s="15"/>
      <c r="F209" s="16"/>
      <c r="G209" s="14"/>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357"/>
      <c r="AP209" s="29"/>
    </row>
    <row r="210" spans="1:42" outlineLevel="1" x14ac:dyDescent="0.25">
      <c r="A210" s="12"/>
      <c r="B210" s="13"/>
      <c r="C210" s="44" t="s">
        <v>532</v>
      </c>
      <c r="D210" s="45"/>
      <c r="E210" s="15" t="s">
        <v>318</v>
      </c>
      <c r="F210" s="16"/>
      <c r="G210" s="14"/>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357"/>
      <c r="AP210" s="29"/>
    </row>
    <row r="211" spans="1:42" outlineLevel="1" x14ac:dyDescent="0.25">
      <c r="A211" s="12"/>
      <c r="B211" s="13"/>
      <c r="C211" s="44" t="s">
        <v>260</v>
      </c>
      <c r="D211" s="14"/>
      <c r="E211" s="15" t="s">
        <v>318</v>
      </c>
      <c r="F211" s="16"/>
      <c r="G211" s="14"/>
      <c r="H211" s="151"/>
      <c r="I211" s="151">
        <f>Data!$E$122*I190</f>
        <v>33733.440000000002</v>
      </c>
      <c r="J211" s="151">
        <f>Data!$E$122*J190</f>
        <v>33733.440000000002</v>
      </c>
      <c r="K211" s="151">
        <f>Data!$E$122*K190</f>
        <v>33733.440000000002</v>
      </c>
      <c r="L211" s="151">
        <f>Data!$E$122*L190</f>
        <v>33733.440000000002</v>
      </c>
      <c r="M211" s="151">
        <f>Data!$E$122*M190</f>
        <v>33733.440000000002</v>
      </c>
      <c r="N211" s="151">
        <f>Data!$E$122*N190</f>
        <v>33733.440000000002</v>
      </c>
      <c r="O211" s="151">
        <f>Data!$E$122*O190</f>
        <v>33733.440000000002</v>
      </c>
      <c r="P211" s="151">
        <f>Data!$E$122*P190</f>
        <v>33733.440000000002</v>
      </c>
      <c r="Q211" s="151">
        <f>Data!$E$122*Q190</f>
        <v>33733.440000000002</v>
      </c>
      <c r="R211" s="151">
        <f>Data!$E$122*R190</f>
        <v>33733.440000000002</v>
      </c>
      <c r="S211" s="151">
        <f>Data!$E$122*S190</f>
        <v>33733.440000000002</v>
      </c>
      <c r="T211" s="151">
        <f>Data!$E$122*T190</f>
        <v>33733.440000000002</v>
      </c>
      <c r="U211" s="151">
        <f>Data!$E$122*U190</f>
        <v>33733.440000000002</v>
      </c>
      <c r="V211" s="151">
        <f>Data!$E$122*V190</f>
        <v>33733.440000000002</v>
      </c>
      <c r="W211" s="151">
        <f>Data!$E$122*W190</f>
        <v>33733.440000000002</v>
      </c>
      <c r="X211" s="151">
        <f>Data!$E$122*X190</f>
        <v>33733.440000000002</v>
      </c>
      <c r="Y211" s="151">
        <f>Data!$E$122*Y190</f>
        <v>33733.440000000002</v>
      </c>
      <c r="Z211" s="151">
        <f>Data!$E$122*Z190</f>
        <v>33733.440000000002</v>
      </c>
      <c r="AA211" s="151">
        <f>Data!$E$122*AA190</f>
        <v>33733.440000000002</v>
      </c>
      <c r="AB211" s="151">
        <f>Data!$E$122*AB190</f>
        <v>33733.440000000002</v>
      </c>
      <c r="AC211" s="151">
        <f>Data!$E$122*AC190</f>
        <v>0</v>
      </c>
      <c r="AD211" s="151">
        <f>Data!$E$122*AD190</f>
        <v>0</v>
      </c>
      <c r="AE211" s="151">
        <f>Data!$E$122*AE190</f>
        <v>0</v>
      </c>
      <c r="AF211" s="151">
        <f>Data!$E$122*AF190</f>
        <v>0</v>
      </c>
      <c r="AG211" s="151">
        <f>Data!$E$122*AG190</f>
        <v>0</v>
      </c>
      <c r="AH211" s="151">
        <f>Data!$E$122*AH190</f>
        <v>0</v>
      </c>
      <c r="AI211" s="151">
        <f>Data!$E$122*AI190</f>
        <v>0</v>
      </c>
      <c r="AJ211" s="151">
        <f>Data!$E$122*AJ190</f>
        <v>0</v>
      </c>
      <c r="AK211" s="151">
        <f>Data!$E$122*AK190</f>
        <v>0</v>
      </c>
      <c r="AL211" s="151">
        <f>Data!$E$122*AL190</f>
        <v>0</v>
      </c>
      <c r="AM211" s="151">
        <f>Data!$E$122*AM190</f>
        <v>0</v>
      </c>
      <c r="AN211" s="151">
        <f>Data!$E$122*AN190</f>
        <v>0</v>
      </c>
      <c r="AO211" s="151">
        <f>Data!$E$122*AO190</f>
        <v>0</v>
      </c>
      <c r="AP211" s="17"/>
    </row>
    <row r="212" spans="1:42" outlineLevel="1" x14ac:dyDescent="0.25">
      <c r="A212" s="12"/>
      <c r="B212" s="13"/>
      <c r="C212" s="44"/>
      <c r="D212" s="44"/>
      <c r="E212" s="15"/>
      <c r="F212" s="16"/>
      <c r="G212" s="14"/>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17"/>
    </row>
    <row r="213" spans="1:42" outlineLevel="1" x14ac:dyDescent="0.25">
      <c r="A213" s="12"/>
      <c r="B213" s="13"/>
      <c r="C213" s="44" t="s">
        <v>398</v>
      </c>
      <c r="D213" s="45"/>
      <c r="E213" s="15"/>
      <c r="F213" s="16"/>
      <c r="G213" s="14"/>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357"/>
      <c r="AP213" s="29"/>
    </row>
    <row r="214" spans="1:42" outlineLevel="1" x14ac:dyDescent="0.25">
      <c r="A214" s="12"/>
      <c r="B214" s="13"/>
      <c r="C214" s="45" t="s">
        <v>127</v>
      </c>
      <c r="D214" s="45"/>
      <c r="E214" s="15" t="s">
        <v>475</v>
      </c>
      <c r="F214" s="158" t="str">
        <f>Dashboard!$I$62</f>
        <v>Hilly (Gradient  6%)</v>
      </c>
      <c r="G214" s="14"/>
      <c r="H214" s="62"/>
      <c r="I214" s="181" cm="1">
        <f t="array" ref="I214">INDEX('Control panel'!$E$17:$E$19,MATCH($F$214,'Control panel'!$C$17:$C$19,0),0)</f>
        <v>2.0035308778415004</v>
      </c>
      <c r="J214" s="181" cm="1">
        <f t="array" ref="J214">INDEX('Control panel'!$E$17:$E$19,MATCH($F$214,'Control panel'!$C$17:$C$19,0),0)</f>
        <v>2.0035308778415004</v>
      </c>
      <c r="K214" s="181" cm="1">
        <f t="array" ref="K214">INDEX('Control panel'!$E$17:$E$19,MATCH($F$214,'Control panel'!$C$17:$C$19,0),0)</f>
        <v>2.0035308778415004</v>
      </c>
      <c r="L214" s="181" cm="1">
        <f t="array" ref="L214">INDEX('Control panel'!$E$17:$E$19,MATCH($F$214,'Control panel'!$C$17:$C$19,0),0)</f>
        <v>2.0035308778415004</v>
      </c>
      <c r="M214" s="181" cm="1">
        <f t="array" ref="M214">INDEX('Control panel'!$E$17:$E$19,MATCH($F$214,'Control panel'!$C$17:$C$19,0),0)</f>
        <v>2.0035308778415004</v>
      </c>
      <c r="N214" s="181" cm="1">
        <f t="array" ref="N214">INDEX('Control panel'!$E$17:$E$19,MATCH($F$214,'Control panel'!$C$17:$C$19,0),0)</f>
        <v>2.0035308778415004</v>
      </c>
      <c r="O214" s="181" cm="1">
        <f t="array" ref="O214">INDEX('Control panel'!$E$17:$E$19,MATCH($F$214,'Control panel'!$C$17:$C$19,0),0)</f>
        <v>2.0035308778415004</v>
      </c>
      <c r="P214" s="181" cm="1">
        <f t="array" ref="P214">INDEX('Control panel'!$E$17:$E$19,MATCH($F$214,'Control panel'!$C$17:$C$19,0),0)</f>
        <v>2.0035308778415004</v>
      </c>
      <c r="Q214" s="181" cm="1">
        <f t="array" ref="Q214">INDEX('Control panel'!$E$17:$E$19,MATCH($F$214,'Control panel'!$C$17:$C$19,0),0)</f>
        <v>2.0035308778415004</v>
      </c>
      <c r="R214" s="181" cm="1">
        <f t="array" ref="R214">INDEX('Control panel'!$E$17:$E$19,MATCH($F$214,'Control panel'!$C$17:$C$19,0),0)</f>
        <v>2.0035308778415004</v>
      </c>
      <c r="S214" s="181" cm="1">
        <f t="array" ref="S214">INDEX('Control panel'!$E$17:$E$19,MATCH($F$214,'Control panel'!$C$17:$C$19,0),0)</f>
        <v>2.0035308778415004</v>
      </c>
      <c r="T214" s="181" cm="1">
        <f t="array" ref="T214">INDEX('Control panel'!$E$17:$E$19,MATCH($F$214,'Control panel'!$C$17:$C$19,0),0)</f>
        <v>2.0035308778415004</v>
      </c>
      <c r="U214" s="181" cm="1">
        <f t="array" ref="U214">INDEX('Control panel'!$E$17:$E$19,MATCH($F$214,'Control panel'!$C$17:$C$19,0),0)</f>
        <v>2.0035308778415004</v>
      </c>
      <c r="V214" s="181" cm="1">
        <f t="array" ref="V214">INDEX('Control panel'!$E$17:$E$19,MATCH($F$214,'Control panel'!$C$17:$C$19,0),0)</f>
        <v>2.0035308778415004</v>
      </c>
      <c r="W214" s="181" cm="1">
        <f t="array" ref="W214">INDEX('Control panel'!$E$17:$E$19,MATCH($F$214,'Control panel'!$C$17:$C$19,0),0)</f>
        <v>2.0035308778415004</v>
      </c>
      <c r="X214" s="181" cm="1">
        <f t="array" ref="X214">INDEX('Control panel'!$E$17:$E$19,MATCH($F$214,'Control panel'!$C$17:$C$19,0),0)</f>
        <v>2.0035308778415004</v>
      </c>
      <c r="Y214" s="181" cm="1">
        <f t="array" ref="Y214">INDEX('Control panel'!$E$17:$E$19,MATCH($F$214,'Control panel'!$C$17:$C$19,0),0)</f>
        <v>2.0035308778415004</v>
      </c>
      <c r="Z214" s="181" cm="1">
        <f t="array" ref="Z214">INDEX('Control panel'!$E$17:$E$19,MATCH($F$214,'Control panel'!$C$17:$C$19,0),0)</f>
        <v>2.0035308778415004</v>
      </c>
      <c r="AA214" s="181" cm="1">
        <f t="array" ref="AA214">INDEX('Control panel'!$E$17:$E$19,MATCH($F$214,'Control panel'!$C$17:$C$19,0),0)</f>
        <v>2.0035308778415004</v>
      </c>
      <c r="AB214" s="181" cm="1">
        <f t="array" ref="AB214">INDEX('Control panel'!$E$17:$E$19,MATCH($F$214,'Control panel'!$C$17:$C$19,0),0)</f>
        <v>2.0035308778415004</v>
      </c>
      <c r="AC214" s="181"/>
      <c r="AD214" s="181"/>
      <c r="AE214" s="181"/>
      <c r="AF214" s="181"/>
      <c r="AG214" s="181"/>
      <c r="AH214" s="181"/>
      <c r="AI214" s="181"/>
      <c r="AJ214" s="181"/>
      <c r="AK214" s="181"/>
      <c r="AL214" s="181"/>
      <c r="AM214" s="181"/>
      <c r="AN214" s="181"/>
      <c r="AO214" s="361"/>
      <c r="AP214" s="29"/>
    </row>
    <row r="215" spans="1:42" outlineLevel="1" x14ac:dyDescent="0.25">
      <c r="A215" s="12"/>
      <c r="B215" s="13"/>
      <c r="C215" s="45" t="s">
        <v>120</v>
      </c>
      <c r="D215" s="45"/>
      <c r="E215" s="15" t="s">
        <v>318</v>
      </c>
      <c r="F215" s="158" t="str">
        <f>Dashboard!$I$63</f>
        <v>3 Axle Double Decker Bus</v>
      </c>
      <c r="G215" s="14"/>
      <c r="H215" s="62"/>
      <c r="I215" s="177">
        <f>IF($C$215=$F$215,I190*Data!$E$129*Data!H$61,0)*(1+I214)*(1+Data!$E$93)</f>
        <v>0</v>
      </c>
      <c r="J215" s="177">
        <f>IF($C$215=$F$215,J190*Data!$E$129*Data!I$61,0)*(1+J214)*(1+Data!$E$93)</f>
        <v>0</v>
      </c>
      <c r="K215" s="177">
        <f>IF($C$215=$F$215,K190*Data!$E$129*Data!J$61,0)*(1+K214)*(1+Data!$E$93)</f>
        <v>0</v>
      </c>
      <c r="L215" s="177">
        <f>IF($C$215=$F$215,L190*Data!$E$129*Data!K$61,0)*(1+L214)*(1+Data!$E$93)</f>
        <v>0</v>
      </c>
      <c r="M215" s="177">
        <f>IF($C$215=$F$215,M190*Data!$E$129*Data!L$61,0)*(1+M214)*(1+Data!$E$93)</f>
        <v>0</v>
      </c>
      <c r="N215" s="177">
        <f>IF($C$215=$F$215,N190*Data!$E$129*Data!M$61,0)*(1+N214)*(1+Data!$E$93)</f>
        <v>0</v>
      </c>
      <c r="O215" s="177">
        <f>IF($C$215=$F$215,O190*Data!$E$129*Data!N$61,0)*(1+O214)*(1+Data!$E$93)</f>
        <v>0</v>
      </c>
      <c r="P215" s="177">
        <f>IF($C$215=$F$215,P190*Data!$E$129*Data!O$61,0)*(1+P214)*(1+Data!$E$93)</f>
        <v>0</v>
      </c>
      <c r="Q215" s="177">
        <f>IF($C$215=$F$215,Q190*Data!$E$129*Data!P$61,0)*(1+Q214)*(1+Data!$E$93)</f>
        <v>0</v>
      </c>
      <c r="R215" s="177">
        <f>IF($C$215=$F$215,R190*Data!$E$129*Data!Q$61,0)*(1+R214)*(1+Data!$E$93)</f>
        <v>0</v>
      </c>
      <c r="S215" s="177">
        <f>IF($C$215=$F$215,S190*Data!$E$129*Data!R$61,0)*(1+S214)*(1+Data!$E$93)</f>
        <v>0</v>
      </c>
      <c r="T215" s="177">
        <f>IF($C$215=$F$215,T190*Data!$E$129*Data!S$61,0)*(1+T214)*(1+Data!$E$93)</f>
        <v>0</v>
      </c>
      <c r="U215" s="177">
        <f>IF($C$215=$F$215,U190*Data!$E$129*Data!T$61,0)*(1+U214)*(1+Data!$E$93)</f>
        <v>0</v>
      </c>
      <c r="V215" s="177">
        <f>IF($C$215=$F$215,V190*Data!$E$129*Data!U$61,0)*(1+V214)*(1+Data!$E$93)</f>
        <v>0</v>
      </c>
      <c r="W215" s="177">
        <f>IF($C$215=$F$215,W190*Data!$E$129*Data!V$61,0)*(1+W214)*(1+Data!$E$93)</f>
        <v>0</v>
      </c>
      <c r="X215" s="177">
        <f>IF($C$215=$F$215,X190*Data!$E$129*Data!W$61,0)*(1+X214)*(1+Data!$E$93)</f>
        <v>0</v>
      </c>
      <c r="Y215" s="177">
        <f>IF($C$215=$F$215,Y190*Data!$E$129*Data!X$61,0)*(1+Y214)*(1+Data!$E$93)</f>
        <v>0</v>
      </c>
      <c r="Z215" s="177">
        <f>IF($C$215=$F$215,Z190*Data!$E$129*Data!Y$61,0)*(1+Z214)*(1+Data!$E$93)</f>
        <v>0</v>
      </c>
      <c r="AA215" s="177">
        <f>IF($C$215=$F$215,AA190*Data!$E$129*Data!Z$61,0)*(1+AA214)*(1+Data!$E$93)</f>
        <v>0</v>
      </c>
      <c r="AB215" s="177">
        <f>IF($C$215=$F$215,AB190*Data!$E$129*Data!AA$61,0)*(1+AB214)*(1+Data!$E$93)</f>
        <v>0</v>
      </c>
      <c r="AC215" s="177">
        <f>IF($C$215=$F$215,AC190*Data!$E$129*Data!AB$61,0)*(1+AC214)*(1+Data!$E$93)</f>
        <v>0</v>
      </c>
      <c r="AD215" s="177">
        <f>IF($C$215=$F$215,AD190*Data!$E$129*Data!AC$61,0)*(1+AD214)*(1+Data!$E$93)</f>
        <v>0</v>
      </c>
      <c r="AE215" s="177">
        <f>IF($C$215=$F$215,AE190*Data!$E$129*Data!AD$61,0)*(1+AE214)*(1+Data!$E$93)</f>
        <v>0</v>
      </c>
      <c r="AF215" s="177">
        <f>IF($C$215=$F$215,AF190*Data!$E$129*Data!AE$61,0)*(1+AF214)*(1+Data!$E$93)</f>
        <v>0</v>
      </c>
      <c r="AG215" s="177">
        <f>IF($C$215=$F$215,AG190*Data!$E$129*Data!AF$61,0)*(1+AG214)*(1+Data!$E$93)</f>
        <v>0</v>
      </c>
      <c r="AH215" s="177">
        <f>IF($C$215=$F$215,AH190*Data!$E$129*Data!AG$61,0)*(1+AH214)*(1+Data!$E$93)</f>
        <v>0</v>
      </c>
      <c r="AI215" s="177">
        <f>IF($C$215=$F$215,AI190*Data!$E$129*Data!AH$61,0)*(1+AI214)*(1+Data!$E$93)</f>
        <v>0</v>
      </c>
      <c r="AJ215" s="177">
        <f>IF($C$215=$F$215,AJ190*Data!$E$129*Data!AI$61,0)*(1+AJ214)*(1+Data!$E$93)</f>
        <v>0</v>
      </c>
      <c r="AK215" s="177">
        <f>IF($C$215=$F$215,AK190*Data!$E$129*Data!AJ$61,0)*(1+AK214)*(1+Data!$E$93)</f>
        <v>0</v>
      </c>
      <c r="AL215" s="177">
        <f>IF($C$215=$F$215,AL190*Data!$E$129*Data!AK$61,0)*(1+AL214)*(1+Data!$E$93)</f>
        <v>0</v>
      </c>
      <c r="AM215" s="177">
        <f>IF($C$215=$F$215,AM190*Data!$E$129*Data!AL$61,0)*(1+AM214)*(1+Data!$E$93)</f>
        <v>0</v>
      </c>
      <c r="AN215" s="177">
        <f>IF($C$215=$F$215,AN190*Data!$E$129*Data!AM$61,0)*(1+AN214)*(1+Data!$E$93)</f>
        <v>0</v>
      </c>
      <c r="AO215" s="360">
        <f>IF($C$215=$F$215,AO190*Data!$E$129*Data!AN$61,0)*(1+AO214)*(1+Data!$E$93)</f>
        <v>0</v>
      </c>
      <c r="AP215" s="29"/>
    </row>
    <row r="216" spans="1:42" outlineLevel="1" x14ac:dyDescent="0.25">
      <c r="A216" s="12"/>
      <c r="B216" s="13"/>
      <c r="C216" s="45" t="s">
        <v>124</v>
      </c>
      <c r="D216" s="45"/>
      <c r="E216" s="15" t="s">
        <v>318</v>
      </c>
      <c r="F216" s="158" t="str">
        <f>Dashboard!$I$63</f>
        <v>3 Axle Double Decker Bus</v>
      </c>
      <c r="G216" s="14"/>
      <c r="H216" s="62"/>
      <c r="I216" s="177">
        <f>IF($C$216=$F$216,I190*Data!$E$130*Data!H$61,0)*(1+I214)*(1+Data!$E$93)</f>
        <v>0</v>
      </c>
      <c r="J216" s="177">
        <f>IF($C$216=$F$216,J190*Data!$E$130*Data!I$61,0)*(1+J214)*(1+Data!$E$93)</f>
        <v>0</v>
      </c>
      <c r="K216" s="177">
        <f>IF($C$216=$F$216,K190*Data!$E$130*Data!J$61,0)*(1+K214)*(1+Data!$E$93)</f>
        <v>0</v>
      </c>
      <c r="L216" s="177">
        <f>IF($C$216=$F$216,L190*Data!$E$130*Data!K$61,0)*(1+L214)*(1+Data!$E$93)</f>
        <v>0</v>
      </c>
      <c r="M216" s="177">
        <f>IF($C$216=$F$216,M190*Data!$E$130*Data!L$61,0)*(1+M214)*(1+Data!$E$93)</f>
        <v>0</v>
      </c>
      <c r="N216" s="177">
        <f>IF($C$216=$F$216,N190*Data!$E$130*Data!M$61,0)*(1+N214)*(1+Data!$E$93)</f>
        <v>0</v>
      </c>
      <c r="O216" s="177">
        <f>IF($C$216=$F$216,O190*Data!$E$130*Data!N$61,0)*(1+O214)*(1+Data!$E$93)</f>
        <v>0</v>
      </c>
      <c r="P216" s="177">
        <f>IF($C$216=$F$216,P190*Data!$E$130*Data!O$61,0)*(1+P214)*(1+Data!$E$93)</f>
        <v>0</v>
      </c>
      <c r="Q216" s="177">
        <f>IF($C$216=$F$216,Q190*Data!$E$130*Data!P$61,0)*(1+Q214)*(1+Data!$E$93)</f>
        <v>0</v>
      </c>
      <c r="R216" s="177">
        <f>IF($C$216=$F$216,R190*Data!$E$130*Data!Q$61,0)*(1+R214)*(1+Data!$E$93)</f>
        <v>0</v>
      </c>
      <c r="S216" s="177">
        <f>IF($C$216=$F$216,S190*Data!$E$130*Data!R$61,0)*(1+S214)*(1+Data!$E$93)</f>
        <v>0</v>
      </c>
      <c r="T216" s="177">
        <f>IF($C$216=$F$216,T190*Data!$E$130*Data!S$61,0)*(1+T214)*(1+Data!$E$93)</f>
        <v>0</v>
      </c>
      <c r="U216" s="177">
        <f>IF($C$216=$F$216,U190*Data!$E$130*Data!T$61,0)*(1+U214)*(1+Data!$E$93)</f>
        <v>0</v>
      </c>
      <c r="V216" s="177">
        <f>IF($C$216=$F$216,V190*Data!$E$130*Data!U$61,0)*(1+V214)*(1+Data!$E$93)</f>
        <v>0</v>
      </c>
      <c r="W216" s="177">
        <f>IF($C$216=$F$216,W190*Data!$E$130*Data!V$61,0)*(1+W214)*(1+Data!$E$93)</f>
        <v>0</v>
      </c>
      <c r="X216" s="177">
        <f>IF($C$216=$F$216,X190*Data!$E$130*Data!W$61,0)*(1+X214)*(1+Data!$E$93)</f>
        <v>0</v>
      </c>
      <c r="Y216" s="177">
        <f>IF($C$216=$F$216,Y190*Data!$E$130*Data!X$61,0)*(1+Y214)*(1+Data!$E$93)</f>
        <v>0</v>
      </c>
      <c r="Z216" s="177">
        <f>IF($C$216=$F$216,Z190*Data!$E$130*Data!Y$61,0)*(1+Z214)*(1+Data!$E$93)</f>
        <v>0</v>
      </c>
      <c r="AA216" s="177">
        <f>IF($C$216=$F$216,AA190*Data!$E$130*Data!Z$61,0)*(1+AA214)*(1+Data!$E$93)</f>
        <v>0</v>
      </c>
      <c r="AB216" s="177">
        <f>IF($C$216=$F$216,AB190*Data!$E$130*Data!AA$61,0)*(1+AB214)*(1+Data!$E$93)</f>
        <v>0</v>
      </c>
      <c r="AC216" s="177">
        <f>IF($C$216=$F$216,AC190*Data!$E$130*Data!AB$61,0)*(1+AC214)*(1+Data!$E$93)</f>
        <v>0</v>
      </c>
      <c r="AD216" s="177">
        <f>IF($C$216=$F$216,AD190*Data!$E$130*Data!AC$61,0)*(1+AD214)*(1+Data!$E$93)</f>
        <v>0</v>
      </c>
      <c r="AE216" s="177">
        <f>IF($C$216=$F$216,AE190*Data!$E$130*Data!AD$61,0)*(1+AE214)*(1+Data!$E$93)</f>
        <v>0</v>
      </c>
      <c r="AF216" s="177">
        <f>IF($C$216=$F$216,AF190*Data!$E$130*Data!AE$61,0)*(1+AF214)*(1+Data!$E$93)</f>
        <v>0</v>
      </c>
      <c r="AG216" s="177">
        <f>IF($C$216=$F$216,AG190*Data!$E$130*Data!AF$61,0)*(1+AG214)*(1+Data!$E$93)</f>
        <v>0</v>
      </c>
      <c r="AH216" s="177">
        <f>IF($C$216=$F$216,AH190*Data!$E$130*Data!AG$61,0)*(1+AH214)*(1+Data!$E$93)</f>
        <v>0</v>
      </c>
      <c r="AI216" s="177">
        <f>IF($C$216=$F$216,AI190*Data!$E$130*Data!AH$61,0)*(1+AI214)*(1+Data!$E$93)</f>
        <v>0</v>
      </c>
      <c r="AJ216" s="177">
        <f>IF($C$216=$F$216,AJ190*Data!$E$130*Data!AI$61,0)*(1+AJ214)*(1+Data!$E$93)</f>
        <v>0</v>
      </c>
      <c r="AK216" s="177">
        <f>IF($C$216=$F$216,AK190*Data!$E$130*Data!AJ$61,0)*(1+AK214)*(1+Data!$E$93)</f>
        <v>0</v>
      </c>
      <c r="AL216" s="177">
        <f>IF($C$216=$F$216,AL190*Data!$E$130*Data!AK$61,0)*(1+AL214)*(1+Data!$E$93)</f>
        <v>0</v>
      </c>
      <c r="AM216" s="177">
        <f>IF($C$216=$F$216,AM190*Data!$E$130*Data!AL$61,0)*(1+AM214)*(1+Data!$E$93)</f>
        <v>0</v>
      </c>
      <c r="AN216" s="177">
        <f>IF($C$216=$F$216,AN190*Data!$E$130*Data!AM$61,0)*(1+AN214)*(1+Data!$E$93)</f>
        <v>0</v>
      </c>
      <c r="AO216" s="360">
        <f>IF($C$216=$F$216,AO190*Data!$E$130*Data!AN$61,0)*(1+AO214)*(1+Data!$E$93)</f>
        <v>0</v>
      </c>
      <c r="AP216" s="29"/>
    </row>
    <row r="217" spans="1:42" outlineLevel="1" x14ac:dyDescent="0.25">
      <c r="A217" s="12"/>
      <c r="B217" s="13"/>
      <c r="C217" s="45" t="s">
        <v>126</v>
      </c>
      <c r="D217" s="45"/>
      <c r="E217" s="15" t="s">
        <v>318</v>
      </c>
      <c r="F217" s="158" t="str">
        <f>Dashboard!$I$63</f>
        <v>3 Axle Double Decker Bus</v>
      </c>
      <c r="G217" s="14"/>
      <c r="H217" s="62"/>
      <c r="I217" s="177">
        <f>IF($C$217=$F$217,I190*Data!$E$131*Data!H$61,0)*(1+I214)*(1+Data!$E$93)</f>
        <v>311318.20722393208</v>
      </c>
      <c r="J217" s="177">
        <f>IF($C$217=$F$217,J190*Data!$E$131*Data!I$61,0)*(1+J214)*(1+Data!$E$93)</f>
        <v>248699.82419059781</v>
      </c>
      <c r="K217" s="177">
        <f>IF($C$217=$F$217,K190*Data!$E$131*Data!J$61,0)*(1+K214)*(1+Data!$E$93)</f>
        <v>248699.82419059781</v>
      </c>
      <c r="L217" s="177">
        <f>IF($C$217=$F$217,L190*Data!$E$131*Data!K$61,0)*(1+L214)*(1+Data!$E$93)</f>
        <v>248699.82419059781</v>
      </c>
      <c r="M217" s="177">
        <f>IF($C$217=$F$217,M190*Data!$E$131*Data!L$61,0)*(1+M214)*(1+Data!$E$93)</f>
        <v>248699.82419059781</v>
      </c>
      <c r="N217" s="177">
        <f>IF($C$217=$F$217,N190*Data!$E$131*Data!M$61,0)*(1+N214)*(1+Data!$E$93)</f>
        <v>248699.82419059781</v>
      </c>
      <c r="O217" s="177">
        <f>IF($C$217=$F$217,O190*Data!$E$131*Data!N$61,0)*(1+O214)*(1+Data!$E$93)</f>
        <v>248699.82419059781</v>
      </c>
      <c r="P217" s="177">
        <f>IF($C$217=$F$217,P190*Data!$E$131*Data!O$61,0)*(1+P214)*(1+Data!$E$93)</f>
        <v>248699.82419059781</v>
      </c>
      <c r="Q217" s="177">
        <f>IF($C$217=$F$217,Q190*Data!$E$131*Data!P$61,0)*(1+Q214)*(1+Data!$E$93)</f>
        <v>248699.82419059781</v>
      </c>
      <c r="R217" s="177">
        <f>IF($C$217=$F$217,R190*Data!$E$131*Data!Q$61,0)*(1+R214)*(1+Data!$E$93)</f>
        <v>248699.82419059781</v>
      </c>
      <c r="S217" s="177">
        <f>IF($C$217=$F$217,S190*Data!$E$131*Data!R$61,0)*(1+S214)*(1+Data!$E$93)</f>
        <v>248699.82419059781</v>
      </c>
      <c r="T217" s="177">
        <f>IF($C$217=$F$217,T190*Data!$E$131*Data!S$61,0)*(1+T214)*(1+Data!$E$93)</f>
        <v>248699.82419059781</v>
      </c>
      <c r="U217" s="177">
        <f>IF($C$217=$F$217,U190*Data!$E$131*Data!T$61,0)*(1+U214)*(1+Data!$E$93)</f>
        <v>248699.82419059781</v>
      </c>
      <c r="V217" s="177">
        <f>IF($C$217=$F$217,V190*Data!$E$131*Data!U$61,0)*(1+V214)*(1+Data!$E$93)</f>
        <v>248699.82419059781</v>
      </c>
      <c r="W217" s="177">
        <f>IF($C$217=$F$217,W190*Data!$E$131*Data!V$61,0)*(1+W214)*(1+Data!$E$93)</f>
        <v>248699.82419059781</v>
      </c>
      <c r="X217" s="177">
        <f>IF($C$217=$F$217,X190*Data!$E$131*Data!W$61,0)*(1+X214)*(1+Data!$E$93)</f>
        <v>248699.82419059781</v>
      </c>
      <c r="Y217" s="177">
        <f>IF($C$217=$F$217,Y190*Data!$E$131*Data!X$61,0)*(1+Y214)*(1+Data!$E$93)</f>
        <v>248699.82419059781</v>
      </c>
      <c r="Z217" s="177">
        <f>IF($C$217=$F$217,Z190*Data!$E$131*Data!Y$61,0)*(1+Z214)*(1+Data!$E$93)</f>
        <v>248699.82419059781</v>
      </c>
      <c r="AA217" s="177">
        <f>IF($C$217=$F$217,AA190*Data!$E$131*Data!Z$61,0)*(1+AA214)*(1+Data!$E$93)</f>
        <v>248699.82419059781</v>
      </c>
      <c r="AB217" s="177">
        <f>IF($C$217=$F$217,AB190*Data!$E$131*Data!AA$61,0)*(1+AB214)*(1+Data!$E$93)</f>
        <v>248699.82419059781</v>
      </c>
      <c r="AC217" s="177">
        <f>IF($C$217=$F$217,AC190*Data!$E$131*Data!AB$61,0)*(1+AC214)*(1+Data!$E$93)</f>
        <v>0</v>
      </c>
      <c r="AD217" s="177">
        <f>IF($C$217=$F$217,AD190*Data!$E$131*Data!AC$61,0)*(1+AD214)*(1+Data!$E$93)</f>
        <v>0</v>
      </c>
      <c r="AE217" s="177">
        <f>IF($C$217=$F$217,AE190*Data!$E$131*Data!AD$61,0)*(1+AE214)*(1+Data!$E$93)</f>
        <v>0</v>
      </c>
      <c r="AF217" s="177">
        <f>IF($C$217=$F$217,AF190*Data!$E$131*Data!AE$61,0)*(1+AF214)*(1+Data!$E$93)</f>
        <v>0</v>
      </c>
      <c r="AG217" s="177">
        <f>IF($C$217=$F$217,AG190*Data!$E$131*Data!AF$61,0)*(1+AG214)*(1+Data!$E$93)</f>
        <v>0</v>
      </c>
      <c r="AH217" s="177">
        <f>IF($C$217=$F$217,AH190*Data!$E$131*Data!AG$61,0)*(1+AH214)*(1+Data!$E$93)</f>
        <v>0</v>
      </c>
      <c r="AI217" s="177">
        <f>IF($C$217=$F$217,AI190*Data!$E$131*Data!AH$61,0)*(1+AI214)*(1+Data!$E$93)</f>
        <v>0</v>
      </c>
      <c r="AJ217" s="177">
        <f>IF($C$217=$F$217,AJ190*Data!$E$131*Data!AI$61,0)*(1+AJ214)*(1+Data!$E$93)</f>
        <v>0</v>
      </c>
      <c r="AK217" s="177">
        <f>IF($C$217=$F$217,AK190*Data!$E$131*Data!AJ$61,0)*(1+AK214)*(1+Data!$E$93)</f>
        <v>0</v>
      </c>
      <c r="AL217" s="177">
        <f>IF($C$217=$F$217,AL190*Data!$E$131*Data!AK$61,0)*(1+AL214)*(1+Data!$E$93)</f>
        <v>0</v>
      </c>
      <c r="AM217" s="177">
        <f>IF($C$217=$F$217,AM190*Data!$E$131*Data!AL$61,0)*(1+AM214)*(1+Data!$E$93)</f>
        <v>0</v>
      </c>
      <c r="AN217" s="177">
        <f>IF($C$217=$F$217,AN190*Data!$E$131*Data!AM$61,0)*(1+AN214)*(1+Data!$E$93)</f>
        <v>0</v>
      </c>
      <c r="AO217" s="360">
        <f>IF($C$217=$F$217,AO190*Data!$E$131*Data!AN$61,0)*(1+AO214)*(1+Data!$E$93)</f>
        <v>0</v>
      </c>
      <c r="AP217" s="17"/>
    </row>
    <row r="218" spans="1:42" outlineLevel="1" x14ac:dyDescent="0.25">
      <c r="A218" s="12"/>
      <c r="B218" s="13"/>
      <c r="C218" s="44"/>
      <c r="D218" s="44"/>
      <c r="E218" s="15"/>
      <c r="F218" s="16"/>
      <c r="G218" s="14"/>
      <c r="H218" s="62"/>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17"/>
    </row>
    <row r="219" spans="1:42" outlineLevel="1" x14ac:dyDescent="0.25">
      <c r="A219" s="12"/>
      <c r="B219" s="13"/>
      <c r="C219" s="19" t="s">
        <v>512</v>
      </c>
      <c r="D219" s="45"/>
      <c r="E219" s="15"/>
      <c r="F219" s="158"/>
      <c r="G219" s="14"/>
      <c r="H219" s="28"/>
      <c r="I219" s="182">
        <f>SUM(I206:I208)+I210+I211+SUM(I215:I217)</f>
        <v>505508.79008107493</v>
      </c>
      <c r="J219" s="182">
        <f t="shared" ref="J219:W219" si="33">SUM(J206:J208)+J210+J211+SUM(J215:J217)</f>
        <v>442890.40704774065</v>
      </c>
      <c r="K219" s="182">
        <f t="shared" si="33"/>
        <v>442890.40704774065</v>
      </c>
      <c r="L219" s="182">
        <f t="shared" si="33"/>
        <v>442890.40704774065</v>
      </c>
      <c r="M219" s="182">
        <f t="shared" si="33"/>
        <v>442890.40704774065</v>
      </c>
      <c r="N219" s="182">
        <f t="shared" si="33"/>
        <v>442890.40704774065</v>
      </c>
      <c r="O219" s="182">
        <f t="shared" si="33"/>
        <v>442890.40704774065</v>
      </c>
      <c r="P219" s="182">
        <f t="shared" si="33"/>
        <v>442890.40704774065</v>
      </c>
      <c r="Q219" s="182">
        <f t="shared" si="33"/>
        <v>442890.40704774065</v>
      </c>
      <c r="R219" s="182">
        <f t="shared" si="33"/>
        <v>442890.40704774065</v>
      </c>
      <c r="S219" s="182">
        <f t="shared" si="33"/>
        <v>442890.40704774065</v>
      </c>
      <c r="T219" s="182">
        <f t="shared" si="33"/>
        <v>442890.40704774065</v>
      </c>
      <c r="U219" s="182">
        <f t="shared" si="33"/>
        <v>442890.40704774065</v>
      </c>
      <c r="V219" s="182">
        <f t="shared" si="33"/>
        <v>442890.40704774065</v>
      </c>
      <c r="W219" s="182">
        <f t="shared" si="33"/>
        <v>442890.40704774065</v>
      </c>
      <c r="X219" s="182">
        <f t="shared" ref="X219:AB219" si="34">SUM(X206:X208)+X210+X211+SUM(X215:X217)</f>
        <v>442890.40704774065</v>
      </c>
      <c r="Y219" s="182">
        <f t="shared" si="34"/>
        <v>442890.40704774065</v>
      </c>
      <c r="Z219" s="182">
        <f t="shared" si="34"/>
        <v>442890.40704774065</v>
      </c>
      <c r="AA219" s="182">
        <f t="shared" si="34"/>
        <v>442890.40704774065</v>
      </c>
      <c r="AB219" s="182">
        <f t="shared" si="34"/>
        <v>442890.40704774065</v>
      </c>
      <c r="AC219" s="182">
        <f t="shared" ref="AC219:AO219" si="35">SUM(AC206:AC208)+AC210+AC211+SUM(AC215:AC217)</f>
        <v>0</v>
      </c>
      <c r="AD219" s="182">
        <f t="shared" si="35"/>
        <v>0</v>
      </c>
      <c r="AE219" s="182">
        <f t="shared" si="35"/>
        <v>0</v>
      </c>
      <c r="AF219" s="182">
        <f t="shared" si="35"/>
        <v>0</v>
      </c>
      <c r="AG219" s="182">
        <f t="shared" si="35"/>
        <v>0</v>
      </c>
      <c r="AH219" s="182">
        <f t="shared" si="35"/>
        <v>0</v>
      </c>
      <c r="AI219" s="182">
        <f t="shared" si="35"/>
        <v>0</v>
      </c>
      <c r="AJ219" s="182">
        <f t="shared" si="35"/>
        <v>0</v>
      </c>
      <c r="AK219" s="182">
        <f t="shared" si="35"/>
        <v>0</v>
      </c>
      <c r="AL219" s="182">
        <f t="shared" si="35"/>
        <v>0</v>
      </c>
      <c r="AM219" s="182">
        <f t="shared" si="35"/>
        <v>0</v>
      </c>
      <c r="AN219" s="182">
        <f t="shared" si="35"/>
        <v>0</v>
      </c>
      <c r="AO219" s="362">
        <f t="shared" si="35"/>
        <v>0</v>
      </c>
      <c r="AP219" s="29"/>
    </row>
    <row r="220" spans="1:42" outlineLevel="1" x14ac:dyDescent="0.25">
      <c r="A220" s="12"/>
      <c r="B220" s="13"/>
      <c r="C220" s="45"/>
      <c r="D220" s="45"/>
      <c r="E220" s="15"/>
      <c r="F220" s="16"/>
      <c r="G220" s="14"/>
      <c r="H220" s="177"/>
      <c r="I220" s="177"/>
      <c r="J220" s="177"/>
      <c r="K220" s="177"/>
      <c r="L220" s="177"/>
      <c r="M220" s="177"/>
      <c r="N220" s="177"/>
      <c r="O220" s="177"/>
      <c r="P220" s="177"/>
      <c r="Q220" s="177"/>
      <c r="R220" s="177"/>
      <c r="S220" s="177"/>
      <c r="T220" s="177"/>
      <c r="U220" s="177"/>
      <c r="V220" s="177"/>
      <c r="W220" s="177"/>
      <c r="X220" s="28"/>
      <c r="Y220" s="28"/>
      <c r="Z220" s="28"/>
      <c r="AA220" s="28"/>
      <c r="AB220" s="28"/>
      <c r="AC220" s="28"/>
      <c r="AD220" s="28"/>
      <c r="AE220" s="28"/>
      <c r="AF220" s="28"/>
      <c r="AG220" s="28"/>
      <c r="AH220" s="28"/>
      <c r="AI220" s="28"/>
      <c r="AJ220" s="28"/>
      <c r="AK220" s="28"/>
      <c r="AL220" s="28"/>
      <c r="AM220" s="28"/>
      <c r="AN220" s="28"/>
      <c r="AO220" s="357"/>
      <c r="AP220" s="29"/>
    </row>
    <row r="221" spans="1:42" outlineLevel="1" x14ac:dyDescent="0.25">
      <c r="A221" s="12"/>
      <c r="B221" s="13"/>
      <c r="C221" s="37" t="s">
        <v>513</v>
      </c>
      <c r="D221" s="37"/>
      <c r="E221" s="38"/>
      <c r="F221" s="39"/>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17"/>
    </row>
    <row r="222" spans="1:42" outlineLevel="1" x14ac:dyDescent="0.25">
      <c r="A222" s="12"/>
      <c r="B222" s="13"/>
      <c r="C222" s="45" t="s">
        <v>249</v>
      </c>
      <c r="D222" s="45"/>
      <c r="E222" s="15" t="s">
        <v>142</v>
      </c>
      <c r="F222" s="16"/>
      <c r="G222" s="14"/>
      <c r="H222" s="28"/>
      <c r="I222" s="28"/>
      <c r="J222" s="28"/>
      <c r="K222" s="28"/>
      <c r="L222" s="28"/>
      <c r="M222" s="28"/>
      <c r="N222" s="28"/>
      <c r="O222" s="28"/>
      <c r="P222" s="28"/>
      <c r="Q222" s="28"/>
      <c r="R222" s="28"/>
      <c r="S222" s="28"/>
      <c r="T222" s="28"/>
      <c r="U222" s="28"/>
      <c r="V222" s="28"/>
      <c r="W222" s="28"/>
      <c r="X222" s="28"/>
      <c r="Y222" s="28"/>
      <c r="Z222" s="28"/>
      <c r="AA222" s="28"/>
      <c r="AB222" s="28"/>
      <c r="AC222" s="182">
        <f>SUM(H197:H199)*Data!$E$135</f>
        <v>105000</v>
      </c>
      <c r="AD222" s="28"/>
      <c r="AE222" s="28"/>
      <c r="AF222" s="28"/>
      <c r="AG222" s="28"/>
      <c r="AH222" s="28"/>
      <c r="AI222" s="28"/>
      <c r="AJ222" s="28"/>
      <c r="AK222" s="28"/>
      <c r="AL222" s="28"/>
      <c r="AM222" s="28"/>
      <c r="AN222" s="28"/>
      <c r="AO222" s="357"/>
      <c r="AP222" s="29"/>
    </row>
    <row r="223" spans="1:42" outlineLevel="1" x14ac:dyDescent="0.25">
      <c r="A223" s="12"/>
      <c r="B223" s="13"/>
      <c r="C223" s="45"/>
      <c r="D223" s="45"/>
      <c r="E223" s="15"/>
      <c r="F223" s="16"/>
      <c r="G223" s="14"/>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357"/>
      <c r="AP223" s="29"/>
    </row>
    <row r="224" spans="1:42" outlineLevel="1" x14ac:dyDescent="0.25">
      <c r="A224" s="12"/>
      <c r="B224" s="13"/>
      <c r="C224" s="14"/>
      <c r="D224" s="14"/>
      <c r="E224" s="15"/>
      <c r="F224" s="16"/>
      <c r="G224" s="14"/>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17"/>
    </row>
    <row r="225" spans="1:42" outlineLevel="1" x14ac:dyDescent="0.25">
      <c r="A225" s="12"/>
      <c r="B225" s="13"/>
      <c r="C225" s="14"/>
      <c r="D225" s="14"/>
      <c r="E225" s="15"/>
      <c r="F225" s="16"/>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7"/>
    </row>
    <row r="226" spans="1:42" outlineLevel="1" x14ac:dyDescent="0.25">
      <c r="A226" s="12"/>
      <c r="B226" s="13"/>
      <c r="C226" s="37" t="s">
        <v>479</v>
      </c>
      <c r="D226" s="37"/>
      <c r="E226" s="38" t="s">
        <v>54</v>
      </c>
      <c r="F226" s="39"/>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17"/>
    </row>
    <row r="227" spans="1:42" outlineLevel="1" x14ac:dyDescent="0.25">
      <c r="A227" s="12"/>
      <c r="B227" s="13"/>
      <c r="C227" s="14" t="s">
        <v>479</v>
      </c>
      <c r="D227" s="14"/>
      <c r="E227" s="15" t="s">
        <v>54</v>
      </c>
      <c r="F227" s="16"/>
      <c r="G227" s="96"/>
      <c r="H227" s="165"/>
      <c r="I227" s="371">
        <f>I203+I219-I222</f>
        <v>557016.01531111519</v>
      </c>
      <c r="J227" s="371">
        <f t="shared" ref="J227:AO227" si="36">J203+J219-J222</f>
        <v>494397.63227778085</v>
      </c>
      <c r="K227" s="371">
        <f t="shared" si="36"/>
        <v>494397.63227778085</v>
      </c>
      <c r="L227" s="371">
        <f t="shared" si="36"/>
        <v>494397.63227778085</v>
      </c>
      <c r="M227" s="371">
        <f t="shared" si="36"/>
        <v>494397.63227778085</v>
      </c>
      <c r="N227" s="371">
        <f t="shared" si="36"/>
        <v>494397.63227778085</v>
      </c>
      <c r="O227" s="371">
        <f t="shared" si="36"/>
        <v>494397.63227778085</v>
      </c>
      <c r="P227" s="371">
        <f t="shared" si="36"/>
        <v>494397.63227778085</v>
      </c>
      <c r="Q227" s="371">
        <f t="shared" si="36"/>
        <v>494397.63227778085</v>
      </c>
      <c r="R227" s="371">
        <f t="shared" si="36"/>
        <v>494397.63227778085</v>
      </c>
      <c r="S227" s="371">
        <f t="shared" si="36"/>
        <v>494397.63227778085</v>
      </c>
      <c r="T227" s="371">
        <f t="shared" si="36"/>
        <v>494397.63227778085</v>
      </c>
      <c r="U227" s="371">
        <f t="shared" si="36"/>
        <v>494397.63227778085</v>
      </c>
      <c r="V227" s="371">
        <f t="shared" si="36"/>
        <v>494397.63227778085</v>
      </c>
      <c r="W227" s="371">
        <f t="shared" si="36"/>
        <v>494397.63227778085</v>
      </c>
      <c r="X227" s="371">
        <f t="shared" si="36"/>
        <v>494397.63227778085</v>
      </c>
      <c r="Y227" s="371">
        <f t="shared" si="36"/>
        <v>494397.63227778085</v>
      </c>
      <c r="Z227" s="371">
        <f t="shared" si="36"/>
        <v>494397.63227778085</v>
      </c>
      <c r="AA227" s="371">
        <f t="shared" si="36"/>
        <v>494397.63227778085</v>
      </c>
      <c r="AB227" s="371">
        <f t="shared" si="36"/>
        <v>494397.63227778085</v>
      </c>
      <c r="AC227" s="371">
        <f t="shared" si="36"/>
        <v>-105000</v>
      </c>
      <c r="AD227" s="371">
        <f t="shared" si="36"/>
        <v>0</v>
      </c>
      <c r="AE227" s="371">
        <f t="shared" si="36"/>
        <v>0</v>
      </c>
      <c r="AF227" s="371">
        <f t="shared" si="36"/>
        <v>0</v>
      </c>
      <c r="AG227" s="371">
        <f t="shared" si="36"/>
        <v>0</v>
      </c>
      <c r="AH227" s="371">
        <f t="shared" si="36"/>
        <v>0</v>
      </c>
      <c r="AI227" s="371">
        <f t="shared" si="36"/>
        <v>0</v>
      </c>
      <c r="AJ227" s="371">
        <f t="shared" si="36"/>
        <v>0</v>
      </c>
      <c r="AK227" s="371">
        <f t="shared" si="36"/>
        <v>0</v>
      </c>
      <c r="AL227" s="371">
        <f t="shared" si="36"/>
        <v>0</v>
      </c>
      <c r="AM227" s="371">
        <f t="shared" si="36"/>
        <v>0</v>
      </c>
      <c r="AN227" s="371">
        <f t="shared" si="36"/>
        <v>0</v>
      </c>
      <c r="AO227" s="371">
        <f t="shared" si="36"/>
        <v>0</v>
      </c>
      <c r="AP227" s="29"/>
    </row>
    <row r="228" spans="1:42" s="140" customFormat="1" outlineLevel="1" x14ac:dyDescent="0.25">
      <c r="A228" s="78"/>
      <c r="B228" s="19"/>
      <c r="C228" s="20" t="s">
        <v>480</v>
      </c>
      <c r="D228" s="20"/>
      <c r="E228" s="15" t="s">
        <v>54</v>
      </c>
      <c r="F228" s="48"/>
      <c r="G228" s="95"/>
      <c r="H228" s="182"/>
      <c r="I228" s="182">
        <f>I227*Data!H$9</f>
        <v>535592.32241453382</v>
      </c>
      <c r="J228" s="182">
        <f>J227*Data!I$9</f>
        <v>457098.40262368787</v>
      </c>
      <c r="K228" s="182">
        <f>K227*Data!J$9</f>
        <v>439517.69483046915</v>
      </c>
      <c r="L228" s="182">
        <f>L227*Data!K$9</f>
        <v>422613.16810622026</v>
      </c>
      <c r="M228" s="182">
        <f>M227*Data!L$9</f>
        <v>406358.81548675022</v>
      </c>
      <c r="N228" s="182">
        <f>N227*Data!M$9</f>
        <v>390729.63027572137</v>
      </c>
      <c r="O228" s="182">
        <f>O227*Data!N$9</f>
        <v>375701.56757280906</v>
      </c>
      <c r="P228" s="182">
        <f>P227*Data!O$9</f>
        <v>361251.50728154706</v>
      </c>
      <c r="Q228" s="182">
        <f>Q227*Data!P$9</f>
        <v>347357.21853994904</v>
      </c>
      <c r="R228" s="182">
        <f>R227*Data!Q$9</f>
        <v>333997.32551918179</v>
      </c>
      <c r="S228" s="182">
        <f>S227*Data!R$9</f>
        <v>321151.27453767485</v>
      </c>
      <c r="T228" s="182">
        <f>T227*Data!S$9</f>
        <v>308799.30244007189</v>
      </c>
      <c r="U228" s="182">
        <f>U227*Data!T$9</f>
        <v>296922.4061923768</v>
      </c>
      <c r="V228" s="182">
        <f>V227*Data!U$9</f>
        <v>285502.31364651618</v>
      </c>
      <c r="W228" s="182">
        <f>W227*Data!V$9</f>
        <v>274521.45542934246</v>
      </c>
      <c r="X228" s="182">
        <f>X227*Data!W$9</f>
        <v>263962.93791282928</v>
      </c>
      <c r="Y228" s="182">
        <f>Y227*Data!X$9</f>
        <v>253810.51722387428</v>
      </c>
      <c r="Z228" s="182">
        <f>Z227*Data!Y$9</f>
        <v>244048.57425372524</v>
      </c>
      <c r="AA228" s="182">
        <f>AA227*Data!Z$9</f>
        <v>234662.09062858199</v>
      </c>
      <c r="AB228" s="182">
        <f>AB227*Data!AA$9</f>
        <v>225636.62560440574</v>
      </c>
      <c r="AC228" s="182">
        <f>AC227*Data!AB$9</f>
        <v>-46077.528222245819</v>
      </c>
      <c r="AD228" s="182">
        <f>AD227*Data!AC$9</f>
        <v>0</v>
      </c>
      <c r="AE228" s="182">
        <f>AE227*Data!AD$9</f>
        <v>0</v>
      </c>
      <c r="AF228" s="182">
        <f>AF227*Data!AE$9</f>
        <v>0</v>
      </c>
      <c r="AG228" s="182">
        <f>AG227*Data!AF$9</f>
        <v>0</v>
      </c>
      <c r="AH228" s="182">
        <f>AH227*Data!AG$9</f>
        <v>0</v>
      </c>
      <c r="AI228" s="182">
        <f>AI227*Data!AH$9</f>
        <v>0</v>
      </c>
      <c r="AJ228" s="182">
        <f>AJ227*Data!AI$9</f>
        <v>0</v>
      </c>
      <c r="AK228" s="182">
        <f>AK227*Data!AJ$9</f>
        <v>0</v>
      </c>
      <c r="AL228" s="182">
        <f>AL227*Data!AK$9</f>
        <v>0</v>
      </c>
      <c r="AM228" s="182">
        <f>AM227*Data!AL$9</f>
        <v>0</v>
      </c>
      <c r="AN228" s="182">
        <f>AN227*Data!AM$9</f>
        <v>0</v>
      </c>
      <c r="AO228" s="182">
        <f>AO227*Data!AN$9</f>
        <v>0</v>
      </c>
      <c r="AP228" s="50"/>
    </row>
    <row r="229" spans="1:42" outlineLevel="1" x14ac:dyDescent="0.25">
      <c r="A229" s="12"/>
      <c r="B229" s="13"/>
      <c r="C229" s="14" t="s">
        <v>479</v>
      </c>
      <c r="D229" s="14"/>
      <c r="E229" s="15" t="s">
        <v>142</v>
      </c>
      <c r="F229" s="16"/>
      <c r="G229" s="165">
        <f>SUM(H228:AO228)</f>
        <v>6733157.6222980218</v>
      </c>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357"/>
      <c r="AP229" s="29"/>
    </row>
    <row r="230" spans="1:42" outlineLevel="1" x14ac:dyDescent="0.25">
      <c r="A230" s="12"/>
      <c r="B230" s="13"/>
      <c r="C230" s="44" t="s">
        <v>514</v>
      </c>
      <c r="D230" s="44"/>
      <c r="E230" s="15" t="s">
        <v>261</v>
      </c>
      <c r="F230" s="16"/>
      <c r="G230" s="183">
        <f>G229/SUM(I190:AO190)</f>
        <v>3.5967722341335588</v>
      </c>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7"/>
    </row>
    <row r="231" spans="1:42" outlineLevel="1" x14ac:dyDescent="0.25">
      <c r="A231" s="12"/>
      <c r="B231" s="13"/>
      <c r="C231" s="45"/>
      <c r="D231" s="45"/>
      <c r="E231" s="15"/>
      <c r="F231" s="16"/>
      <c r="G231" s="14"/>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357"/>
      <c r="AP231" s="29"/>
    </row>
    <row r="232" spans="1:42" outlineLevel="1" x14ac:dyDescent="0.25">
      <c r="A232" s="12"/>
      <c r="B232" s="13"/>
      <c r="C232" s="14"/>
      <c r="D232" s="14"/>
      <c r="E232" s="15"/>
      <c r="F232" s="16"/>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7"/>
    </row>
    <row r="233" spans="1:42" outlineLevel="1" x14ac:dyDescent="0.25">
      <c r="A233" s="12"/>
      <c r="B233" s="13"/>
      <c r="C233" s="19"/>
      <c r="D233" s="19"/>
      <c r="E233" s="15"/>
      <c r="F233" s="16"/>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7"/>
    </row>
    <row r="234" spans="1:42" outlineLevel="1" x14ac:dyDescent="0.25">
      <c r="A234" s="12"/>
      <c r="B234" s="13"/>
      <c r="C234" s="37" t="s">
        <v>515</v>
      </c>
      <c r="D234" s="37"/>
      <c r="E234" s="38"/>
      <c r="F234" s="39"/>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17"/>
    </row>
    <row r="235" spans="1:42" outlineLevel="1" x14ac:dyDescent="0.25">
      <c r="A235" s="12"/>
      <c r="B235" s="13"/>
      <c r="C235" s="20" t="s">
        <v>516</v>
      </c>
      <c r="D235" s="45"/>
      <c r="E235" s="15"/>
      <c r="F235" s="16"/>
      <c r="G235" s="165"/>
      <c r="H235" s="165"/>
      <c r="I235" s="165"/>
      <c r="J235" s="165"/>
      <c r="K235" s="165"/>
      <c r="L235" s="165"/>
      <c r="M235" s="165"/>
      <c r="N235" s="165"/>
      <c r="O235" s="165"/>
      <c r="P235" s="165"/>
      <c r="Q235" s="165"/>
      <c r="R235" s="165"/>
      <c r="S235" s="165"/>
      <c r="T235" s="165"/>
      <c r="U235" s="28"/>
      <c r="V235" s="28"/>
      <c r="W235" s="28"/>
      <c r="X235" s="28"/>
      <c r="Y235" s="28"/>
      <c r="Z235" s="28"/>
      <c r="AA235" s="28"/>
      <c r="AB235" s="28"/>
      <c r="AC235" s="28"/>
      <c r="AD235" s="28"/>
      <c r="AE235" s="28"/>
      <c r="AF235" s="28"/>
      <c r="AG235" s="28"/>
      <c r="AH235" s="28"/>
      <c r="AI235" s="28"/>
      <c r="AJ235" s="28"/>
      <c r="AK235" s="28"/>
      <c r="AL235" s="28"/>
      <c r="AM235" s="28"/>
      <c r="AN235" s="28"/>
      <c r="AO235" s="357"/>
      <c r="AP235" s="29"/>
    </row>
    <row r="236" spans="1:42" outlineLevel="1" x14ac:dyDescent="0.25">
      <c r="A236" s="12"/>
      <c r="B236" s="13"/>
      <c r="C236" s="45" t="s">
        <v>517</v>
      </c>
      <c r="D236" s="45"/>
      <c r="E236" s="15" t="s">
        <v>342</v>
      </c>
      <c r="F236" s="179">
        <f>Data!$E$138</f>
        <v>100000</v>
      </c>
      <c r="G236" s="165"/>
      <c r="H236" s="165"/>
      <c r="I236" s="165"/>
      <c r="J236" s="165"/>
      <c r="K236" s="165"/>
      <c r="L236" s="165"/>
      <c r="M236" s="165"/>
      <c r="N236" s="165"/>
      <c r="O236" s="165"/>
      <c r="P236" s="165"/>
      <c r="Q236" s="165"/>
      <c r="R236" s="165"/>
      <c r="S236" s="165"/>
      <c r="T236" s="165"/>
      <c r="U236" s="28"/>
      <c r="V236" s="28"/>
      <c r="W236" s="28"/>
      <c r="X236" s="28"/>
      <c r="Y236" s="28"/>
      <c r="Z236" s="28"/>
      <c r="AA236" s="28"/>
      <c r="AB236" s="28"/>
      <c r="AC236" s="28"/>
      <c r="AD236" s="28"/>
      <c r="AE236" s="28"/>
      <c r="AF236" s="28"/>
      <c r="AG236" s="28"/>
      <c r="AH236" s="28"/>
      <c r="AI236" s="28"/>
      <c r="AJ236" s="28"/>
      <c r="AK236" s="28"/>
      <c r="AL236" s="28"/>
      <c r="AM236" s="28"/>
      <c r="AN236" s="28"/>
      <c r="AO236" s="357"/>
      <c r="AP236" s="29"/>
    </row>
    <row r="237" spans="1:42" outlineLevel="1" x14ac:dyDescent="0.25">
      <c r="A237" s="12"/>
      <c r="B237" s="13"/>
      <c r="C237" s="45" t="s">
        <v>518</v>
      </c>
      <c r="D237" s="45"/>
      <c r="E237" s="15" t="s">
        <v>142</v>
      </c>
      <c r="F237" s="179"/>
      <c r="G237" s="186">
        <f>F236*Data!$G$16/1000</f>
        <v>8700</v>
      </c>
      <c r="H237" s="165"/>
      <c r="I237" s="165"/>
      <c r="J237" s="165"/>
      <c r="K237" s="165"/>
      <c r="L237" s="165"/>
      <c r="M237" s="165"/>
      <c r="N237" s="165"/>
      <c r="O237" s="165"/>
      <c r="P237" s="165"/>
      <c r="Q237" s="165"/>
      <c r="R237" s="165"/>
      <c r="S237" s="165"/>
      <c r="T237" s="165"/>
      <c r="U237" s="28"/>
      <c r="V237" s="28"/>
      <c r="W237" s="28"/>
      <c r="X237" s="28"/>
      <c r="Y237" s="28"/>
      <c r="Z237" s="28"/>
      <c r="AA237" s="28"/>
      <c r="AB237" s="28"/>
      <c r="AC237" s="28"/>
      <c r="AD237" s="28"/>
      <c r="AE237" s="28"/>
      <c r="AF237" s="28"/>
      <c r="AG237" s="28"/>
      <c r="AH237" s="28"/>
      <c r="AI237" s="28"/>
      <c r="AJ237" s="28"/>
      <c r="AK237" s="28"/>
      <c r="AL237" s="28"/>
      <c r="AM237" s="28"/>
      <c r="AN237" s="28"/>
      <c r="AO237" s="357"/>
      <c r="AP237" s="29"/>
    </row>
    <row r="238" spans="1:42" outlineLevel="1" x14ac:dyDescent="0.25">
      <c r="A238" s="12"/>
      <c r="B238" s="13"/>
      <c r="C238" s="45" t="s">
        <v>518</v>
      </c>
      <c r="D238" s="45"/>
      <c r="E238" s="15" t="s">
        <v>261</v>
      </c>
      <c r="F238" s="179"/>
      <c r="G238" s="184">
        <f>G237/(SUM(H190:AN190))</f>
        <v>4.6474358974358974E-3</v>
      </c>
      <c r="H238" s="165"/>
      <c r="I238" s="165"/>
      <c r="J238" s="165"/>
      <c r="K238" s="165"/>
      <c r="L238" s="165"/>
      <c r="M238" s="165"/>
      <c r="N238" s="165"/>
      <c r="O238" s="165"/>
      <c r="P238" s="165"/>
      <c r="Q238" s="165"/>
      <c r="R238" s="165"/>
      <c r="S238" s="165"/>
      <c r="T238" s="165"/>
      <c r="U238" s="28"/>
      <c r="V238" s="28"/>
      <c r="W238" s="28"/>
      <c r="X238" s="28"/>
      <c r="Y238" s="28"/>
      <c r="Z238" s="28"/>
      <c r="AA238" s="28"/>
      <c r="AB238" s="28"/>
      <c r="AC238" s="28"/>
      <c r="AD238" s="28"/>
      <c r="AE238" s="28"/>
      <c r="AF238" s="28"/>
      <c r="AG238" s="28"/>
      <c r="AH238" s="28"/>
      <c r="AI238" s="28"/>
      <c r="AJ238" s="28"/>
      <c r="AK238" s="28"/>
      <c r="AL238" s="28"/>
      <c r="AM238" s="28"/>
      <c r="AN238" s="28"/>
      <c r="AO238" s="357"/>
      <c r="AP238" s="29"/>
    </row>
    <row r="239" spans="1:42" outlineLevel="1" x14ac:dyDescent="0.25">
      <c r="A239" s="12"/>
      <c r="B239" s="13"/>
      <c r="C239" s="20" t="s">
        <v>519</v>
      </c>
      <c r="D239" s="19"/>
      <c r="E239" s="15"/>
      <c r="F239" s="16"/>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7"/>
    </row>
    <row r="240" spans="1:42" outlineLevel="1" x14ac:dyDescent="0.25">
      <c r="A240" s="12"/>
      <c r="B240" s="13"/>
      <c r="C240" t="s">
        <v>520</v>
      </c>
      <c r="D240" s="14"/>
      <c r="E240" s="15" t="s">
        <v>521</v>
      </c>
      <c r="F240" s="16"/>
      <c r="G240" s="20" t="s">
        <v>522</v>
      </c>
      <c r="H240" s="141"/>
      <c r="I240" s="141">
        <f>I190</f>
        <v>93600</v>
      </c>
      <c r="J240" s="141">
        <f t="shared" ref="J240:AB240" si="37">J190</f>
        <v>93600</v>
      </c>
      <c r="K240" s="141">
        <f t="shared" si="37"/>
        <v>93600</v>
      </c>
      <c r="L240" s="141">
        <f t="shared" si="37"/>
        <v>93600</v>
      </c>
      <c r="M240" s="141">
        <f t="shared" si="37"/>
        <v>93600</v>
      </c>
      <c r="N240" s="141">
        <f t="shared" si="37"/>
        <v>93600</v>
      </c>
      <c r="O240" s="141">
        <f t="shared" si="37"/>
        <v>93600</v>
      </c>
      <c r="P240" s="141">
        <f t="shared" si="37"/>
        <v>93600</v>
      </c>
      <c r="Q240" s="141">
        <f t="shared" si="37"/>
        <v>93600</v>
      </c>
      <c r="R240" s="141">
        <f t="shared" si="37"/>
        <v>93600</v>
      </c>
      <c r="S240" s="141">
        <f t="shared" si="37"/>
        <v>93600</v>
      </c>
      <c r="T240" s="141">
        <f t="shared" si="37"/>
        <v>93600</v>
      </c>
      <c r="U240" s="141">
        <f t="shared" si="37"/>
        <v>93600</v>
      </c>
      <c r="V240" s="141">
        <f t="shared" si="37"/>
        <v>93600</v>
      </c>
      <c r="W240" s="141">
        <f t="shared" si="37"/>
        <v>93600</v>
      </c>
      <c r="X240" s="141">
        <f t="shared" si="37"/>
        <v>93600</v>
      </c>
      <c r="Y240" s="141">
        <f t="shared" si="37"/>
        <v>93600</v>
      </c>
      <c r="Z240" s="141">
        <f t="shared" si="37"/>
        <v>93600</v>
      </c>
      <c r="AA240" s="141">
        <f t="shared" si="37"/>
        <v>93600</v>
      </c>
      <c r="AB240" s="141">
        <f t="shared" si="37"/>
        <v>93600</v>
      </c>
      <c r="AC240" s="141"/>
      <c r="AD240" s="141"/>
      <c r="AE240" s="141"/>
      <c r="AF240" s="141"/>
      <c r="AG240" s="141"/>
      <c r="AH240" s="141"/>
      <c r="AI240" s="141"/>
      <c r="AJ240" s="141"/>
      <c r="AK240" s="141"/>
      <c r="AL240" s="141"/>
      <c r="AM240" s="141"/>
      <c r="AN240" s="141"/>
      <c r="AO240" s="141"/>
      <c r="AP240" s="17"/>
    </row>
    <row r="241" spans="1:42" outlineLevel="1" x14ac:dyDescent="0.25">
      <c r="A241" s="12"/>
      <c r="B241" s="13"/>
      <c r="C241" s="14" t="s">
        <v>483</v>
      </c>
      <c r="D241" s="14"/>
      <c r="E241" s="15"/>
      <c r="F241" s="16"/>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7"/>
    </row>
    <row r="242" spans="1:42" ht="14.25" customHeight="1" outlineLevel="1" x14ac:dyDescent="0.25">
      <c r="A242" s="54"/>
      <c r="B242" s="13"/>
      <c r="C242" s="14" t="s">
        <v>205</v>
      </c>
      <c r="D242" s="14"/>
      <c r="E242" s="70" t="s">
        <v>352</v>
      </c>
      <c r="F242" s="201">
        <f>Data!E556/1000</f>
        <v>3.0107355222942197E-3</v>
      </c>
      <c r="G242" s="231">
        <f>SUM(I242:AO242)</f>
        <v>5636.0968977347811</v>
      </c>
      <c r="H242" s="56"/>
      <c r="I242" s="56">
        <f t="shared" ref="I242:I248" si="38">I$240*$F242</f>
        <v>281.80484488673898</v>
      </c>
      <c r="J242" s="56">
        <f t="shared" ref="J242:AO248" si="39">J$240*$F242</f>
        <v>281.80484488673898</v>
      </c>
      <c r="K242" s="56">
        <f t="shared" si="39"/>
        <v>281.80484488673898</v>
      </c>
      <c r="L242" s="56">
        <f t="shared" si="39"/>
        <v>281.80484488673898</v>
      </c>
      <c r="M242" s="56">
        <f t="shared" si="39"/>
        <v>281.80484488673898</v>
      </c>
      <c r="N242" s="56">
        <f t="shared" si="39"/>
        <v>281.80484488673898</v>
      </c>
      <c r="O242" s="56">
        <f t="shared" si="39"/>
        <v>281.80484488673898</v>
      </c>
      <c r="P242" s="56">
        <f t="shared" si="39"/>
        <v>281.80484488673898</v>
      </c>
      <c r="Q242" s="56">
        <f t="shared" si="39"/>
        <v>281.80484488673898</v>
      </c>
      <c r="R242" s="56">
        <f t="shared" si="39"/>
        <v>281.80484488673898</v>
      </c>
      <c r="S242" s="56">
        <f t="shared" si="39"/>
        <v>281.80484488673898</v>
      </c>
      <c r="T242" s="56">
        <f t="shared" si="39"/>
        <v>281.80484488673898</v>
      </c>
      <c r="U242" s="56">
        <f t="shared" si="39"/>
        <v>281.80484488673898</v>
      </c>
      <c r="V242" s="56">
        <f t="shared" si="39"/>
        <v>281.80484488673898</v>
      </c>
      <c r="W242" s="56">
        <f t="shared" si="39"/>
        <v>281.80484488673898</v>
      </c>
      <c r="X242" s="56">
        <f t="shared" si="39"/>
        <v>281.80484488673898</v>
      </c>
      <c r="Y242" s="56">
        <f t="shared" si="39"/>
        <v>281.80484488673898</v>
      </c>
      <c r="Z242" s="56">
        <f t="shared" si="39"/>
        <v>281.80484488673898</v>
      </c>
      <c r="AA242" s="56">
        <f t="shared" si="39"/>
        <v>281.80484488673898</v>
      </c>
      <c r="AB242" s="56">
        <f t="shared" si="39"/>
        <v>281.80484488673898</v>
      </c>
      <c r="AC242" s="56">
        <f t="shared" si="39"/>
        <v>0</v>
      </c>
      <c r="AD242" s="56">
        <f t="shared" si="39"/>
        <v>0</v>
      </c>
      <c r="AE242" s="56">
        <f t="shared" si="39"/>
        <v>0</v>
      </c>
      <c r="AF242" s="56">
        <f t="shared" si="39"/>
        <v>0</v>
      </c>
      <c r="AG242" s="56">
        <f t="shared" si="39"/>
        <v>0</v>
      </c>
      <c r="AH242" s="56">
        <f t="shared" si="39"/>
        <v>0</v>
      </c>
      <c r="AI242" s="56">
        <f t="shared" si="39"/>
        <v>0</v>
      </c>
      <c r="AJ242" s="56">
        <f t="shared" si="39"/>
        <v>0</v>
      </c>
      <c r="AK242" s="56">
        <f t="shared" si="39"/>
        <v>0</v>
      </c>
      <c r="AL242" s="56">
        <f t="shared" si="39"/>
        <v>0</v>
      </c>
      <c r="AM242" s="56">
        <f t="shared" si="39"/>
        <v>0</v>
      </c>
      <c r="AN242" s="56">
        <f t="shared" si="39"/>
        <v>0</v>
      </c>
      <c r="AO242" s="68">
        <f t="shared" si="39"/>
        <v>0</v>
      </c>
      <c r="AP242" s="29"/>
    </row>
    <row r="243" spans="1:42" s="140" customFormat="1" ht="14.25" customHeight="1" outlineLevel="1" x14ac:dyDescent="0.25">
      <c r="A243" s="235"/>
      <c r="B243" s="19"/>
      <c r="C243" s="20" t="s">
        <v>484</v>
      </c>
      <c r="D243" s="20"/>
      <c r="E243" s="236" t="s">
        <v>352</v>
      </c>
      <c r="F243" s="201">
        <f>Data!E557/1000</f>
        <v>2.2565026878869472</v>
      </c>
      <c r="G243" s="231">
        <f t="shared" ref="G243:G254" si="40">SUM(I243:AO243)</f>
        <v>4224173.0317243654</v>
      </c>
      <c r="H243" s="231"/>
      <c r="I243" s="231">
        <f t="shared" si="38"/>
        <v>211208.65158621827</v>
      </c>
      <c r="J243" s="231">
        <f t="shared" si="39"/>
        <v>211208.65158621827</v>
      </c>
      <c r="K243" s="231">
        <f t="shared" si="39"/>
        <v>211208.65158621827</v>
      </c>
      <c r="L243" s="231">
        <f t="shared" si="39"/>
        <v>211208.65158621827</v>
      </c>
      <c r="M243" s="231">
        <f t="shared" si="39"/>
        <v>211208.65158621827</v>
      </c>
      <c r="N243" s="231">
        <f t="shared" si="39"/>
        <v>211208.65158621827</v>
      </c>
      <c r="O243" s="231">
        <f t="shared" si="39"/>
        <v>211208.65158621827</v>
      </c>
      <c r="P243" s="231">
        <f t="shared" si="39"/>
        <v>211208.65158621827</v>
      </c>
      <c r="Q243" s="231">
        <f t="shared" si="39"/>
        <v>211208.65158621827</v>
      </c>
      <c r="R243" s="231">
        <f t="shared" si="39"/>
        <v>211208.65158621827</v>
      </c>
      <c r="S243" s="231">
        <f t="shared" si="39"/>
        <v>211208.65158621827</v>
      </c>
      <c r="T243" s="231">
        <f t="shared" si="39"/>
        <v>211208.65158621827</v>
      </c>
      <c r="U243" s="231">
        <f t="shared" si="39"/>
        <v>211208.65158621827</v>
      </c>
      <c r="V243" s="231">
        <f t="shared" si="39"/>
        <v>211208.65158621827</v>
      </c>
      <c r="W243" s="231">
        <f t="shared" si="39"/>
        <v>211208.65158621827</v>
      </c>
      <c r="X243" s="231">
        <f t="shared" si="39"/>
        <v>211208.65158621827</v>
      </c>
      <c r="Y243" s="231">
        <f t="shared" si="39"/>
        <v>211208.65158621827</v>
      </c>
      <c r="Z243" s="231">
        <f t="shared" si="39"/>
        <v>211208.65158621827</v>
      </c>
      <c r="AA243" s="231">
        <f t="shared" si="39"/>
        <v>211208.65158621827</v>
      </c>
      <c r="AB243" s="231">
        <f t="shared" si="39"/>
        <v>211208.65158621827</v>
      </c>
      <c r="AC243" s="231">
        <f t="shared" si="39"/>
        <v>0</v>
      </c>
      <c r="AD243" s="231">
        <f t="shared" si="39"/>
        <v>0</v>
      </c>
      <c r="AE243" s="231">
        <f t="shared" si="39"/>
        <v>0</v>
      </c>
      <c r="AF243" s="231">
        <f t="shared" si="39"/>
        <v>0</v>
      </c>
      <c r="AG243" s="231">
        <f t="shared" si="39"/>
        <v>0</v>
      </c>
      <c r="AH243" s="231">
        <f t="shared" si="39"/>
        <v>0</v>
      </c>
      <c r="AI243" s="231">
        <f t="shared" si="39"/>
        <v>0</v>
      </c>
      <c r="AJ243" s="231">
        <f t="shared" si="39"/>
        <v>0</v>
      </c>
      <c r="AK243" s="231">
        <f t="shared" si="39"/>
        <v>0</v>
      </c>
      <c r="AL243" s="231">
        <f t="shared" si="39"/>
        <v>0</v>
      </c>
      <c r="AM243" s="231">
        <f t="shared" si="39"/>
        <v>0</v>
      </c>
      <c r="AN243" s="231">
        <f t="shared" si="39"/>
        <v>0</v>
      </c>
      <c r="AO243" s="359">
        <f t="shared" si="39"/>
        <v>0</v>
      </c>
      <c r="AP243" s="50"/>
    </row>
    <row r="244" spans="1:42" outlineLevel="1" x14ac:dyDescent="0.25">
      <c r="A244" s="54"/>
      <c r="B244" s="13"/>
      <c r="C244" s="14" t="s">
        <v>285</v>
      </c>
      <c r="D244" s="14"/>
      <c r="E244" s="70" t="s">
        <v>352</v>
      </c>
      <c r="F244" s="201">
        <f>Data!E558/1000</f>
        <v>2.4674863588574204E-4</v>
      </c>
      <c r="G244" s="231">
        <f t="shared" si="40"/>
        <v>461.91344637810886</v>
      </c>
      <c r="H244" s="56"/>
      <c r="I244" s="231">
        <f t="shared" si="38"/>
        <v>23.095672318905454</v>
      </c>
      <c r="J244" s="231">
        <f t="shared" si="39"/>
        <v>23.095672318905454</v>
      </c>
      <c r="K244" s="231">
        <f t="shared" si="39"/>
        <v>23.095672318905454</v>
      </c>
      <c r="L244" s="231">
        <f t="shared" si="39"/>
        <v>23.095672318905454</v>
      </c>
      <c r="M244" s="231">
        <f t="shared" si="39"/>
        <v>23.095672318905454</v>
      </c>
      <c r="N244" s="231">
        <f t="shared" si="39"/>
        <v>23.095672318905454</v>
      </c>
      <c r="O244" s="231">
        <f t="shared" si="39"/>
        <v>23.095672318905454</v>
      </c>
      <c r="P244" s="231">
        <f t="shared" si="39"/>
        <v>23.095672318905454</v>
      </c>
      <c r="Q244" s="231">
        <f t="shared" si="39"/>
        <v>23.095672318905454</v>
      </c>
      <c r="R244" s="231">
        <f t="shared" si="39"/>
        <v>23.095672318905454</v>
      </c>
      <c r="S244" s="231">
        <f t="shared" si="39"/>
        <v>23.095672318905454</v>
      </c>
      <c r="T244" s="231">
        <f t="shared" si="39"/>
        <v>23.095672318905454</v>
      </c>
      <c r="U244" s="231">
        <f t="shared" si="39"/>
        <v>23.095672318905454</v>
      </c>
      <c r="V244" s="231">
        <f t="shared" si="39"/>
        <v>23.095672318905454</v>
      </c>
      <c r="W244" s="231">
        <f t="shared" si="39"/>
        <v>23.095672318905454</v>
      </c>
      <c r="X244" s="231">
        <f t="shared" si="39"/>
        <v>23.095672318905454</v>
      </c>
      <c r="Y244" s="231">
        <f t="shared" si="39"/>
        <v>23.095672318905454</v>
      </c>
      <c r="Z244" s="231">
        <f t="shared" si="39"/>
        <v>23.095672318905454</v>
      </c>
      <c r="AA244" s="231">
        <f t="shared" si="39"/>
        <v>23.095672318905454</v>
      </c>
      <c r="AB244" s="231">
        <f t="shared" si="39"/>
        <v>23.095672318905454</v>
      </c>
      <c r="AC244" s="231">
        <f t="shared" si="39"/>
        <v>0</v>
      </c>
      <c r="AD244" s="231">
        <f t="shared" si="39"/>
        <v>0</v>
      </c>
      <c r="AE244" s="231">
        <f t="shared" si="39"/>
        <v>0</v>
      </c>
      <c r="AF244" s="231">
        <f t="shared" si="39"/>
        <v>0</v>
      </c>
      <c r="AG244" s="231">
        <f t="shared" si="39"/>
        <v>0</v>
      </c>
      <c r="AH244" s="231">
        <f t="shared" si="39"/>
        <v>0</v>
      </c>
      <c r="AI244" s="231">
        <f t="shared" si="39"/>
        <v>0</v>
      </c>
      <c r="AJ244" s="231">
        <f t="shared" si="39"/>
        <v>0</v>
      </c>
      <c r="AK244" s="231">
        <f t="shared" si="39"/>
        <v>0</v>
      </c>
      <c r="AL244" s="231">
        <f t="shared" si="39"/>
        <v>0</v>
      </c>
      <c r="AM244" s="231">
        <f t="shared" si="39"/>
        <v>0</v>
      </c>
      <c r="AN244" s="231">
        <f t="shared" si="39"/>
        <v>0</v>
      </c>
      <c r="AO244" s="359">
        <f t="shared" si="39"/>
        <v>0</v>
      </c>
      <c r="AP244" s="29"/>
    </row>
    <row r="245" spans="1:42" outlineLevel="1" x14ac:dyDescent="0.25">
      <c r="A245" s="54"/>
      <c r="B245" s="13"/>
      <c r="C245" s="14" t="s">
        <v>220</v>
      </c>
      <c r="D245" s="14"/>
      <c r="E245" s="70" t="s">
        <v>352</v>
      </c>
      <c r="F245" s="201">
        <f>Data!E559/1000</f>
        <v>1.0386979165916608E-2</v>
      </c>
      <c r="G245" s="231">
        <f t="shared" si="40"/>
        <v>19444.424998595889</v>
      </c>
      <c r="H245" s="56"/>
      <c r="I245" s="231">
        <f t="shared" si="38"/>
        <v>972.22124992979445</v>
      </c>
      <c r="J245" s="231">
        <f t="shared" si="39"/>
        <v>972.22124992979445</v>
      </c>
      <c r="K245" s="231">
        <f t="shared" si="39"/>
        <v>972.22124992979445</v>
      </c>
      <c r="L245" s="231">
        <f t="shared" si="39"/>
        <v>972.22124992979445</v>
      </c>
      <c r="M245" s="231">
        <f t="shared" si="39"/>
        <v>972.22124992979445</v>
      </c>
      <c r="N245" s="231">
        <f t="shared" si="39"/>
        <v>972.22124992979445</v>
      </c>
      <c r="O245" s="231">
        <f t="shared" si="39"/>
        <v>972.22124992979445</v>
      </c>
      <c r="P245" s="231">
        <f t="shared" si="39"/>
        <v>972.22124992979445</v>
      </c>
      <c r="Q245" s="231">
        <f t="shared" si="39"/>
        <v>972.22124992979445</v>
      </c>
      <c r="R245" s="231">
        <f t="shared" si="39"/>
        <v>972.22124992979445</v>
      </c>
      <c r="S245" s="231">
        <f t="shared" si="39"/>
        <v>972.22124992979445</v>
      </c>
      <c r="T245" s="231">
        <f t="shared" si="39"/>
        <v>972.22124992979445</v>
      </c>
      <c r="U245" s="231">
        <f t="shared" si="39"/>
        <v>972.22124992979445</v>
      </c>
      <c r="V245" s="231">
        <f t="shared" si="39"/>
        <v>972.22124992979445</v>
      </c>
      <c r="W245" s="231">
        <f t="shared" si="39"/>
        <v>972.22124992979445</v>
      </c>
      <c r="X245" s="231">
        <f t="shared" si="39"/>
        <v>972.22124992979445</v>
      </c>
      <c r="Y245" s="231">
        <f t="shared" si="39"/>
        <v>972.22124992979445</v>
      </c>
      <c r="Z245" s="231">
        <f t="shared" si="39"/>
        <v>972.22124992979445</v>
      </c>
      <c r="AA245" s="231">
        <f t="shared" si="39"/>
        <v>972.22124992979445</v>
      </c>
      <c r="AB245" s="231">
        <f t="shared" si="39"/>
        <v>972.22124992979445</v>
      </c>
      <c r="AC245" s="231">
        <f t="shared" si="39"/>
        <v>0</v>
      </c>
      <c r="AD245" s="231">
        <f t="shared" si="39"/>
        <v>0</v>
      </c>
      <c r="AE245" s="231">
        <f t="shared" si="39"/>
        <v>0</v>
      </c>
      <c r="AF245" s="231">
        <f t="shared" si="39"/>
        <v>0</v>
      </c>
      <c r="AG245" s="231">
        <f t="shared" si="39"/>
        <v>0</v>
      </c>
      <c r="AH245" s="231">
        <f t="shared" si="39"/>
        <v>0</v>
      </c>
      <c r="AI245" s="231">
        <f t="shared" si="39"/>
        <v>0</v>
      </c>
      <c r="AJ245" s="231">
        <f t="shared" si="39"/>
        <v>0</v>
      </c>
      <c r="AK245" s="231">
        <f t="shared" si="39"/>
        <v>0</v>
      </c>
      <c r="AL245" s="231">
        <f t="shared" si="39"/>
        <v>0</v>
      </c>
      <c r="AM245" s="231">
        <f t="shared" si="39"/>
        <v>0</v>
      </c>
      <c r="AN245" s="231">
        <f t="shared" si="39"/>
        <v>0</v>
      </c>
      <c r="AO245" s="359">
        <f t="shared" si="39"/>
        <v>0</v>
      </c>
      <c r="AP245" s="29"/>
    </row>
    <row r="246" spans="1:42" outlineLevel="1" x14ac:dyDescent="0.25">
      <c r="A246" s="54"/>
      <c r="B246" s="13"/>
      <c r="C246" s="14" t="s">
        <v>212</v>
      </c>
      <c r="D246" s="14"/>
      <c r="E246" s="70" t="s">
        <v>352</v>
      </c>
      <c r="F246" s="201">
        <f>Data!E560/1000</f>
        <v>1.200162949787418E-3</v>
      </c>
      <c r="G246" s="231">
        <f t="shared" si="40"/>
        <v>2246.7050420020464</v>
      </c>
      <c r="H246" s="56"/>
      <c r="I246" s="231">
        <f t="shared" si="38"/>
        <v>112.33525210010232</v>
      </c>
      <c r="J246" s="231">
        <f t="shared" si="39"/>
        <v>112.33525210010232</v>
      </c>
      <c r="K246" s="231">
        <f t="shared" si="39"/>
        <v>112.33525210010232</v>
      </c>
      <c r="L246" s="231">
        <f t="shared" si="39"/>
        <v>112.33525210010232</v>
      </c>
      <c r="M246" s="231">
        <f t="shared" si="39"/>
        <v>112.33525210010232</v>
      </c>
      <c r="N246" s="231">
        <f t="shared" si="39"/>
        <v>112.33525210010232</v>
      </c>
      <c r="O246" s="231">
        <f t="shared" si="39"/>
        <v>112.33525210010232</v>
      </c>
      <c r="P246" s="231">
        <f t="shared" si="39"/>
        <v>112.33525210010232</v>
      </c>
      <c r="Q246" s="231">
        <f t="shared" si="39"/>
        <v>112.33525210010232</v>
      </c>
      <c r="R246" s="231">
        <f t="shared" si="39"/>
        <v>112.33525210010232</v>
      </c>
      <c r="S246" s="231">
        <f t="shared" si="39"/>
        <v>112.33525210010232</v>
      </c>
      <c r="T246" s="231">
        <f t="shared" si="39"/>
        <v>112.33525210010232</v>
      </c>
      <c r="U246" s="231">
        <f t="shared" si="39"/>
        <v>112.33525210010232</v>
      </c>
      <c r="V246" s="231">
        <f t="shared" si="39"/>
        <v>112.33525210010232</v>
      </c>
      <c r="W246" s="231">
        <f t="shared" si="39"/>
        <v>112.33525210010232</v>
      </c>
      <c r="X246" s="231">
        <f t="shared" si="39"/>
        <v>112.33525210010232</v>
      </c>
      <c r="Y246" s="231">
        <f t="shared" si="39"/>
        <v>112.33525210010232</v>
      </c>
      <c r="Z246" s="231">
        <f t="shared" si="39"/>
        <v>112.33525210010232</v>
      </c>
      <c r="AA246" s="231">
        <f t="shared" si="39"/>
        <v>112.33525210010232</v>
      </c>
      <c r="AB246" s="231">
        <f t="shared" si="39"/>
        <v>112.33525210010232</v>
      </c>
      <c r="AC246" s="231">
        <f t="shared" si="39"/>
        <v>0</v>
      </c>
      <c r="AD246" s="231">
        <f t="shared" si="39"/>
        <v>0</v>
      </c>
      <c r="AE246" s="231">
        <f t="shared" si="39"/>
        <v>0</v>
      </c>
      <c r="AF246" s="231">
        <f t="shared" si="39"/>
        <v>0</v>
      </c>
      <c r="AG246" s="231">
        <f t="shared" si="39"/>
        <v>0</v>
      </c>
      <c r="AH246" s="231">
        <f t="shared" si="39"/>
        <v>0</v>
      </c>
      <c r="AI246" s="231">
        <f t="shared" si="39"/>
        <v>0</v>
      </c>
      <c r="AJ246" s="231">
        <f t="shared" si="39"/>
        <v>0</v>
      </c>
      <c r="AK246" s="231">
        <f t="shared" si="39"/>
        <v>0</v>
      </c>
      <c r="AL246" s="231">
        <f t="shared" si="39"/>
        <v>0</v>
      </c>
      <c r="AM246" s="231">
        <f t="shared" si="39"/>
        <v>0</v>
      </c>
      <c r="AN246" s="231">
        <f t="shared" si="39"/>
        <v>0</v>
      </c>
      <c r="AO246" s="359">
        <f t="shared" si="39"/>
        <v>0</v>
      </c>
      <c r="AP246" s="29"/>
    </row>
    <row r="247" spans="1:42" outlineLevel="1" x14ac:dyDescent="0.25">
      <c r="A247" s="54"/>
      <c r="B247" s="13"/>
      <c r="C247" s="14" t="s">
        <v>485</v>
      </c>
      <c r="D247" s="14"/>
      <c r="E247" s="70" t="s">
        <v>352</v>
      </c>
      <c r="F247" s="201">
        <f>Data!E561/1000</f>
        <v>2.8863348804976244E-4</v>
      </c>
      <c r="G247" s="231">
        <f t="shared" si="40"/>
        <v>540.32188962915518</v>
      </c>
      <c r="H247" s="56"/>
      <c r="I247" s="231">
        <f t="shared" si="38"/>
        <v>27.016094481457763</v>
      </c>
      <c r="J247" s="231">
        <f t="shared" si="39"/>
        <v>27.016094481457763</v>
      </c>
      <c r="K247" s="231">
        <f t="shared" si="39"/>
        <v>27.016094481457763</v>
      </c>
      <c r="L247" s="231">
        <f t="shared" si="39"/>
        <v>27.016094481457763</v>
      </c>
      <c r="M247" s="231">
        <f t="shared" si="39"/>
        <v>27.016094481457763</v>
      </c>
      <c r="N247" s="231">
        <f t="shared" si="39"/>
        <v>27.016094481457763</v>
      </c>
      <c r="O247" s="231">
        <f t="shared" si="39"/>
        <v>27.016094481457763</v>
      </c>
      <c r="P247" s="231">
        <f t="shared" si="39"/>
        <v>27.016094481457763</v>
      </c>
      <c r="Q247" s="231">
        <f t="shared" si="39"/>
        <v>27.016094481457763</v>
      </c>
      <c r="R247" s="231">
        <f t="shared" si="39"/>
        <v>27.016094481457763</v>
      </c>
      <c r="S247" s="231">
        <f t="shared" si="39"/>
        <v>27.016094481457763</v>
      </c>
      <c r="T247" s="231">
        <f t="shared" si="39"/>
        <v>27.016094481457763</v>
      </c>
      <c r="U247" s="231">
        <f t="shared" si="39"/>
        <v>27.016094481457763</v>
      </c>
      <c r="V247" s="231">
        <f t="shared" si="39"/>
        <v>27.016094481457763</v>
      </c>
      <c r="W247" s="231">
        <f t="shared" si="39"/>
        <v>27.016094481457763</v>
      </c>
      <c r="X247" s="231">
        <f t="shared" si="39"/>
        <v>27.016094481457763</v>
      </c>
      <c r="Y247" s="231">
        <f t="shared" si="39"/>
        <v>27.016094481457763</v>
      </c>
      <c r="Z247" s="231">
        <f t="shared" si="39"/>
        <v>27.016094481457763</v>
      </c>
      <c r="AA247" s="231">
        <f t="shared" si="39"/>
        <v>27.016094481457763</v>
      </c>
      <c r="AB247" s="231">
        <f t="shared" si="39"/>
        <v>27.016094481457763</v>
      </c>
      <c r="AC247" s="231">
        <f t="shared" si="39"/>
        <v>0</v>
      </c>
      <c r="AD247" s="231">
        <f t="shared" si="39"/>
        <v>0</v>
      </c>
      <c r="AE247" s="231">
        <f t="shared" si="39"/>
        <v>0</v>
      </c>
      <c r="AF247" s="231">
        <f t="shared" si="39"/>
        <v>0</v>
      </c>
      <c r="AG247" s="231">
        <f t="shared" si="39"/>
        <v>0</v>
      </c>
      <c r="AH247" s="231">
        <f t="shared" si="39"/>
        <v>0</v>
      </c>
      <c r="AI247" s="231">
        <f t="shared" si="39"/>
        <v>0</v>
      </c>
      <c r="AJ247" s="231">
        <f t="shared" si="39"/>
        <v>0</v>
      </c>
      <c r="AK247" s="231">
        <f t="shared" si="39"/>
        <v>0</v>
      </c>
      <c r="AL247" s="231">
        <f t="shared" si="39"/>
        <v>0</v>
      </c>
      <c r="AM247" s="231">
        <f t="shared" si="39"/>
        <v>0</v>
      </c>
      <c r="AN247" s="231">
        <f t="shared" si="39"/>
        <v>0</v>
      </c>
      <c r="AO247" s="359">
        <f t="shared" si="39"/>
        <v>0</v>
      </c>
      <c r="AP247" s="29"/>
    </row>
    <row r="248" spans="1:42" outlineLevel="1" x14ac:dyDescent="0.25">
      <c r="A248" s="54"/>
      <c r="B248" s="13"/>
      <c r="C248" s="14" t="s">
        <v>214</v>
      </c>
      <c r="D248" s="14"/>
      <c r="E248" s="70" t="s">
        <v>352</v>
      </c>
      <c r="F248" s="201">
        <f>Data!E562/1000</f>
        <v>4.1011833239969993E-5</v>
      </c>
      <c r="G248" s="231">
        <f t="shared" si="40"/>
        <v>76.774151825223839</v>
      </c>
      <c r="H248" s="56"/>
      <c r="I248" s="231">
        <f t="shared" si="38"/>
        <v>3.8387075912611914</v>
      </c>
      <c r="J248" s="231">
        <f t="shared" si="39"/>
        <v>3.8387075912611914</v>
      </c>
      <c r="K248" s="231">
        <f t="shared" si="39"/>
        <v>3.8387075912611914</v>
      </c>
      <c r="L248" s="231">
        <f t="shared" si="39"/>
        <v>3.8387075912611914</v>
      </c>
      <c r="M248" s="231">
        <f t="shared" si="39"/>
        <v>3.8387075912611914</v>
      </c>
      <c r="N248" s="231">
        <f t="shared" si="39"/>
        <v>3.8387075912611914</v>
      </c>
      <c r="O248" s="231">
        <f t="shared" si="39"/>
        <v>3.8387075912611914</v>
      </c>
      <c r="P248" s="231">
        <f t="shared" si="39"/>
        <v>3.8387075912611914</v>
      </c>
      <c r="Q248" s="231">
        <f t="shared" si="39"/>
        <v>3.8387075912611914</v>
      </c>
      <c r="R248" s="231">
        <f t="shared" si="39"/>
        <v>3.8387075912611914</v>
      </c>
      <c r="S248" s="231">
        <f t="shared" si="39"/>
        <v>3.8387075912611914</v>
      </c>
      <c r="T248" s="231">
        <f t="shared" si="39"/>
        <v>3.8387075912611914</v>
      </c>
      <c r="U248" s="231">
        <f t="shared" si="39"/>
        <v>3.8387075912611914</v>
      </c>
      <c r="V248" s="231">
        <f t="shared" si="39"/>
        <v>3.8387075912611914</v>
      </c>
      <c r="W248" s="231">
        <f t="shared" si="39"/>
        <v>3.8387075912611914</v>
      </c>
      <c r="X248" s="231">
        <f t="shared" si="39"/>
        <v>3.8387075912611914</v>
      </c>
      <c r="Y248" s="231">
        <f t="shared" si="39"/>
        <v>3.8387075912611914</v>
      </c>
      <c r="Z248" s="231">
        <f t="shared" si="39"/>
        <v>3.8387075912611914</v>
      </c>
      <c r="AA248" s="231">
        <f t="shared" si="39"/>
        <v>3.8387075912611914</v>
      </c>
      <c r="AB248" s="231">
        <f t="shared" si="39"/>
        <v>3.8387075912611914</v>
      </c>
      <c r="AC248" s="231">
        <f t="shared" si="39"/>
        <v>0</v>
      </c>
      <c r="AD248" s="231">
        <f t="shared" si="39"/>
        <v>0</v>
      </c>
      <c r="AE248" s="231">
        <f t="shared" si="39"/>
        <v>0</v>
      </c>
      <c r="AF248" s="231">
        <f t="shared" si="39"/>
        <v>0</v>
      </c>
      <c r="AG248" s="231">
        <f t="shared" si="39"/>
        <v>0</v>
      </c>
      <c r="AH248" s="231">
        <f t="shared" si="39"/>
        <v>0</v>
      </c>
      <c r="AI248" s="231">
        <f t="shared" si="39"/>
        <v>0</v>
      </c>
      <c r="AJ248" s="231">
        <f t="shared" si="39"/>
        <v>0</v>
      </c>
      <c r="AK248" s="231">
        <f t="shared" si="39"/>
        <v>0</v>
      </c>
      <c r="AL248" s="231">
        <f t="shared" si="39"/>
        <v>0</v>
      </c>
      <c r="AM248" s="231">
        <f t="shared" si="39"/>
        <v>0</v>
      </c>
      <c r="AN248" s="231">
        <f t="shared" si="39"/>
        <v>0</v>
      </c>
      <c r="AO248" s="359">
        <f t="shared" si="39"/>
        <v>0</v>
      </c>
      <c r="AP248" s="29"/>
    </row>
    <row r="249" spans="1:42" outlineLevel="1" x14ac:dyDescent="0.25">
      <c r="A249" s="12"/>
      <c r="B249" s="13"/>
      <c r="C249" s="14"/>
      <c r="D249" s="14"/>
      <c r="E249" s="15"/>
      <c r="F249" s="16"/>
      <c r="G249" s="231">
        <f t="shared" si="40"/>
        <v>0</v>
      </c>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4"/>
      <c r="AI249" s="14"/>
      <c r="AJ249" s="14"/>
      <c r="AK249" s="14"/>
      <c r="AL249" s="14"/>
      <c r="AM249" s="14"/>
      <c r="AN249" s="14"/>
      <c r="AO249" s="14"/>
      <c r="AP249" s="17"/>
    </row>
    <row r="250" spans="1:42" outlineLevel="1" x14ac:dyDescent="0.25">
      <c r="A250" s="54"/>
      <c r="B250" s="13"/>
      <c r="C250" s="14" t="s">
        <v>205</v>
      </c>
      <c r="D250" s="14"/>
      <c r="E250" s="70" t="s">
        <v>474</v>
      </c>
      <c r="F250" s="200">
        <f>Data!$E$35/1000</f>
        <v>3.4099438202247192E-3</v>
      </c>
      <c r="G250" s="231">
        <f>SUM(I250:AO250)</f>
        <v>19.218773786618424</v>
      </c>
      <c r="H250" s="56"/>
      <c r="I250" s="56">
        <f>I$242*$F250</f>
        <v>0.96093868933092119</v>
      </c>
      <c r="J250" s="56">
        <f t="shared" ref="J250:AO250" si="41">J$242*$F250</f>
        <v>0.96093868933092119</v>
      </c>
      <c r="K250" s="56">
        <f t="shared" si="41"/>
        <v>0.96093868933092119</v>
      </c>
      <c r="L250" s="56">
        <f t="shared" si="41"/>
        <v>0.96093868933092119</v>
      </c>
      <c r="M250" s="56">
        <f t="shared" si="41"/>
        <v>0.96093868933092119</v>
      </c>
      <c r="N250" s="56">
        <f t="shared" si="41"/>
        <v>0.96093868933092119</v>
      </c>
      <c r="O250" s="56">
        <f t="shared" si="41"/>
        <v>0.96093868933092119</v>
      </c>
      <c r="P250" s="56">
        <f t="shared" si="41"/>
        <v>0.96093868933092119</v>
      </c>
      <c r="Q250" s="56">
        <f t="shared" si="41"/>
        <v>0.96093868933092119</v>
      </c>
      <c r="R250" s="56">
        <f t="shared" si="41"/>
        <v>0.96093868933092119</v>
      </c>
      <c r="S250" s="56">
        <f t="shared" si="41"/>
        <v>0.96093868933092119</v>
      </c>
      <c r="T250" s="56">
        <f t="shared" si="41"/>
        <v>0.96093868933092119</v>
      </c>
      <c r="U250" s="56">
        <f t="shared" si="41"/>
        <v>0.96093868933092119</v>
      </c>
      <c r="V250" s="56">
        <f t="shared" si="41"/>
        <v>0.96093868933092119</v>
      </c>
      <c r="W250" s="56">
        <f t="shared" si="41"/>
        <v>0.96093868933092119</v>
      </c>
      <c r="X250" s="56">
        <f t="shared" si="41"/>
        <v>0.96093868933092119</v>
      </c>
      <c r="Y250" s="56">
        <f t="shared" si="41"/>
        <v>0.96093868933092119</v>
      </c>
      <c r="Z250" s="56">
        <f t="shared" si="41"/>
        <v>0.96093868933092119</v>
      </c>
      <c r="AA250" s="56">
        <f t="shared" si="41"/>
        <v>0.96093868933092119</v>
      </c>
      <c r="AB250" s="56">
        <f t="shared" si="41"/>
        <v>0.96093868933092119</v>
      </c>
      <c r="AC250" s="56">
        <f t="shared" si="41"/>
        <v>0</v>
      </c>
      <c r="AD250" s="56">
        <f t="shared" si="41"/>
        <v>0</v>
      </c>
      <c r="AE250" s="56">
        <f t="shared" si="41"/>
        <v>0</v>
      </c>
      <c r="AF250" s="56">
        <f t="shared" si="41"/>
        <v>0</v>
      </c>
      <c r="AG250" s="56">
        <f t="shared" si="41"/>
        <v>0</v>
      </c>
      <c r="AH250" s="56">
        <f t="shared" si="41"/>
        <v>0</v>
      </c>
      <c r="AI250" s="56">
        <f t="shared" si="41"/>
        <v>0</v>
      </c>
      <c r="AJ250" s="56">
        <f t="shared" si="41"/>
        <v>0</v>
      </c>
      <c r="AK250" s="56">
        <f t="shared" si="41"/>
        <v>0</v>
      </c>
      <c r="AL250" s="56">
        <f t="shared" si="41"/>
        <v>0</v>
      </c>
      <c r="AM250" s="56">
        <f t="shared" si="41"/>
        <v>0</v>
      </c>
      <c r="AN250" s="56">
        <f t="shared" si="41"/>
        <v>0</v>
      </c>
      <c r="AO250" s="68">
        <f t="shared" si="41"/>
        <v>0</v>
      </c>
      <c r="AP250" s="29"/>
    </row>
    <row r="251" spans="1:42" outlineLevel="1" x14ac:dyDescent="0.25">
      <c r="A251" s="54"/>
      <c r="B251" s="13"/>
      <c r="C251" s="14" t="s">
        <v>484</v>
      </c>
      <c r="D251" s="14"/>
      <c r="E251" s="70" t="s">
        <v>474</v>
      </c>
      <c r="F251" s="200"/>
      <c r="G251" s="231">
        <f>SUM(I251:AO251)</f>
        <v>729937.09988197032</v>
      </c>
      <c r="H251" s="56"/>
      <c r="I251" s="56">
        <f>I$243*Data!H$16/1000</f>
        <v>20487.239203863173</v>
      </c>
      <c r="J251" s="56">
        <f>J$243*Data!I$16/1000</f>
        <v>22599.325719725355</v>
      </c>
      <c r="K251" s="56">
        <f>K$243*Data!J$16/1000</f>
        <v>24500.203584001316</v>
      </c>
      <c r="L251" s="56">
        <f>L$243*Data!K$16/1000</f>
        <v>26612.290099863501</v>
      </c>
      <c r="M251" s="56">
        <f>M$243*Data!L$16/1000</f>
        <v>28724.376615725683</v>
      </c>
      <c r="N251" s="56">
        <f>N$243*Data!M$16/1000</f>
        <v>30836.463131587865</v>
      </c>
      <c r="O251" s="56">
        <f>O$243*Data!N$16/1000</f>
        <v>32737.340995863833</v>
      </c>
      <c r="P251" s="56">
        <f>P$243*Data!O$16/1000</f>
        <v>34004.592905381141</v>
      </c>
      <c r="Q251" s="56">
        <f>Q$243*Data!P$16/1000</f>
        <v>35271.844814898453</v>
      </c>
      <c r="R251" s="56">
        <f>R$243*Data!Q$16/1000</f>
        <v>36750.305376001976</v>
      </c>
      <c r="S251" s="56">
        <f>S$243*Data!R$16/1000</f>
        <v>38017.557285519288</v>
      </c>
      <c r="T251" s="56">
        <f>T$243*Data!S$16/1000</f>
        <v>39284.8091950366</v>
      </c>
      <c r="U251" s="56">
        <f>U$243*Data!T$16/1000</f>
        <v>40552.061104553912</v>
      </c>
      <c r="V251" s="56">
        <f>V$243*Data!U$16/1000</f>
        <v>41819.313014071216</v>
      </c>
      <c r="W251" s="56">
        <f>W$243*Data!V$16/1000</f>
        <v>43086.564923588528</v>
      </c>
      <c r="X251" s="56">
        <f>X$243*Data!W$16/1000</f>
        <v>44353.81683310584</v>
      </c>
      <c r="Y251" s="56">
        <f>Y$243*Data!X$16/1000</f>
        <v>45621.068742623153</v>
      </c>
      <c r="Z251" s="56">
        <f>Z$243*Data!Y$16/1000</f>
        <v>46888.32065214045</v>
      </c>
      <c r="AA251" s="56">
        <f>AA$243*Data!Z$16/1000</f>
        <v>48155.572561657762</v>
      </c>
      <c r="AB251" s="56">
        <f>AB$243*Data!AA$16/1000</f>
        <v>49634.033122761291</v>
      </c>
      <c r="AC251" s="56">
        <f>AC$243*Data!AB$16/1000</f>
        <v>0</v>
      </c>
      <c r="AD251" s="56">
        <f>AD$243*Data!AC$16/1000</f>
        <v>0</v>
      </c>
      <c r="AE251" s="56">
        <f>AE$243*Data!AD$16/1000</f>
        <v>0</v>
      </c>
      <c r="AF251" s="56">
        <f>AF$243*Data!AE$16/1000</f>
        <v>0</v>
      </c>
      <c r="AG251" s="56">
        <f>AG$243*Data!AF$16/1000</f>
        <v>0</v>
      </c>
      <c r="AH251" s="56">
        <f>AH$243*Data!AG$16/1000</f>
        <v>0</v>
      </c>
      <c r="AI251" s="56">
        <f>AI$243*Data!AH$16/1000</f>
        <v>0</v>
      </c>
      <c r="AJ251" s="56">
        <f>AJ$243*Data!AI$16/1000</f>
        <v>0</v>
      </c>
      <c r="AK251" s="56">
        <f>AK$243*Data!AJ$16/1000</f>
        <v>0</v>
      </c>
      <c r="AL251" s="56">
        <f>AL$243*Data!AK$16/1000</f>
        <v>0</v>
      </c>
      <c r="AM251" s="56">
        <f>AM$243*Data!AL$16/1000</f>
        <v>0</v>
      </c>
      <c r="AN251" s="56">
        <f>AN$243*Data!AM$16/1000</f>
        <v>0</v>
      </c>
      <c r="AO251" s="68">
        <f>AO$243*Data!AN$16/1000</f>
        <v>0</v>
      </c>
      <c r="AP251" s="29"/>
    </row>
    <row r="252" spans="1:42" outlineLevel="1" x14ac:dyDescent="0.25">
      <c r="A252" s="54"/>
      <c r="B252" s="13"/>
      <c r="C252" s="14" t="s">
        <v>285</v>
      </c>
      <c r="D252" s="14"/>
      <c r="E252" s="70" t="s">
        <v>474</v>
      </c>
      <c r="F252" s="200">
        <f>Data!$E$36/1000</f>
        <v>1.0822865168539326</v>
      </c>
      <c r="G252" s="231">
        <f t="shared" si="40"/>
        <v>499.92269496855926</v>
      </c>
      <c r="H252" s="56"/>
      <c r="I252" s="56">
        <f>I$244*$F252</f>
        <v>24.996134748427973</v>
      </c>
      <c r="J252" s="56">
        <f t="shared" ref="J252:AO252" si="42">J$244*$F252</f>
        <v>24.996134748427973</v>
      </c>
      <c r="K252" s="56">
        <f t="shared" si="42"/>
        <v>24.996134748427973</v>
      </c>
      <c r="L252" s="56">
        <f t="shared" si="42"/>
        <v>24.996134748427973</v>
      </c>
      <c r="M252" s="56">
        <f t="shared" si="42"/>
        <v>24.996134748427973</v>
      </c>
      <c r="N252" s="56">
        <f t="shared" si="42"/>
        <v>24.996134748427973</v>
      </c>
      <c r="O252" s="56">
        <f t="shared" si="42"/>
        <v>24.996134748427973</v>
      </c>
      <c r="P252" s="56">
        <f t="shared" si="42"/>
        <v>24.996134748427973</v>
      </c>
      <c r="Q252" s="56">
        <f t="shared" si="42"/>
        <v>24.996134748427973</v>
      </c>
      <c r="R252" s="56">
        <f t="shared" si="42"/>
        <v>24.996134748427973</v>
      </c>
      <c r="S252" s="56">
        <f t="shared" si="42"/>
        <v>24.996134748427973</v>
      </c>
      <c r="T252" s="56">
        <f t="shared" si="42"/>
        <v>24.996134748427973</v>
      </c>
      <c r="U252" s="56">
        <f t="shared" si="42"/>
        <v>24.996134748427973</v>
      </c>
      <c r="V252" s="56">
        <f t="shared" si="42"/>
        <v>24.996134748427973</v>
      </c>
      <c r="W252" s="56">
        <f t="shared" si="42"/>
        <v>24.996134748427973</v>
      </c>
      <c r="X252" s="56">
        <f t="shared" si="42"/>
        <v>24.996134748427973</v>
      </c>
      <c r="Y252" s="56">
        <f t="shared" si="42"/>
        <v>24.996134748427973</v>
      </c>
      <c r="Z252" s="56">
        <f t="shared" si="42"/>
        <v>24.996134748427973</v>
      </c>
      <c r="AA252" s="56">
        <f t="shared" si="42"/>
        <v>24.996134748427973</v>
      </c>
      <c r="AB252" s="56">
        <f t="shared" si="42"/>
        <v>24.996134748427973</v>
      </c>
      <c r="AC252" s="56">
        <f t="shared" si="42"/>
        <v>0</v>
      </c>
      <c r="AD252" s="56">
        <f t="shared" si="42"/>
        <v>0</v>
      </c>
      <c r="AE252" s="56">
        <f t="shared" si="42"/>
        <v>0</v>
      </c>
      <c r="AF252" s="56">
        <f t="shared" si="42"/>
        <v>0</v>
      </c>
      <c r="AG252" s="56">
        <f t="shared" si="42"/>
        <v>0</v>
      </c>
      <c r="AH252" s="56">
        <f t="shared" si="42"/>
        <v>0</v>
      </c>
      <c r="AI252" s="56">
        <f t="shared" si="42"/>
        <v>0</v>
      </c>
      <c r="AJ252" s="56">
        <f t="shared" si="42"/>
        <v>0</v>
      </c>
      <c r="AK252" s="56">
        <f t="shared" si="42"/>
        <v>0</v>
      </c>
      <c r="AL252" s="56">
        <f t="shared" si="42"/>
        <v>0</v>
      </c>
      <c r="AM252" s="56">
        <f t="shared" si="42"/>
        <v>0</v>
      </c>
      <c r="AN252" s="56">
        <f t="shared" si="42"/>
        <v>0</v>
      </c>
      <c r="AO252" s="68">
        <f t="shared" si="42"/>
        <v>0</v>
      </c>
      <c r="AP252" s="29"/>
    </row>
    <row r="253" spans="1:42" outlineLevel="1" x14ac:dyDescent="0.25">
      <c r="A253" s="54"/>
      <c r="B253" s="13"/>
      <c r="C253" s="14" t="s">
        <v>220</v>
      </c>
      <c r="D253" s="14"/>
      <c r="E253" s="70" t="s">
        <v>474</v>
      </c>
      <c r="F253" s="200">
        <f>Data!$E$37/1000</f>
        <v>371.00188764044947</v>
      </c>
      <c r="G253" s="231">
        <f t="shared" si="40"/>
        <v>7213918.3785622185</v>
      </c>
      <c r="H253" s="56"/>
      <c r="I253" s="56">
        <f>I$245*$F253</f>
        <v>360695.91892811091</v>
      </c>
      <c r="J253" s="56">
        <f t="shared" ref="J253:AO253" si="43">J$245*$F253</f>
        <v>360695.91892811091</v>
      </c>
      <c r="K253" s="56">
        <f t="shared" si="43"/>
        <v>360695.91892811091</v>
      </c>
      <c r="L253" s="56">
        <f t="shared" si="43"/>
        <v>360695.91892811091</v>
      </c>
      <c r="M253" s="56">
        <f t="shared" si="43"/>
        <v>360695.91892811091</v>
      </c>
      <c r="N253" s="56">
        <f t="shared" si="43"/>
        <v>360695.91892811091</v>
      </c>
      <c r="O253" s="56">
        <f t="shared" si="43"/>
        <v>360695.91892811091</v>
      </c>
      <c r="P253" s="56">
        <f t="shared" si="43"/>
        <v>360695.91892811091</v>
      </c>
      <c r="Q253" s="56">
        <f t="shared" si="43"/>
        <v>360695.91892811091</v>
      </c>
      <c r="R253" s="56">
        <f t="shared" si="43"/>
        <v>360695.91892811091</v>
      </c>
      <c r="S253" s="56">
        <f t="shared" si="43"/>
        <v>360695.91892811091</v>
      </c>
      <c r="T253" s="56">
        <f t="shared" si="43"/>
        <v>360695.91892811091</v>
      </c>
      <c r="U253" s="56">
        <f t="shared" si="43"/>
        <v>360695.91892811091</v>
      </c>
      <c r="V253" s="56">
        <f t="shared" si="43"/>
        <v>360695.91892811091</v>
      </c>
      <c r="W253" s="56">
        <f t="shared" si="43"/>
        <v>360695.91892811091</v>
      </c>
      <c r="X253" s="56">
        <f t="shared" si="43"/>
        <v>360695.91892811091</v>
      </c>
      <c r="Y253" s="56">
        <f t="shared" si="43"/>
        <v>360695.91892811091</v>
      </c>
      <c r="Z253" s="56">
        <f t="shared" si="43"/>
        <v>360695.91892811091</v>
      </c>
      <c r="AA253" s="56">
        <f t="shared" si="43"/>
        <v>360695.91892811091</v>
      </c>
      <c r="AB253" s="56">
        <f t="shared" si="43"/>
        <v>360695.91892811091</v>
      </c>
      <c r="AC253" s="56">
        <f t="shared" si="43"/>
        <v>0</v>
      </c>
      <c r="AD253" s="56">
        <f t="shared" si="43"/>
        <v>0</v>
      </c>
      <c r="AE253" s="56">
        <f t="shared" si="43"/>
        <v>0</v>
      </c>
      <c r="AF253" s="56">
        <f t="shared" si="43"/>
        <v>0</v>
      </c>
      <c r="AG253" s="56">
        <f t="shared" si="43"/>
        <v>0</v>
      </c>
      <c r="AH253" s="56">
        <f t="shared" si="43"/>
        <v>0</v>
      </c>
      <c r="AI253" s="56">
        <f t="shared" si="43"/>
        <v>0</v>
      </c>
      <c r="AJ253" s="56">
        <f t="shared" si="43"/>
        <v>0</v>
      </c>
      <c r="AK253" s="56">
        <f t="shared" si="43"/>
        <v>0</v>
      </c>
      <c r="AL253" s="56">
        <f t="shared" si="43"/>
        <v>0</v>
      </c>
      <c r="AM253" s="56">
        <f t="shared" si="43"/>
        <v>0</v>
      </c>
      <c r="AN253" s="56">
        <f t="shared" si="43"/>
        <v>0</v>
      </c>
      <c r="AO253" s="68">
        <f t="shared" si="43"/>
        <v>0</v>
      </c>
      <c r="AP253" s="29"/>
    </row>
    <row r="254" spans="1:42" outlineLevel="1" x14ac:dyDescent="0.25">
      <c r="A254" s="54"/>
      <c r="B254" s="13"/>
      <c r="C254" s="14" t="s">
        <v>212</v>
      </c>
      <c r="D254" s="14"/>
      <c r="E254" s="70" t="s">
        <v>474</v>
      </c>
      <c r="F254" s="200">
        <f>Data!$E$39/1000</f>
        <v>0</v>
      </c>
      <c r="G254" s="231">
        <f t="shared" si="40"/>
        <v>0</v>
      </c>
      <c r="H254" s="56"/>
      <c r="I254" s="56">
        <f>I$246*$F254</f>
        <v>0</v>
      </c>
      <c r="J254" s="56">
        <f t="shared" ref="J254:AO254" si="44">J$246*$F254</f>
        <v>0</v>
      </c>
      <c r="K254" s="56">
        <f t="shared" si="44"/>
        <v>0</v>
      </c>
      <c r="L254" s="56">
        <f t="shared" si="44"/>
        <v>0</v>
      </c>
      <c r="M254" s="56">
        <f t="shared" si="44"/>
        <v>0</v>
      </c>
      <c r="N254" s="56">
        <f t="shared" si="44"/>
        <v>0</v>
      </c>
      <c r="O254" s="56">
        <f t="shared" si="44"/>
        <v>0</v>
      </c>
      <c r="P254" s="56">
        <f t="shared" si="44"/>
        <v>0</v>
      </c>
      <c r="Q254" s="56">
        <f t="shared" si="44"/>
        <v>0</v>
      </c>
      <c r="R254" s="56">
        <f t="shared" si="44"/>
        <v>0</v>
      </c>
      <c r="S254" s="56">
        <f t="shared" si="44"/>
        <v>0</v>
      </c>
      <c r="T254" s="56">
        <f t="shared" si="44"/>
        <v>0</v>
      </c>
      <c r="U254" s="56">
        <f t="shared" si="44"/>
        <v>0</v>
      </c>
      <c r="V254" s="56">
        <f t="shared" si="44"/>
        <v>0</v>
      </c>
      <c r="W254" s="56">
        <f t="shared" si="44"/>
        <v>0</v>
      </c>
      <c r="X254" s="56">
        <f t="shared" si="44"/>
        <v>0</v>
      </c>
      <c r="Y254" s="56">
        <f t="shared" si="44"/>
        <v>0</v>
      </c>
      <c r="Z254" s="56">
        <f t="shared" si="44"/>
        <v>0</v>
      </c>
      <c r="AA254" s="56">
        <f t="shared" si="44"/>
        <v>0</v>
      </c>
      <c r="AB254" s="56">
        <f t="shared" si="44"/>
        <v>0</v>
      </c>
      <c r="AC254" s="56">
        <f t="shared" si="44"/>
        <v>0</v>
      </c>
      <c r="AD254" s="56">
        <f t="shared" si="44"/>
        <v>0</v>
      </c>
      <c r="AE254" s="56">
        <f t="shared" si="44"/>
        <v>0</v>
      </c>
      <c r="AF254" s="56">
        <f t="shared" si="44"/>
        <v>0</v>
      </c>
      <c r="AG254" s="56">
        <f t="shared" si="44"/>
        <v>0</v>
      </c>
      <c r="AH254" s="56">
        <f t="shared" si="44"/>
        <v>0</v>
      </c>
      <c r="AI254" s="56">
        <f t="shared" si="44"/>
        <v>0</v>
      </c>
      <c r="AJ254" s="56">
        <f t="shared" si="44"/>
        <v>0</v>
      </c>
      <c r="AK254" s="56">
        <f t="shared" si="44"/>
        <v>0</v>
      </c>
      <c r="AL254" s="56">
        <f t="shared" si="44"/>
        <v>0</v>
      </c>
      <c r="AM254" s="56">
        <f t="shared" si="44"/>
        <v>0</v>
      </c>
      <c r="AN254" s="56">
        <f t="shared" si="44"/>
        <v>0</v>
      </c>
      <c r="AO254" s="68">
        <f t="shared" si="44"/>
        <v>0</v>
      </c>
      <c r="AP254" s="29"/>
    </row>
    <row r="255" spans="1:42" outlineLevel="1" x14ac:dyDescent="0.25">
      <c r="A255" s="54"/>
      <c r="B255" s="13"/>
      <c r="C255" s="14" t="s">
        <v>485</v>
      </c>
      <c r="D255" s="14"/>
      <c r="E255" s="70" t="s">
        <v>474</v>
      </c>
      <c r="F255" s="200">
        <f>Data!$E$40/1000</f>
        <v>605.20914606741576</v>
      </c>
      <c r="G255" s="231">
        <f>SUM(I255:AO255)</f>
        <v>327007.74942399352</v>
      </c>
      <c r="H255" s="56"/>
      <c r="I255" s="56">
        <f>I$247*$F255</f>
        <v>16350.387471199676</v>
      </c>
      <c r="J255" s="56">
        <f t="shared" ref="J255:AO255" si="45">J$247*$F255</f>
        <v>16350.387471199676</v>
      </c>
      <c r="K255" s="56">
        <f t="shared" si="45"/>
        <v>16350.387471199676</v>
      </c>
      <c r="L255" s="56">
        <f t="shared" si="45"/>
        <v>16350.387471199676</v>
      </c>
      <c r="M255" s="56">
        <f t="shared" si="45"/>
        <v>16350.387471199676</v>
      </c>
      <c r="N255" s="56">
        <f t="shared" si="45"/>
        <v>16350.387471199676</v>
      </c>
      <c r="O255" s="56">
        <f t="shared" si="45"/>
        <v>16350.387471199676</v>
      </c>
      <c r="P255" s="56">
        <f t="shared" si="45"/>
        <v>16350.387471199676</v>
      </c>
      <c r="Q255" s="56">
        <f t="shared" si="45"/>
        <v>16350.387471199676</v>
      </c>
      <c r="R255" s="56">
        <f t="shared" si="45"/>
        <v>16350.387471199676</v>
      </c>
      <c r="S255" s="56">
        <f t="shared" si="45"/>
        <v>16350.387471199676</v>
      </c>
      <c r="T255" s="56">
        <f t="shared" si="45"/>
        <v>16350.387471199676</v>
      </c>
      <c r="U255" s="56">
        <f t="shared" si="45"/>
        <v>16350.387471199676</v>
      </c>
      <c r="V255" s="56">
        <f t="shared" si="45"/>
        <v>16350.387471199676</v>
      </c>
      <c r="W255" s="56">
        <f t="shared" si="45"/>
        <v>16350.387471199676</v>
      </c>
      <c r="X255" s="56">
        <f t="shared" si="45"/>
        <v>16350.387471199676</v>
      </c>
      <c r="Y255" s="56">
        <f t="shared" si="45"/>
        <v>16350.387471199676</v>
      </c>
      <c r="Z255" s="56">
        <f t="shared" si="45"/>
        <v>16350.387471199676</v>
      </c>
      <c r="AA255" s="56">
        <f t="shared" si="45"/>
        <v>16350.387471199676</v>
      </c>
      <c r="AB255" s="56">
        <f t="shared" si="45"/>
        <v>16350.387471199676</v>
      </c>
      <c r="AC255" s="56">
        <f t="shared" si="45"/>
        <v>0</v>
      </c>
      <c r="AD255" s="56">
        <f t="shared" si="45"/>
        <v>0</v>
      </c>
      <c r="AE255" s="56">
        <f t="shared" si="45"/>
        <v>0</v>
      </c>
      <c r="AF255" s="56">
        <f t="shared" si="45"/>
        <v>0</v>
      </c>
      <c r="AG255" s="56">
        <f t="shared" si="45"/>
        <v>0</v>
      </c>
      <c r="AH255" s="56">
        <f t="shared" si="45"/>
        <v>0</v>
      </c>
      <c r="AI255" s="56">
        <f t="shared" si="45"/>
        <v>0</v>
      </c>
      <c r="AJ255" s="56">
        <f t="shared" si="45"/>
        <v>0</v>
      </c>
      <c r="AK255" s="56">
        <f t="shared" si="45"/>
        <v>0</v>
      </c>
      <c r="AL255" s="56">
        <f t="shared" si="45"/>
        <v>0</v>
      </c>
      <c r="AM255" s="56">
        <f t="shared" si="45"/>
        <v>0</v>
      </c>
      <c r="AN255" s="56">
        <f t="shared" si="45"/>
        <v>0</v>
      </c>
      <c r="AO255" s="68">
        <f t="shared" si="45"/>
        <v>0</v>
      </c>
      <c r="AP255" s="29"/>
    </row>
    <row r="256" spans="1:42" outlineLevel="1" x14ac:dyDescent="0.25">
      <c r="A256" s="54"/>
      <c r="B256" s="13"/>
      <c r="C256" s="14" t="s">
        <v>214</v>
      </c>
      <c r="D256" s="14"/>
      <c r="E256" s="70" t="s">
        <v>474</v>
      </c>
      <c r="F256" s="200">
        <f>Data!$E$41/1000</f>
        <v>0</v>
      </c>
      <c r="G256" s="231">
        <f>SUM(I256:AO256)</f>
        <v>0</v>
      </c>
      <c r="H256" s="56"/>
      <c r="I256" s="56">
        <f>I$248*$F256</f>
        <v>0</v>
      </c>
      <c r="J256" s="56">
        <f t="shared" ref="J256:AO256" si="46">J$248*$F256</f>
        <v>0</v>
      </c>
      <c r="K256" s="56">
        <f t="shared" si="46"/>
        <v>0</v>
      </c>
      <c r="L256" s="56">
        <f t="shared" si="46"/>
        <v>0</v>
      </c>
      <c r="M256" s="56">
        <f t="shared" si="46"/>
        <v>0</v>
      </c>
      <c r="N256" s="56">
        <f t="shared" si="46"/>
        <v>0</v>
      </c>
      <c r="O256" s="56">
        <f t="shared" si="46"/>
        <v>0</v>
      </c>
      <c r="P256" s="56">
        <f t="shared" si="46"/>
        <v>0</v>
      </c>
      <c r="Q256" s="56">
        <f t="shared" si="46"/>
        <v>0</v>
      </c>
      <c r="R256" s="56">
        <f t="shared" si="46"/>
        <v>0</v>
      </c>
      <c r="S256" s="56">
        <f t="shared" si="46"/>
        <v>0</v>
      </c>
      <c r="T256" s="56">
        <f t="shared" si="46"/>
        <v>0</v>
      </c>
      <c r="U256" s="56">
        <f t="shared" si="46"/>
        <v>0</v>
      </c>
      <c r="V256" s="56">
        <f t="shared" si="46"/>
        <v>0</v>
      </c>
      <c r="W256" s="56">
        <f t="shared" si="46"/>
        <v>0</v>
      </c>
      <c r="X256" s="56">
        <f t="shared" si="46"/>
        <v>0</v>
      </c>
      <c r="Y256" s="56">
        <f t="shared" si="46"/>
        <v>0</v>
      </c>
      <c r="Z256" s="56">
        <f t="shared" si="46"/>
        <v>0</v>
      </c>
      <c r="AA256" s="56">
        <f t="shared" si="46"/>
        <v>0</v>
      </c>
      <c r="AB256" s="56">
        <f t="shared" si="46"/>
        <v>0</v>
      </c>
      <c r="AC256" s="56">
        <f t="shared" si="46"/>
        <v>0</v>
      </c>
      <c r="AD256" s="56">
        <f t="shared" si="46"/>
        <v>0</v>
      </c>
      <c r="AE256" s="56">
        <f t="shared" si="46"/>
        <v>0</v>
      </c>
      <c r="AF256" s="56">
        <f t="shared" si="46"/>
        <v>0</v>
      </c>
      <c r="AG256" s="56">
        <f t="shared" si="46"/>
        <v>0</v>
      </c>
      <c r="AH256" s="56">
        <f t="shared" si="46"/>
        <v>0</v>
      </c>
      <c r="AI256" s="56">
        <f t="shared" si="46"/>
        <v>0</v>
      </c>
      <c r="AJ256" s="56">
        <f t="shared" si="46"/>
        <v>0</v>
      </c>
      <c r="AK256" s="56">
        <f t="shared" si="46"/>
        <v>0</v>
      </c>
      <c r="AL256" s="56">
        <f t="shared" si="46"/>
        <v>0</v>
      </c>
      <c r="AM256" s="56">
        <f t="shared" si="46"/>
        <v>0</v>
      </c>
      <c r="AN256" s="56">
        <f t="shared" si="46"/>
        <v>0</v>
      </c>
      <c r="AO256" s="68">
        <f t="shared" si="46"/>
        <v>0</v>
      </c>
      <c r="AP256" s="29"/>
    </row>
    <row r="257" spans="1:42" outlineLevel="1" x14ac:dyDescent="0.25">
      <c r="A257" s="12"/>
      <c r="B257" s="13"/>
      <c r="C257" s="20" t="s">
        <v>486</v>
      </c>
      <c r="D257" s="14"/>
      <c r="E257" s="70" t="s">
        <v>474</v>
      </c>
      <c r="F257" s="16"/>
      <c r="G257" s="231">
        <f>SUM(I257:AO257)</f>
        <v>8271382.3693369385</v>
      </c>
      <c r="H257" s="185"/>
      <c r="I257" s="185">
        <f>SUM(I250:I256)</f>
        <v>397559.50267661153</v>
      </c>
      <c r="J257" s="185">
        <f t="shared" ref="J257" si="47">SUM(J250:J256)</f>
        <v>399671.58919247368</v>
      </c>
      <c r="K257" s="185">
        <f t="shared" ref="K257" si="48">SUM(K250:K256)</f>
        <v>401572.46705674968</v>
      </c>
      <c r="L257" s="185">
        <f t="shared" ref="L257" si="49">SUM(L250:L256)</f>
        <v>403684.55357261183</v>
      </c>
      <c r="M257" s="185">
        <f t="shared" ref="M257" si="50">SUM(M250:M256)</f>
        <v>405796.64008847403</v>
      </c>
      <c r="N257" s="185">
        <f t="shared" ref="N257" si="51">SUM(N250:N256)</f>
        <v>407908.72660433623</v>
      </c>
      <c r="O257" s="185">
        <f t="shared" ref="O257" si="52">SUM(O250:O256)</f>
        <v>409809.60446861217</v>
      </c>
      <c r="P257" s="185">
        <f t="shared" ref="P257" si="53">SUM(P250:P256)</f>
        <v>411076.85637812951</v>
      </c>
      <c r="Q257" s="185">
        <f t="shared" ref="Q257" si="54">SUM(Q250:Q256)</f>
        <v>412344.10828764678</v>
      </c>
      <c r="R257" s="185">
        <f t="shared" ref="R257" si="55">SUM(R250:R256)</f>
        <v>413822.56884875032</v>
      </c>
      <c r="S257" s="185">
        <f t="shared" ref="S257" si="56">SUM(S250:S256)</f>
        <v>415089.82075826766</v>
      </c>
      <c r="T257" s="185">
        <f t="shared" ref="T257" si="57">SUM(T250:T256)</f>
        <v>416357.07266778493</v>
      </c>
      <c r="U257" s="185">
        <f t="shared" ref="U257" si="58">SUM(U250:U256)</f>
        <v>417624.32457730226</v>
      </c>
      <c r="V257" s="185">
        <f t="shared" ref="V257" si="59">SUM(V250:V256)</f>
        <v>418891.57648681954</v>
      </c>
      <c r="W257" s="185">
        <f t="shared" ref="W257" si="60">SUM(W250:W256)</f>
        <v>420158.82839633687</v>
      </c>
      <c r="X257" s="185">
        <f t="shared" ref="X257" si="61">SUM(X250:X256)</f>
        <v>421426.08030585421</v>
      </c>
      <c r="Y257" s="185">
        <f t="shared" ref="Y257" si="62">SUM(Y250:Y256)</f>
        <v>422693.33221537148</v>
      </c>
      <c r="Z257" s="185">
        <f t="shared" ref="Z257" si="63">SUM(Z250:Z256)</f>
        <v>423960.58412488882</v>
      </c>
      <c r="AA257" s="185">
        <f t="shared" ref="AA257" si="64">SUM(AA250:AA256)</f>
        <v>425227.83603440609</v>
      </c>
      <c r="AB257" s="185">
        <f t="shared" ref="AB257" si="65">SUM(AB250:AB256)</f>
        <v>426706.29659550963</v>
      </c>
      <c r="AC257" s="185">
        <f t="shared" ref="AC257" si="66">SUM(AC250:AC256)</f>
        <v>0</v>
      </c>
      <c r="AD257" s="185">
        <f t="shared" ref="AD257" si="67">SUM(AD250:AD256)</f>
        <v>0</v>
      </c>
      <c r="AE257" s="185">
        <f t="shared" ref="AE257" si="68">SUM(AE250:AE256)</f>
        <v>0</v>
      </c>
      <c r="AF257" s="185">
        <f t="shared" ref="AF257" si="69">SUM(AF250:AF256)</f>
        <v>0</v>
      </c>
      <c r="AG257" s="185">
        <f t="shared" ref="AG257" si="70">SUM(AG250:AG256)</f>
        <v>0</v>
      </c>
      <c r="AH257" s="185">
        <f t="shared" ref="AH257" si="71">SUM(AH250:AH256)</f>
        <v>0</v>
      </c>
      <c r="AI257" s="185">
        <f t="shared" ref="AI257" si="72">SUM(AI250:AI256)</f>
        <v>0</v>
      </c>
      <c r="AJ257" s="185">
        <f t="shared" ref="AJ257" si="73">SUM(AJ250:AJ256)</f>
        <v>0</v>
      </c>
      <c r="AK257" s="185">
        <f t="shared" ref="AK257" si="74">SUM(AK250:AK256)</f>
        <v>0</v>
      </c>
      <c r="AL257" s="185">
        <f t="shared" ref="AL257" si="75">SUM(AL250:AL256)</f>
        <v>0</v>
      </c>
      <c r="AM257" s="185">
        <f t="shared" ref="AM257" si="76">SUM(AM250:AM256)</f>
        <v>0</v>
      </c>
      <c r="AN257" s="185">
        <f t="shared" ref="AN257" si="77">SUM(AN250:AN256)</f>
        <v>0</v>
      </c>
      <c r="AO257" s="185">
        <f t="shared" ref="AO257" si="78">SUM(AO250:AO256)</f>
        <v>0</v>
      </c>
      <c r="AP257" s="17"/>
    </row>
    <row r="258" spans="1:42" outlineLevel="1" x14ac:dyDescent="0.25">
      <c r="A258" s="12"/>
      <c r="B258" s="13"/>
      <c r="C258" s="14"/>
      <c r="D258" s="14"/>
      <c r="E258" s="15"/>
      <c r="F258" s="16"/>
      <c r="G258" s="159"/>
      <c r="H258" s="159"/>
      <c r="I258" s="159"/>
      <c r="J258" s="159"/>
      <c r="K258" s="159"/>
      <c r="L258" s="159"/>
      <c r="M258" s="159"/>
      <c r="N258" s="159"/>
      <c r="O258" s="159"/>
      <c r="P258" s="159"/>
      <c r="Q258" s="159"/>
      <c r="R258" s="159"/>
      <c r="S258" s="159"/>
      <c r="T258" s="159"/>
      <c r="U258" s="159"/>
      <c r="V258" s="159"/>
      <c r="W258" s="159"/>
      <c r="X258" s="14"/>
      <c r="Y258" s="14"/>
      <c r="Z258" s="14"/>
      <c r="AA258" s="14"/>
      <c r="AB258" s="14"/>
      <c r="AC258" s="14"/>
      <c r="AD258" s="14"/>
      <c r="AE258" s="14"/>
      <c r="AF258" s="14"/>
      <c r="AG258" s="14"/>
      <c r="AH258" s="14"/>
      <c r="AI258" s="14"/>
      <c r="AJ258" s="14"/>
      <c r="AK258" s="14"/>
      <c r="AL258" s="14"/>
      <c r="AM258" s="14"/>
      <c r="AN258" s="14"/>
      <c r="AO258" s="14"/>
      <c r="AP258" s="17"/>
    </row>
    <row r="259" spans="1:42" outlineLevel="1" x14ac:dyDescent="0.25">
      <c r="A259" s="12"/>
      <c r="B259" s="13"/>
      <c r="C259" s="14" t="s">
        <v>523</v>
      </c>
      <c r="D259" s="14"/>
      <c r="E259" s="15" t="s">
        <v>474</v>
      </c>
      <c r="F259" s="48"/>
      <c r="G259" s="185"/>
      <c r="H259" s="185"/>
      <c r="I259" s="185">
        <f>I257*Data!H$9</f>
        <v>382268.75257366488</v>
      </c>
      <c r="J259" s="185">
        <f>J257*Data!I$9</f>
        <v>369518.85095457989</v>
      </c>
      <c r="K259" s="185">
        <f>K257*Data!J$9</f>
        <v>356996.46095594636</v>
      </c>
      <c r="L259" s="185">
        <f>L257*Data!K$9</f>
        <v>345071.24824783241</v>
      </c>
      <c r="M259" s="185">
        <f>M257*Data!L$9</f>
        <v>333535.25832058536</v>
      </c>
      <c r="N259" s="185">
        <f>N257*Data!M$9</f>
        <v>322376.19180749368</v>
      </c>
      <c r="O259" s="185">
        <f>O257*Data!N$9</f>
        <v>311421.61845699028</v>
      </c>
      <c r="P259" s="185">
        <f>P257*Data!O$9</f>
        <v>300369.83245850651</v>
      </c>
      <c r="Q259" s="185">
        <f>Q257*Data!P$9</f>
        <v>289707.50097698154</v>
      </c>
      <c r="R259" s="185">
        <f>R257*Data!Q$9</f>
        <v>279563.69976566278</v>
      </c>
      <c r="S259" s="185">
        <f>S257*Data!R$9</f>
        <v>269634.43245058542</v>
      </c>
      <c r="T259" s="185">
        <f>T257*Data!S$9</f>
        <v>260055.39916009124</v>
      </c>
      <c r="U259" s="185">
        <f>U257*Data!T$9</f>
        <v>250814.34708062545</v>
      </c>
      <c r="V259" s="185">
        <f>V257*Data!U$9</f>
        <v>241899.44782508293</v>
      </c>
      <c r="W259" s="185">
        <f>W257*Data!V$9</f>
        <v>233299.28291008415</v>
      </c>
      <c r="X259" s="185">
        <f>X257*Data!W$9</f>
        <v>225002.82972253335</v>
      </c>
      <c r="Y259" s="185">
        <f>Y257*Data!X$9</f>
        <v>216999.44795930589</v>
      </c>
      <c r="Z259" s="185">
        <f>Z257*Data!Y$9</f>
        <v>209278.86652442947</v>
      </c>
      <c r="AA259" s="185">
        <f>AA257*Data!Z$9</f>
        <v>201831.17086862741</v>
      </c>
      <c r="AB259" s="185">
        <f>AB257*Data!AA$9</f>
        <v>194743.18362808743</v>
      </c>
      <c r="AC259" s="185">
        <f>AC257*Data!AB$9</f>
        <v>0</v>
      </c>
      <c r="AD259" s="185">
        <f>AD257*Data!AC$9</f>
        <v>0</v>
      </c>
      <c r="AE259" s="185">
        <f>AE257*Data!AD$9</f>
        <v>0</v>
      </c>
      <c r="AF259" s="185">
        <f>AF257*Data!AE$9</f>
        <v>0</v>
      </c>
      <c r="AG259" s="185">
        <f>AG257*Data!AF$9</f>
        <v>0</v>
      </c>
      <c r="AH259" s="185">
        <f>AH257*Data!AG$9</f>
        <v>0</v>
      </c>
      <c r="AI259" s="185">
        <f>AI257*Data!AH$9</f>
        <v>0</v>
      </c>
      <c r="AJ259" s="185">
        <f>AJ257*Data!AI$9</f>
        <v>0</v>
      </c>
      <c r="AK259" s="185">
        <f>AK257*Data!AJ$9</f>
        <v>0</v>
      </c>
      <c r="AL259" s="185">
        <f>AL257*Data!AK$9</f>
        <v>0</v>
      </c>
      <c r="AM259" s="185">
        <f>AM257*Data!AL$9</f>
        <v>0</v>
      </c>
      <c r="AN259" s="185">
        <f>AN257*Data!AM$9</f>
        <v>0</v>
      </c>
      <c r="AO259" s="185">
        <f>AO257*Data!AN$9</f>
        <v>0</v>
      </c>
      <c r="AP259" s="17"/>
    </row>
    <row r="260" spans="1:42" outlineLevel="1" x14ac:dyDescent="0.25">
      <c r="A260" s="12"/>
      <c r="B260" s="13"/>
      <c r="C260" s="14" t="s">
        <v>489</v>
      </c>
      <c r="D260" s="13"/>
      <c r="E260" s="15" t="s">
        <v>142</v>
      </c>
      <c r="F260" s="16"/>
      <c r="G260" s="159">
        <f>SUM(H259:AO259)</f>
        <v>5594387.8226476964</v>
      </c>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7"/>
    </row>
    <row r="261" spans="1:42" outlineLevel="1" x14ac:dyDescent="0.25">
      <c r="A261" s="12"/>
      <c r="B261" s="13"/>
      <c r="C261" s="41" t="s">
        <v>62</v>
      </c>
      <c r="D261" s="41"/>
      <c r="E261" s="15" t="s">
        <v>261</v>
      </c>
      <c r="F261" s="16"/>
      <c r="G261" s="184">
        <f>G260/(SUM(H240:AO240))</f>
        <v>2.9884550334656499</v>
      </c>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7"/>
    </row>
    <row r="262" spans="1:42" outlineLevel="1" x14ac:dyDescent="0.25">
      <c r="A262" s="12"/>
      <c r="B262" s="13"/>
      <c r="C262" s="14"/>
      <c r="D262" s="14"/>
      <c r="E262" s="15"/>
      <c r="F262" s="16"/>
      <c r="G262" s="14"/>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356"/>
      <c r="AP262" s="17"/>
    </row>
    <row r="263" spans="1:42" ht="18.75" outlineLevel="1" x14ac:dyDescent="0.3">
      <c r="A263" s="12"/>
      <c r="B263" s="13"/>
      <c r="C263" s="205" t="s">
        <v>524</v>
      </c>
      <c r="D263" s="14"/>
      <c r="E263" s="15" t="s">
        <v>261</v>
      </c>
      <c r="F263" s="16"/>
      <c r="G263" s="204">
        <f>G230+G238+G261</f>
        <v>6.5898747034966441</v>
      </c>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356"/>
      <c r="AP263" s="17"/>
    </row>
    <row r="264" spans="1:42" outlineLevel="1" x14ac:dyDescent="0.25">
      <c r="A264" s="12"/>
      <c r="B264" s="13"/>
      <c r="C264" s="13"/>
      <c r="D264" s="14"/>
      <c r="E264" s="15"/>
      <c r="F264" s="16"/>
      <c r="G264" s="14"/>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356"/>
      <c r="AP264" s="17"/>
    </row>
    <row r="265" spans="1:42" outlineLevel="1" x14ac:dyDescent="0.25">
      <c r="A265" s="23"/>
      <c r="B265" s="23"/>
      <c r="C265" s="24" t="s">
        <v>525</v>
      </c>
      <c r="D265" s="24"/>
      <c r="E265" s="25"/>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7"/>
    </row>
    <row r="266" spans="1:42" outlineLevel="1" x14ac:dyDescent="0.25">
      <c r="A266" s="12"/>
      <c r="B266" s="96"/>
      <c r="C266" s="96"/>
      <c r="D266" s="14"/>
      <c r="E266" s="15"/>
      <c r="F266" s="16"/>
      <c r="G266" s="14"/>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356"/>
      <c r="AP266" s="17"/>
    </row>
    <row r="267" spans="1:42" outlineLevel="1" x14ac:dyDescent="0.25">
      <c r="A267" s="12"/>
      <c r="B267" s="96"/>
      <c r="C267" s="96" t="s">
        <v>526</v>
      </c>
      <c r="D267" s="14"/>
      <c r="E267" s="115" t="s">
        <v>142</v>
      </c>
      <c r="F267" s="16"/>
      <c r="G267" s="159">
        <f>G229</f>
        <v>6733157.6222980218</v>
      </c>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356"/>
      <c r="AP267" s="17"/>
    </row>
    <row r="268" spans="1:42" outlineLevel="1" x14ac:dyDescent="0.25">
      <c r="A268" s="12"/>
      <c r="B268" s="96"/>
      <c r="C268" s="95" t="s">
        <v>527</v>
      </c>
      <c r="D268" s="14"/>
      <c r="E268" s="115" t="s">
        <v>474</v>
      </c>
      <c r="F268" s="16"/>
      <c r="G268" s="185">
        <f>G267/Data!$E$126</f>
        <v>336657.8811149011</v>
      </c>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356"/>
      <c r="AP268" s="17"/>
    </row>
    <row r="269" spans="1:42" outlineLevel="1" x14ac:dyDescent="0.25">
      <c r="A269" s="12"/>
      <c r="B269" s="96"/>
      <c r="C269" s="96" t="s">
        <v>528</v>
      </c>
      <c r="D269" s="14"/>
      <c r="E269" s="115" t="s">
        <v>529</v>
      </c>
      <c r="F269" s="16"/>
      <c r="G269" s="159">
        <f>SUM(I243:AO243)</f>
        <v>4224173.0317243654</v>
      </c>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356"/>
      <c r="AP269" s="17"/>
    </row>
    <row r="270" spans="1:42" outlineLevel="1" x14ac:dyDescent="0.25">
      <c r="A270" s="12"/>
      <c r="B270" s="96"/>
      <c r="C270" s="95" t="s">
        <v>530</v>
      </c>
      <c r="D270" s="14"/>
      <c r="E270" s="115" t="s">
        <v>531</v>
      </c>
      <c r="F270" s="16"/>
      <c r="G270" s="231">
        <f>G269/Data!$E$126</f>
        <v>211208.65158621827</v>
      </c>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17"/>
    </row>
  </sheetData>
  <conditionalFormatting sqref="G52">
    <cfRule type="expression" dxfId="886" priority="457">
      <formula>H$2&gt;=start_proj</formula>
    </cfRule>
  </conditionalFormatting>
  <conditionalFormatting sqref="G58:G60">
    <cfRule type="expression" dxfId="885" priority="78">
      <formula>ISNA(G58)</formula>
    </cfRule>
    <cfRule type="expression" dxfId="884" priority="79">
      <formula>G$2&gt;=start_proj</formula>
    </cfRule>
  </conditionalFormatting>
  <conditionalFormatting sqref="G142 I142:AO142">
    <cfRule type="expression" dxfId="883" priority="52">
      <formula>ISNA(G142)</formula>
    </cfRule>
  </conditionalFormatting>
  <conditionalFormatting sqref="G142">
    <cfRule type="expression" dxfId="882" priority="54">
      <formula>H$2&gt;=start_proj</formula>
    </cfRule>
  </conditionalFormatting>
  <conditionalFormatting sqref="G148:G150">
    <cfRule type="expression" dxfId="881" priority="55">
      <formula>ISNA(G148)</formula>
    </cfRule>
    <cfRule type="expression" dxfId="880" priority="56">
      <formula>G$2&gt;=start_proj</formula>
    </cfRule>
  </conditionalFormatting>
  <conditionalFormatting sqref="G155:G170">
    <cfRule type="expression" dxfId="879" priority="17">
      <formula>ISNA(G155)</formula>
    </cfRule>
    <cfRule type="expression" dxfId="878" priority="18">
      <formula>G$2&gt;=start_proj</formula>
    </cfRule>
  </conditionalFormatting>
  <conditionalFormatting sqref="G229 I229:AO229">
    <cfRule type="expression" dxfId="877" priority="25">
      <formula>ISNA(G229)</formula>
    </cfRule>
  </conditionalFormatting>
  <conditionalFormatting sqref="G229">
    <cfRule type="expression" dxfId="876" priority="27">
      <formula>H$2&gt;=start_proj</formula>
    </cfRule>
  </conditionalFormatting>
  <conditionalFormatting sqref="G235:G237">
    <cfRule type="expression" dxfId="875" priority="28">
      <formula>ISNA(G235)</formula>
    </cfRule>
    <cfRule type="expression" dxfId="874" priority="29">
      <formula>G$2&gt;=start_proj</formula>
    </cfRule>
  </conditionalFormatting>
  <conditionalFormatting sqref="G242:G257">
    <cfRule type="expression" dxfId="873" priority="15">
      <formula>ISNA(G242)</formula>
    </cfRule>
    <cfRule type="expression" dxfId="872" priority="16">
      <formula>G$2&gt;=start_proj</formula>
    </cfRule>
  </conditionalFormatting>
  <conditionalFormatting sqref="H65:AP71 H73:AP79">
    <cfRule type="expression" dxfId="871" priority="80">
      <formula>ISNA(H65)</formula>
    </cfRule>
    <cfRule type="expression" dxfId="870" priority="81">
      <formula>H$2&gt;=start_proj</formula>
    </cfRule>
  </conditionalFormatting>
  <conditionalFormatting sqref="H38:H41">
    <cfRule type="expression" dxfId="869" priority="13">
      <formula>ISNA(H38)</formula>
    </cfRule>
    <cfRule type="expression" dxfId="868" priority="14">
      <formula>H$2&gt;=start_proj</formula>
    </cfRule>
  </conditionalFormatting>
  <conditionalFormatting sqref="H15:AO15 H36:AB37 I38:AB40 J50:AP50 H50:I51 J51:AO51 G52 I52:AO52 H54:AP54 H85:AO87 H89:AO97">
    <cfRule type="expression" dxfId="867" priority="306">
      <formula>ISNA(G15)</formula>
    </cfRule>
  </conditionalFormatting>
  <conditionalFormatting sqref="H15:AO15 H36:AB37 I38:AB40 J50:AP50 H50:I51 J51:AO51 I52:AO52 H54:AP54 H85:AO87 H89:AO97">
    <cfRule type="expression" dxfId="866" priority="308">
      <formula>H$2&gt;=start_proj</formula>
    </cfRule>
  </conditionalFormatting>
  <conditionalFormatting sqref="H106:AO106 H126:AB127 I128:AB130 H128:H131 H144:AP144 H175:AO177 H179:AO184">
    <cfRule type="expression" dxfId="865" priority="73">
      <formula>ISNA(H106)</formula>
    </cfRule>
    <cfRule type="expression" dxfId="864" priority="74">
      <formula>H$2&gt;=start_proj</formula>
    </cfRule>
  </conditionalFormatting>
  <conditionalFormatting sqref="H193:AO193 H213:AO214 I215:AO217 H215:H218 H231:AP231 H262:AO264 H266:AO270">
    <cfRule type="expression" dxfId="863" priority="44">
      <formula>ISNA(H193)</formula>
    </cfRule>
    <cfRule type="expression" dxfId="862" priority="45">
      <formula>H$2&gt;=start_proj</formula>
    </cfRule>
  </conditionalFormatting>
  <conditionalFormatting sqref="H227:AO228">
    <cfRule type="expression" dxfId="861" priority="7">
      <formula>ISNA(H227)</formula>
    </cfRule>
    <cfRule type="expression" dxfId="860" priority="8">
      <formula>H$2&gt;=start_proj</formula>
    </cfRule>
  </conditionalFormatting>
  <conditionalFormatting sqref="H2:AP3">
    <cfRule type="cellIs" dxfId="859" priority="94" operator="equal">
      <formula>end_proj</formula>
    </cfRule>
    <cfRule type="expression" dxfId="858" priority="95">
      <formula>ISNA(H2)</formula>
    </cfRule>
    <cfRule type="cellIs" dxfId="857" priority="96" operator="equal">
      <formula>start_proj</formula>
    </cfRule>
    <cfRule type="cellIs" dxfId="856" priority="102" operator="equal">
      <formula>start_hist</formula>
    </cfRule>
    <cfRule type="cellIs" dxfId="855" priority="103" operator="greaterThan">
      <formula>start_proj</formula>
    </cfRule>
  </conditionalFormatting>
  <conditionalFormatting sqref="H18:AP21 H58:AP61">
    <cfRule type="expression" dxfId="854" priority="298">
      <formula>ISNA(H18)</formula>
    </cfRule>
    <cfRule type="expression" dxfId="853" priority="299">
      <formula>H$2&gt;=start_proj</formula>
    </cfRule>
  </conditionalFormatting>
  <conditionalFormatting sqref="H23:AP24">
    <cfRule type="expression" dxfId="852" priority="88">
      <formula>ISNA(H23)</formula>
    </cfRule>
    <cfRule type="expression" dxfId="851" priority="89">
      <formula>H$2&gt;=start_proj</formula>
    </cfRule>
  </conditionalFormatting>
  <conditionalFormatting sqref="H29:AP33">
    <cfRule type="expression" dxfId="850" priority="294">
      <formula>ISNA(H29)</formula>
    </cfRule>
    <cfRule type="expression" dxfId="849" priority="295">
      <formula>H$2&gt;=start_proj</formula>
    </cfRule>
  </conditionalFormatting>
  <conditionalFormatting sqref="H42:AP43">
    <cfRule type="expression" dxfId="848" priority="84">
      <formula>ISNA(H42)</formula>
    </cfRule>
    <cfRule type="expression" dxfId="847" priority="85">
      <formula>H$2&gt;=start_proj</formula>
    </cfRule>
  </conditionalFormatting>
  <conditionalFormatting sqref="H45:AP46">
    <cfRule type="expression" dxfId="846" priority="286">
      <formula>ISNA(H45)</formula>
    </cfRule>
    <cfRule type="expression" dxfId="845" priority="287">
      <formula>H$2&gt;=start_proj</formula>
    </cfRule>
  </conditionalFormatting>
  <conditionalFormatting sqref="H109:AP112 H148:AP151">
    <cfRule type="expression" dxfId="844" priority="71">
      <formula>ISNA(H109)</formula>
    </cfRule>
    <cfRule type="expression" dxfId="843" priority="72">
      <formula>H$2&gt;=start_proj</formula>
    </cfRule>
  </conditionalFormatting>
  <conditionalFormatting sqref="H114:AP114">
    <cfRule type="expression" dxfId="842" priority="61">
      <formula>ISNA(H114)</formula>
    </cfRule>
    <cfRule type="expression" dxfId="841" priority="62">
      <formula>H$2&gt;=start_proj</formula>
    </cfRule>
  </conditionalFormatting>
  <conditionalFormatting sqref="H119:AP123">
    <cfRule type="expression" dxfId="840" priority="69">
      <formula>ISNA(H119)</formula>
    </cfRule>
    <cfRule type="expression" dxfId="839" priority="70">
      <formula>H$2&gt;=start_proj</formula>
    </cfRule>
  </conditionalFormatting>
  <conditionalFormatting sqref="H132:AP133">
    <cfRule type="expression" dxfId="838" priority="59">
      <formula>ISNA(H132)</formula>
    </cfRule>
    <cfRule type="expression" dxfId="837" priority="60">
      <formula>H$2&gt;=start_proj</formula>
    </cfRule>
  </conditionalFormatting>
  <conditionalFormatting sqref="H135:AP136">
    <cfRule type="expression" dxfId="836" priority="65">
      <formula>ISNA(H135)</formula>
    </cfRule>
    <cfRule type="expression" dxfId="835" priority="66">
      <formula>H$2&gt;=start_proj</formula>
    </cfRule>
  </conditionalFormatting>
  <conditionalFormatting sqref="H155:AP161 H163:AP169">
    <cfRule type="expression" dxfId="834" priority="57">
      <formula>ISNA(H155)</formula>
    </cfRule>
    <cfRule type="expression" dxfId="833" priority="58">
      <formula>H$2&gt;=start_proj</formula>
    </cfRule>
  </conditionalFormatting>
  <conditionalFormatting sqref="H196:AP199 H235:AP238">
    <cfRule type="expression" dxfId="832" priority="42">
      <formula>ISNA(H196)</formula>
    </cfRule>
    <cfRule type="expression" dxfId="831" priority="43">
      <formula>H$2&gt;=start_proj</formula>
    </cfRule>
  </conditionalFormatting>
  <conditionalFormatting sqref="H201:AP202">
    <cfRule type="expression" dxfId="830" priority="34">
      <formula>ISNA(H201)</formula>
    </cfRule>
    <cfRule type="expression" dxfId="829" priority="35">
      <formula>H$2&gt;=start_proj</formula>
    </cfRule>
  </conditionalFormatting>
  <conditionalFormatting sqref="H206:AP210">
    <cfRule type="expression" dxfId="828" priority="40">
      <formula>ISNA(H206)</formula>
    </cfRule>
    <cfRule type="expression" dxfId="827" priority="41">
      <formula>H$2&gt;=start_proj</formula>
    </cfRule>
  </conditionalFormatting>
  <conditionalFormatting sqref="H219:AP220">
    <cfRule type="expression" dxfId="826" priority="32">
      <formula>ISNA(H219)</formula>
    </cfRule>
    <cfRule type="expression" dxfId="825" priority="33">
      <formula>H$2&gt;=start_proj</formula>
    </cfRule>
  </conditionalFormatting>
  <conditionalFormatting sqref="H222:AP223">
    <cfRule type="expression" dxfId="824" priority="36">
      <formula>ISNA(H222)</formula>
    </cfRule>
    <cfRule type="expression" dxfId="823" priority="37">
      <formula>H$2&gt;=start_proj</formula>
    </cfRule>
  </conditionalFormatting>
  <conditionalFormatting sqref="H242:AP248 H250:AP256">
    <cfRule type="expression" dxfId="822" priority="30">
      <formula>ISNA(H242)</formula>
    </cfRule>
    <cfRule type="expression" dxfId="821" priority="31">
      <formula>H$2&gt;=start_proj</formula>
    </cfRule>
  </conditionalFormatting>
  <conditionalFormatting sqref="I26:AB26">
    <cfRule type="expression" dxfId="820" priority="3">
      <formula>ISNA(I26)</formula>
    </cfRule>
    <cfRule type="expression" dxfId="819" priority="4">
      <formula>I$2&gt;=start_proj</formula>
    </cfRule>
  </conditionalFormatting>
  <conditionalFormatting sqref="I142:AO142">
    <cfRule type="expression" dxfId="818" priority="53">
      <formula>I$2&gt;=start_proj</formula>
    </cfRule>
  </conditionalFormatting>
  <conditionalFormatting sqref="I229:AO229">
    <cfRule type="expression" dxfId="817" priority="26">
      <formula>I$2&gt;=start_proj</formula>
    </cfRule>
  </conditionalFormatting>
  <conditionalFormatting sqref="J140:AP140 H140:I141 J141:AO141">
    <cfRule type="expression" dxfId="816" priority="11">
      <formula>ISNA(H140)</formula>
    </cfRule>
    <cfRule type="expression" dxfId="815" priority="12">
      <formula>H$2&gt;=start_proj</formula>
    </cfRule>
  </conditionalFormatting>
  <conditionalFormatting sqref="AC36:AP39">
    <cfRule type="expression" dxfId="814" priority="290">
      <formula>ISNA(AC36)</formula>
    </cfRule>
    <cfRule type="expression" dxfId="813" priority="291">
      <formula>AC$2&gt;=start_proj</formula>
    </cfRule>
  </conditionalFormatting>
  <conditionalFormatting sqref="AC126:AP129">
    <cfRule type="expression" dxfId="812" priority="67">
      <formula>ISNA(AC126)</formula>
    </cfRule>
    <cfRule type="expression" dxfId="811" priority="68">
      <formula>AC$2&gt;=start_proj</formula>
    </cfRule>
  </conditionalFormatting>
  <conditionalFormatting sqref="AO3">
    <cfRule type="cellIs" dxfId="810" priority="97" operator="equal">
      <formula>start_proj-hist_years</formula>
    </cfRule>
    <cfRule type="cellIs" dxfId="809" priority="98" operator="greaterThan">
      <formula>start_proj</formula>
    </cfRule>
  </conditionalFormatting>
  <conditionalFormatting sqref="AP51:AP52">
    <cfRule type="expression" dxfId="808" priority="274">
      <formula>ISNA(AP51)</formula>
    </cfRule>
    <cfRule type="expression" dxfId="807" priority="275">
      <formula>AP$2&gt;=start_proj</formula>
    </cfRule>
  </conditionalFormatting>
  <conditionalFormatting sqref="AP141:AP142">
    <cfRule type="expression" dxfId="806" priority="9">
      <formula>ISNA(AP141)</formula>
    </cfRule>
    <cfRule type="expression" dxfId="805" priority="10">
      <formula>AP$2&gt;=start_proj</formula>
    </cfRule>
  </conditionalFormatting>
  <conditionalFormatting sqref="AP213:AP216">
    <cfRule type="expression" dxfId="804" priority="38">
      <formula>ISNA(AP213)</formula>
    </cfRule>
    <cfRule type="expression" dxfId="803" priority="39">
      <formula>AP$2&gt;=start_proj</formula>
    </cfRule>
  </conditionalFormatting>
  <conditionalFormatting sqref="AP227:AP229">
    <cfRule type="expression" dxfId="802" priority="5">
      <formula>ISNA(AP227)</formula>
    </cfRule>
    <cfRule type="expression" dxfId="801" priority="6">
      <formula>AP$2&gt;=start_proj</formula>
    </cfRule>
  </conditionalFormatting>
  <conditionalFormatting sqref="G65:G80">
    <cfRule type="expression" dxfId="800" priority="1">
      <formula>ISNA(G65)</formula>
    </cfRule>
    <cfRule type="expression" dxfId="799" priority="2">
      <formula>G$2&gt;=start_proj</formula>
    </cfRule>
  </conditionalFormatting>
  <hyperlinks>
    <hyperlink ref="C1" location="Dashboard!A1" display="Go to Dashboard" xr:uid="{B2813EED-AFFC-4A54-9A99-EF4CC50E2296}"/>
    <hyperlink ref="D1" location="Cover!A1" display="Go to Results" xr:uid="{16B68D5E-663E-4BF7-A18E-EEFF6988FE60}"/>
  </hyperlinks>
  <pageMargins left="0.7" right="0.7" top="0.75" bottom="0.75" header="0.3" footer="0.3"/>
  <pageSetup paperSize="9" orientation="portrait" r:id="rId1"/>
  <ignoredErrors>
    <ignoredError sqref="G182 G26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54206-B0D9-4C6C-9829-96D2C403FCD4}">
  <sheetPr codeName="Sheet12">
    <tabColor theme="8" tint="-0.249977111117893"/>
  </sheetPr>
  <dimension ref="A1:AP282"/>
  <sheetViews>
    <sheetView zoomScale="85" zoomScaleNormal="85" workbookViewId="0">
      <pane xSplit="7" ySplit="3" topLeftCell="H4" activePane="bottomRight" state="frozen"/>
      <selection pane="topRight" activeCell="H1" sqref="H1"/>
      <selection pane="bottomLeft" activeCell="A4" sqref="A4"/>
      <selection pane="bottomRight" activeCell="C8" sqref="C8"/>
    </sheetView>
  </sheetViews>
  <sheetFormatPr defaultRowHeight="15" x14ac:dyDescent="0.25"/>
  <cols>
    <col min="1" max="1" width="16.85546875" style="51" bestFit="1" customWidth="1"/>
    <col min="2" max="2" width="12.28515625" style="52" bestFit="1" customWidth="1"/>
    <col min="3" max="3" width="38.140625" customWidth="1"/>
    <col min="4" max="4" width="10.85546875" customWidth="1"/>
    <col min="5" max="5" width="16.28515625" style="53" customWidth="1"/>
    <col min="6" max="6" width="22.28515625" customWidth="1"/>
    <col min="7" max="7" width="17.140625" customWidth="1"/>
    <col min="8" max="8" width="14.28515625" bestFit="1" customWidth="1"/>
    <col min="9" max="9" width="15" customWidth="1"/>
    <col min="10" max="28" width="14.28515625" bestFit="1" customWidth="1"/>
    <col min="29" max="41" width="12.85546875" customWidth="1"/>
  </cols>
  <sheetData>
    <row r="1" spans="1:42" x14ac:dyDescent="0.25">
      <c r="A1" s="1"/>
      <c r="B1" s="2"/>
      <c r="C1" s="3" t="s">
        <v>191</v>
      </c>
      <c r="D1" s="3" t="s">
        <v>40</v>
      </c>
      <c r="E1" s="4"/>
      <c r="F1" s="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5"/>
    </row>
    <row r="2" spans="1:42" x14ac:dyDescent="0.25">
      <c r="A2" s="6"/>
      <c r="B2" s="7"/>
      <c r="C2" s="8"/>
      <c r="D2" s="8"/>
      <c r="E2" s="9"/>
      <c r="F2" s="9"/>
      <c r="G2" s="7"/>
      <c r="H2" s="10">
        <f>chart_start_proj</f>
        <v>2023</v>
      </c>
      <c r="I2" s="10">
        <f>H2+1</f>
        <v>2024</v>
      </c>
      <c r="J2" s="10">
        <f t="shared" ref="J2:AO2" si="0">I2+1</f>
        <v>2025</v>
      </c>
      <c r="K2" s="10">
        <f t="shared" si="0"/>
        <v>2026</v>
      </c>
      <c r="L2" s="10">
        <f t="shared" si="0"/>
        <v>2027</v>
      </c>
      <c r="M2" s="10">
        <f t="shared" si="0"/>
        <v>2028</v>
      </c>
      <c r="N2" s="10">
        <f t="shared" si="0"/>
        <v>2029</v>
      </c>
      <c r="O2" s="10">
        <f t="shared" si="0"/>
        <v>2030</v>
      </c>
      <c r="P2" s="10">
        <f t="shared" si="0"/>
        <v>2031</v>
      </c>
      <c r="Q2" s="10">
        <f t="shared" si="0"/>
        <v>2032</v>
      </c>
      <c r="R2" s="10">
        <f t="shared" si="0"/>
        <v>2033</v>
      </c>
      <c r="S2" s="10">
        <f t="shared" si="0"/>
        <v>2034</v>
      </c>
      <c r="T2" s="10">
        <f t="shared" si="0"/>
        <v>2035</v>
      </c>
      <c r="U2" s="10">
        <f t="shared" si="0"/>
        <v>2036</v>
      </c>
      <c r="V2" s="10">
        <f t="shared" si="0"/>
        <v>2037</v>
      </c>
      <c r="W2" s="10">
        <f t="shared" si="0"/>
        <v>2038</v>
      </c>
      <c r="X2" s="10">
        <f t="shared" si="0"/>
        <v>2039</v>
      </c>
      <c r="Y2" s="10">
        <f t="shared" si="0"/>
        <v>2040</v>
      </c>
      <c r="Z2" s="10">
        <f t="shared" si="0"/>
        <v>2041</v>
      </c>
      <c r="AA2" s="10">
        <f t="shared" si="0"/>
        <v>2042</v>
      </c>
      <c r="AB2" s="10">
        <f t="shared" si="0"/>
        <v>2043</v>
      </c>
      <c r="AC2" s="10">
        <f t="shared" si="0"/>
        <v>2044</v>
      </c>
      <c r="AD2" s="10">
        <f t="shared" si="0"/>
        <v>2045</v>
      </c>
      <c r="AE2" s="10">
        <f t="shared" si="0"/>
        <v>2046</v>
      </c>
      <c r="AF2" s="10">
        <f t="shared" si="0"/>
        <v>2047</v>
      </c>
      <c r="AG2" s="10">
        <f t="shared" si="0"/>
        <v>2048</v>
      </c>
      <c r="AH2" s="10">
        <f t="shared" si="0"/>
        <v>2049</v>
      </c>
      <c r="AI2" s="10">
        <f t="shared" si="0"/>
        <v>2050</v>
      </c>
      <c r="AJ2" s="10">
        <f t="shared" si="0"/>
        <v>2051</v>
      </c>
      <c r="AK2" s="10">
        <f t="shared" si="0"/>
        <v>2052</v>
      </c>
      <c r="AL2" s="10">
        <f t="shared" si="0"/>
        <v>2053</v>
      </c>
      <c r="AM2" s="10">
        <f t="shared" si="0"/>
        <v>2054</v>
      </c>
      <c r="AN2" s="10">
        <f t="shared" si="0"/>
        <v>2055</v>
      </c>
      <c r="AO2" s="10">
        <f t="shared" si="0"/>
        <v>2056</v>
      </c>
      <c r="AP2" s="11"/>
    </row>
    <row r="3" spans="1:42" x14ac:dyDescent="0.25">
      <c r="A3" s="1"/>
      <c r="B3" s="2"/>
      <c r="C3" s="148"/>
      <c r="D3" s="148"/>
      <c r="E3" s="4"/>
      <c r="F3" s="4"/>
      <c r="G3" s="2"/>
      <c r="H3" s="142">
        <v>0</v>
      </c>
      <c r="I3" s="142">
        <v>1</v>
      </c>
      <c r="J3" s="142">
        <v>2</v>
      </c>
      <c r="K3" s="142">
        <v>3</v>
      </c>
      <c r="L3" s="142">
        <v>4</v>
      </c>
      <c r="M3" s="142">
        <v>5</v>
      </c>
      <c r="N3" s="142">
        <v>6</v>
      </c>
      <c r="O3" s="142">
        <v>7</v>
      </c>
      <c r="P3" s="142">
        <v>8</v>
      </c>
      <c r="Q3" s="142">
        <v>9</v>
      </c>
      <c r="R3" s="142">
        <v>10</v>
      </c>
      <c r="S3" s="142">
        <v>11</v>
      </c>
      <c r="T3" s="142">
        <v>12</v>
      </c>
      <c r="U3" s="142">
        <v>13</v>
      </c>
      <c r="V3" s="142">
        <v>14</v>
      </c>
      <c r="W3" s="142">
        <v>15</v>
      </c>
      <c r="X3" s="142">
        <v>16</v>
      </c>
      <c r="Y3" s="142">
        <v>17</v>
      </c>
      <c r="Z3" s="142">
        <v>18</v>
      </c>
      <c r="AA3" s="142">
        <v>19</v>
      </c>
      <c r="AB3" s="142">
        <v>20</v>
      </c>
      <c r="AC3" s="142">
        <v>21</v>
      </c>
      <c r="AD3" s="142">
        <v>22</v>
      </c>
      <c r="AE3" s="142">
        <v>23</v>
      </c>
      <c r="AF3" s="142">
        <v>24</v>
      </c>
      <c r="AG3" s="142">
        <v>25</v>
      </c>
      <c r="AH3" s="142">
        <v>26</v>
      </c>
      <c r="AI3" s="142">
        <v>27</v>
      </c>
      <c r="AJ3" s="142">
        <v>28</v>
      </c>
      <c r="AK3" s="142">
        <v>29</v>
      </c>
      <c r="AL3" s="142">
        <v>30</v>
      </c>
      <c r="AM3" s="142">
        <v>31</v>
      </c>
      <c r="AN3" s="142">
        <v>32</v>
      </c>
      <c r="AO3" s="142">
        <v>33</v>
      </c>
      <c r="AP3" s="149"/>
    </row>
    <row r="4" spans="1:42" x14ac:dyDescent="0.25">
      <c r="A4" s="12"/>
      <c r="B4" s="13"/>
      <c r="C4" s="14"/>
      <c r="D4" s="14"/>
      <c r="E4" s="15"/>
      <c r="F4" s="16"/>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7"/>
    </row>
    <row r="5" spans="1:42" x14ac:dyDescent="0.25">
      <c r="A5" s="18" t="s">
        <v>192</v>
      </c>
      <c r="B5" s="19"/>
      <c r="C5" s="20" t="s">
        <v>193</v>
      </c>
      <c r="D5" s="21" t="s">
        <v>194</v>
      </c>
      <c r="E5" s="21" t="s">
        <v>110</v>
      </c>
      <c r="F5" s="22" t="s">
        <v>195</v>
      </c>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7"/>
    </row>
    <row r="6" spans="1:42" x14ac:dyDescent="0.25">
      <c r="A6" s="12"/>
      <c r="B6" s="13"/>
      <c r="C6" s="14"/>
      <c r="D6" s="14"/>
      <c r="E6" s="15"/>
      <c r="F6" s="16"/>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7"/>
    </row>
    <row r="7" spans="1:42" x14ac:dyDescent="0.25">
      <c r="A7" s="23"/>
      <c r="B7" s="23"/>
      <c r="C7" s="24" t="s">
        <v>533</v>
      </c>
      <c r="D7" s="24"/>
      <c r="E7" s="25"/>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7"/>
    </row>
    <row r="8" spans="1:42" x14ac:dyDescent="0.25">
      <c r="A8" s="13"/>
      <c r="B8" s="13"/>
      <c r="C8" s="14"/>
      <c r="D8" s="14"/>
      <c r="E8" s="15"/>
      <c r="F8" s="16"/>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7"/>
    </row>
    <row r="9" spans="1:42" x14ac:dyDescent="0.25">
      <c r="A9" s="13"/>
      <c r="B9" s="13"/>
      <c r="C9" s="14"/>
      <c r="D9" s="14"/>
      <c r="E9" s="15"/>
      <c r="F9" s="16"/>
      <c r="G9" s="14"/>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9"/>
    </row>
    <row r="10" spans="1:42" x14ac:dyDescent="0.25">
      <c r="A10" s="13"/>
      <c r="B10" s="13"/>
      <c r="C10" s="14"/>
      <c r="D10" s="14"/>
      <c r="E10" s="15"/>
      <c r="F10" s="16"/>
      <c r="G10" s="14"/>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17"/>
    </row>
    <row r="11" spans="1:42" x14ac:dyDescent="0.25">
      <c r="A11" s="13"/>
      <c r="B11" s="13"/>
      <c r="C11" s="14"/>
      <c r="D11" s="14"/>
      <c r="E11" s="15"/>
      <c r="F11" s="16"/>
      <c r="G11" s="14"/>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17"/>
    </row>
    <row r="12" spans="1:42" x14ac:dyDescent="0.25">
      <c r="A12" s="13"/>
      <c r="B12" s="13"/>
      <c r="D12" s="14"/>
      <c r="F12" s="16"/>
      <c r="G12" s="14"/>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17"/>
    </row>
    <row r="13" spans="1:42" x14ac:dyDescent="0.25">
      <c r="A13" s="89"/>
      <c r="B13" s="89"/>
      <c r="C13" s="90" t="s">
        <v>172</v>
      </c>
      <c r="D13" s="91"/>
      <c r="E13" s="92"/>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3"/>
    </row>
    <row r="14" spans="1:42" x14ac:dyDescent="0.25">
      <c r="A14" s="23"/>
      <c r="B14" s="23"/>
      <c r="C14" s="24" t="s">
        <v>505</v>
      </c>
      <c r="D14" s="24"/>
      <c r="E14" s="25"/>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7"/>
    </row>
    <row r="15" spans="1:42" x14ac:dyDescent="0.25">
      <c r="A15" s="13"/>
      <c r="B15" s="13"/>
      <c r="C15" s="30"/>
      <c r="D15" s="30"/>
      <c r="E15" s="31"/>
      <c r="F15" s="16"/>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3"/>
    </row>
    <row r="16" spans="1:42" x14ac:dyDescent="0.25">
      <c r="A16" s="12"/>
      <c r="B16" s="13"/>
      <c r="C16" s="14"/>
      <c r="D16" s="14"/>
      <c r="E16" s="15"/>
      <c r="F16" s="16"/>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7"/>
    </row>
    <row r="17" spans="1:42" x14ac:dyDescent="0.25">
      <c r="A17" s="12"/>
      <c r="B17" s="13"/>
      <c r="C17" s="37" t="s">
        <v>506</v>
      </c>
      <c r="D17" s="37"/>
      <c r="E17" s="38"/>
      <c r="F17" s="39"/>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17"/>
    </row>
    <row r="18" spans="1:42" x14ac:dyDescent="0.25">
      <c r="A18" s="12"/>
      <c r="B18" s="13"/>
      <c r="C18" s="41" t="s">
        <v>507</v>
      </c>
      <c r="D18" s="41"/>
      <c r="E18" s="15" t="s">
        <v>465</v>
      </c>
      <c r="F18" s="16"/>
      <c r="G18" s="14"/>
      <c r="H18" s="141"/>
      <c r="I18" s="141">
        <f>Route!I$11</f>
        <v>93600</v>
      </c>
      <c r="J18" s="141">
        <f>Route!J$11</f>
        <v>93600</v>
      </c>
      <c r="K18" s="141">
        <f>Route!K$11</f>
        <v>93600</v>
      </c>
      <c r="L18" s="141">
        <f>Route!L$11</f>
        <v>93600</v>
      </c>
      <c r="M18" s="141">
        <f>Route!M$11</f>
        <v>93600</v>
      </c>
      <c r="N18" s="141">
        <f>Route!N$11</f>
        <v>93600</v>
      </c>
      <c r="O18" s="141">
        <f>Route!O$11</f>
        <v>93600</v>
      </c>
      <c r="P18" s="141">
        <f>Route!P$11</f>
        <v>93600</v>
      </c>
      <c r="Q18" s="141">
        <f>Route!Q$11</f>
        <v>93600</v>
      </c>
      <c r="R18" s="141">
        <f>Route!R$11</f>
        <v>93600</v>
      </c>
      <c r="S18" s="141">
        <f>Route!S$11</f>
        <v>93600</v>
      </c>
      <c r="T18" s="141">
        <f>Route!T$11</f>
        <v>93600</v>
      </c>
      <c r="U18" s="141">
        <f>Route!U$11</f>
        <v>93600</v>
      </c>
      <c r="V18" s="141">
        <f>Route!V$11</f>
        <v>93600</v>
      </c>
      <c r="W18" s="141">
        <f>Route!W$11</f>
        <v>93600</v>
      </c>
      <c r="X18" s="141">
        <f>Route!X$11</f>
        <v>93600</v>
      </c>
      <c r="Y18" s="141">
        <f>Route!Y$11</f>
        <v>93600</v>
      </c>
      <c r="Z18" s="141">
        <f>Route!Z$11</f>
        <v>93600</v>
      </c>
      <c r="AA18" s="141">
        <f>Route!AA$11</f>
        <v>93600</v>
      </c>
      <c r="AB18" s="141">
        <f>Route!AB$11</f>
        <v>93600</v>
      </c>
      <c r="AC18" s="141">
        <f>Route!AC$11</f>
        <v>93600</v>
      </c>
      <c r="AD18" s="141">
        <f>Route!AD$11</f>
        <v>93600</v>
      </c>
      <c r="AE18" s="141">
        <f>Route!AE$11</f>
        <v>93600</v>
      </c>
      <c r="AF18" s="141">
        <f>Route!AF$11</f>
        <v>93600</v>
      </c>
      <c r="AG18" s="141">
        <f>Route!AG$11</f>
        <v>93600</v>
      </c>
      <c r="AH18" s="141">
        <f>Route!AH$11</f>
        <v>93600</v>
      </c>
      <c r="AI18" s="141">
        <f>Route!AI$11</f>
        <v>93600</v>
      </c>
      <c r="AJ18" s="141">
        <f>Route!AJ$11</f>
        <v>93600</v>
      </c>
      <c r="AK18" s="141">
        <f>Route!AK$11</f>
        <v>93600</v>
      </c>
      <c r="AL18" s="141">
        <f>Route!AL$11</f>
        <v>93600</v>
      </c>
      <c r="AM18" s="141">
        <f>Route!AM$11</f>
        <v>93600</v>
      </c>
      <c r="AN18" s="141">
        <f>Route!AN$11</f>
        <v>93600</v>
      </c>
      <c r="AO18" s="141">
        <f>Route!AO$11</f>
        <v>93600</v>
      </c>
      <c r="AP18" s="17"/>
    </row>
    <row r="19" spans="1:42" x14ac:dyDescent="0.25">
      <c r="A19" s="12"/>
      <c r="B19" s="13"/>
      <c r="C19" s="41" t="s">
        <v>534</v>
      </c>
      <c r="D19" s="41"/>
      <c r="E19" s="15" t="s">
        <v>465</v>
      </c>
      <c r="F19" s="16"/>
      <c r="G19" s="14"/>
      <c r="H19" s="141"/>
      <c r="I19" s="159">
        <f>IF(COUNT($I$3:I3)&lt;=(Dashboard!$I$31),I18,0)</f>
        <v>93600</v>
      </c>
      <c r="J19" s="159">
        <f>IF(COUNT($I$3:J3)&lt;=(Dashboard!$I$31),J18,0)</f>
        <v>93600</v>
      </c>
      <c r="K19" s="159">
        <f>IF(COUNT($I$3:K3)&lt;=(Dashboard!$I$31),K18,0)</f>
        <v>93600</v>
      </c>
      <c r="L19" s="159">
        <f>IF(COUNT($I$3:L3)&lt;=(Dashboard!$I$31),L18,0)</f>
        <v>93600</v>
      </c>
      <c r="M19" s="159">
        <f>IF(COUNT($I$3:M3)&lt;=(Dashboard!$I$31),M18,0)</f>
        <v>93600</v>
      </c>
      <c r="N19" s="159">
        <f>IF(COUNT($I$3:N3)&lt;=(Dashboard!$I$31),N18,0)</f>
        <v>93600</v>
      </c>
      <c r="O19" s="159">
        <f>IF(COUNT($I$3:O3)&lt;=(Dashboard!$I$31),O18,0)</f>
        <v>93600</v>
      </c>
      <c r="P19" s="159">
        <f>IF(COUNT($I$3:P3)&lt;=(Dashboard!$I$31),P18,0)</f>
        <v>93600</v>
      </c>
      <c r="Q19" s="159">
        <f>IF(COUNT($I$3:Q3)&lt;=(Dashboard!$I$31),Q18,0)</f>
        <v>93600</v>
      </c>
      <c r="R19" s="159">
        <f>IF(COUNT($I$3:R3)&lt;=(Dashboard!$I$31),R18,0)</f>
        <v>93600</v>
      </c>
      <c r="S19" s="159">
        <f>IF(COUNT($I$3:S3)&lt;=(Dashboard!$I$31),S18,0)</f>
        <v>93600</v>
      </c>
      <c r="T19" s="159">
        <f>IF(COUNT($I$3:T3)&lt;=(Dashboard!$I$31),T18,0)</f>
        <v>93600</v>
      </c>
      <c r="U19" s="159">
        <f>IF(COUNT($I$3:U3)&lt;=(Dashboard!$I$31),U18,0)</f>
        <v>0</v>
      </c>
      <c r="V19" s="159">
        <f>IF(COUNT($I$3:V3)&lt;=(Dashboard!$I$31),V18,0)</f>
        <v>0</v>
      </c>
      <c r="W19" s="159">
        <f>IF(COUNT($I$3:W3)&lt;=(Dashboard!$I$31),W18,0)</f>
        <v>0</v>
      </c>
      <c r="X19" s="159">
        <f>IF(COUNT($I$3:X3)&lt;=(Dashboard!$I$31),X18,0)</f>
        <v>0</v>
      </c>
      <c r="Y19" s="159">
        <f>IF(COUNT($I$3:Y3)&lt;=(Dashboard!$I$31),Y18,0)</f>
        <v>0</v>
      </c>
      <c r="Z19" s="159">
        <f>IF(COUNT($I$3:Z3)&lt;=(Dashboard!$I$31),Z18,0)</f>
        <v>0</v>
      </c>
      <c r="AA19" s="159">
        <f>IF(COUNT($I$3:AA3)&lt;=(Dashboard!$I$31),AA18,0)</f>
        <v>0</v>
      </c>
      <c r="AB19" s="159">
        <f>IF(COUNT($I$3:AB3)&lt;=(Dashboard!$I$31),AB18,0)</f>
        <v>0</v>
      </c>
      <c r="AC19" s="159">
        <f>IF(COUNT($I$3:AC3)&lt;=(Dashboard!$I$31),AC18,0)</f>
        <v>0</v>
      </c>
      <c r="AD19" s="159">
        <f>IF(COUNT($I$3:AD3)&lt;=(Dashboard!$I$31),AD18,0)</f>
        <v>0</v>
      </c>
      <c r="AE19" s="159">
        <f>IF(COUNT($I$3:AE3)&lt;=(Dashboard!$I$31),AE18,0)</f>
        <v>0</v>
      </c>
      <c r="AF19" s="159">
        <f>IF(COUNT($I$3:AF3)&lt;=(Dashboard!$I$31),AF18,0)</f>
        <v>0</v>
      </c>
      <c r="AG19" s="159">
        <f>IF(COUNT($I$3:AG3)&lt;=(Dashboard!$I$31),AG18,0)</f>
        <v>0</v>
      </c>
      <c r="AH19" s="159">
        <f>IF(COUNT($I$3:AH3)&lt;=(Dashboard!$I$31),AH18,0)</f>
        <v>0</v>
      </c>
      <c r="AI19" s="159">
        <f>IF(COUNT($I$3:AI3)&lt;=(Dashboard!$I$31),AI18,0)</f>
        <v>0</v>
      </c>
      <c r="AJ19" s="159">
        <f>IF(COUNT($I$3:AJ3)&lt;=(Dashboard!$I$31),AJ18,0)</f>
        <v>0</v>
      </c>
      <c r="AK19" s="159">
        <f>IF(COUNT($I$3:AK3)&lt;=(Dashboard!$I$31),AK18,0)</f>
        <v>0</v>
      </c>
      <c r="AL19" s="159">
        <f>IF(COUNT($I$3:AL3)&lt;=(Dashboard!$I$31),AL18,0)</f>
        <v>0</v>
      </c>
      <c r="AM19" s="159">
        <f>IF(COUNT($I$3:AM3)&lt;=(Dashboard!$I$31),AM18,0)</f>
        <v>0</v>
      </c>
      <c r="AN19" s="159">
        <f>IF(COUNT($I$3:AN3)&lt;=(Dashboard!$I$31),AN18,0)</f>
        <v>0</v>
      </c>
      <c r="AO19" s="159">
        <f>IF(COUNT($I$3:AO3)&lt;=(Dashboard!$I$31),AO18,0)</f>
        <v>0</v>
      </c>
      <c r="AP19" s="17"/>
    </row>
    <row r="20" spans="1:42" x14ac:dyDescent="0.25">
      <c r="A20" s="12"/>
      <c r="B20" s="13"/>
      <c r="C20" s="14"/>
      <c r="D20" s="14"/>
      <c r="E20" s="15"/>
      <c r="F20" s="16"/>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7"/>
    </row>
    <row r="21" spans="1:42" x14ac:dyDescent="0.25">
      <c r="A21" s="12"/>
      <c r="B21" s="13"/>
      <c r="C21" s="37" t="s">
        <v>508</v>
      </c>
      <c r="D21" s="37"/>
      <c r="E21" s="38"/>
      <c r="F21" s="39"/>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17"/>
    </row>
    <row r="22" spans="1:42" x14ac:dyDescent="0.25">
      <c r="A22" s="12"/>
      <c r="B22" s="13"/>
      <c r="C22" s="95" t="s">
        <v>254</v>
      </c>
      <c r="D22" s="14"/>
      <c r="E22" s="15"/>
      <c r="F22" s="16"/>
      <c r="G22" s="14"/>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29"/>
    </row>
    <row r="23" spans="1:42" x14ac:dyDescent="0.25">
      <c r="A23" s="12"/>
      <c r="B23" s="13"/>
      <c r="C23" s="96" t="s">
        <v>120</v>
      </c>
      <c r="D23" s="14"/>
      <c r="E23" s="15" t="s">
        <v>142</v>
      </c>
      <c r="F23" s="158" t="str">
        <f>Dashboard!$I$43</f>
        <v>2 Axle rigid</v>
      </c>
      <c r="G23" s="14"/>
      <c r="H23" s="150">
        <f>IF(C23=F23,Data!$E$144,0)</f>
        <v>0</v>
      </c>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29"/>
    </row>
    <row r="24" spans="1:42" x14ac:dyDescent="0.25">
      <c r="A24" s="12"/>
      <c r="B24" s="13"/>
      <c r="C24" s="96" t="s">
        <v>124</v>
      </c>
      <c r="D24" s="14"/>
      <c r="E24" s="15" t="s">
        <v>142</v>
      </c>
      <c r="F24" s="158" t="str">
        <f>Dashboard!$I$43</f>
        <v>2 Axle rigid</v>
      </c>
      <c r="G24" s="14"/>
      <c r="H24" s="150">
        <f>IF(C24=F24,Data!$E$145,0)</f>
        <v>0</v>
      </c>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29"/>
    </row>
    <row r="25" spans="1:42" x14ac:dyDescent="0.25">
      <c r="A25" s="12"/>
      <c r="B25" s="13"/>
      <c r="C25" s="96" t="s">
        <v>126</v>
      </c>
      <c r="D25" s="14"/>
      <c r="E25" s="15" t="s">
        <v>142</v>
      </c>
      <c r="F25" s="158" t="str">
        <f>Dashboard!$I$43</f>
        <v>2 Axle rigid</v>
      </c>
      <c r="G25" s="14"/>
      <c r="H25" s="150">
        <f>IF(C25=F25,Data!$E$146,0)</f>
        <v>0</v>
      </c>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29"/>
    </row>
    <row r="26" spans="1:42" x14ac:dyDescent="0.25">
      <c r="A26" s="12"/>
      <c r="B26" s="13"/>
      <c r="C26" s="20" t="s">
        <v>509</v>
      </c>
      <c r="D26" s="14"/>
      <c r="E26" s="15" t="s">
        <v>142</v>
      </c>
      <c r="F26" s="16"/>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7"/>
    </row>
    <row r="27" spans="1:42" x14ac:dyDescent="0.25">
      <c r="A27" s="12"/>
      <c r="B27" s="13"/>
      <c r="C27" s="45"/>
      <c r="D27" s="45"/>
      <c r="E27" s="15"/>
      <c r="F27" s="16"/>
      <c r="G27" s="14"/>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9"/>
    </row>
    <row r="28" spans="1:42" x14ac:dyDescent="0.25">
      <c r="A28" s="12"/>
      <c r="B28" s="13"/>
      <c r="C28" s="19" t="s">
        <v>510</v>
      </c>
      <c r="D28" s="45"/>
      <c r="E28" s="15"/>
      <c r="F28" s="16"/>
      <c r="G28" s="14"/>
      <c r="H28" s="182">
        <f>SUM(H23:H27)</f>
        <v>0</v>
      </c>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9"/>
    </row>
    <row r="29" spans="1:42" x14ac:dyDescent="0.25">
      <c r="A29" s="12"/>
      <c r="B29" s="13"/>
      <c r="C29" s="14"/>
      <c r="D29" s="14"/>
      <c r="E29" s="15"/>
      <c r="F29" s="16"/>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7"/>
    </row>
    <row r="30" spans="1:42" x14ac:dyDescent="0.25">
      <c r="A30" s="12"/>
      <c r="B30" s="13"/>
      <c r="C30" s="37" t="s">
        <v>472</v>
      </c>
      <c r="D30" s="37"/>
      <c r="E30" s="38"/>
      <c r="F30" s="39"/>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17"/>
    </row>
    <row r="31" spans="1:42" x14ac:dyDescent="0.25">
      <c r="A31" s="12"/>
      <c r="B31" s="13"/>
      <c r="C31" s="44" t="s">
        <v>258</v>
      </c>
      <c r="D31" s="44"/>
      <c r="E31" s="15"/>
      <c r="F31" s="16"/>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7"/>
    </row>
    <row r="32" spans="1:42" x14ac:dyDescent="0.25">
      <c r="A32" s="12"/>
      <c r="B32" s="13"/>
      <c r="C32" s="45" t="s">
        <v>120</v>
      </c>
      <c r="D32" s="45"/>
      <c r="E32" s="15" t="s">
        <v>474</v>
      </c>
      <c r="F32" s="158" t="str">
        <f>Dashboard!$I$43</f>
        <v>2 Axle rigid</v>
      </c>
      <c r="G32" s="14"/>
      <c r="H32" s="177"/>
      <c r="I32" s="177">
        <f>IF($C$32=$F$32,Data!$E$151*I$19,0)</f>
        <v>70200</v>
      </c>
      <c r="J32" s="177">
        <f>IF($C$32=$F$32,Data!$E$151*J$19,0)</f>
        <v>70200</v>
      </c>
      <c r="K32" s="177">
        <f>IF($C$32=$F$32,Data!$E$151*K$19,0)</f>
        <v>70200</v>
      </c>
      <c r="L32" s="177">
        <f>IF($C$32=$F$32,Data!$E$151*L$19,0)</f>
        <v>70200</v>
      </c>
      <c r="M32" s="177">
        <f>IF($C$32=$F$32,Data!$E$151*M$19,0)</f>
        <v>70200</v>
      </c>
      <c r="N32" s="177">
        <f>IF($C$32=$F$32,Data!$E$151*N$19,0)</f>
        <v>70200</v>
      </c>
      <c r="O32" s="177">
        <f>IF($C$32=$F$32,Data!$E$151*O$19,0)</f>
        <v>70200</v>
      </c>
      <c r="P32" s="177">
        <f>IF($C$32=$F$32,Data!$E$151*P$19,0)</f>
        <v>70200</v>
      </c>
      <c r="Q32" s="177">
        <f>IF($C$32=$F$32,Data!$E$151*Q$19,0)</f>
        <v>70200</v>
      </c>
      <c r="R32" s="177">
        <f>IF($C$32=$F$32,Data!$E$151*R$19,0)</f>
        <v>70200</v>
      </c>
      <c r="S32" s="177">
        <f>IF($C$32=$F$32,Data!$E$151*S$19,0)</f>
        <v>70200</v>
      </c>
      <c r="T32" s="177">
        <f>IF($C$32=$F$32,Data!$E$151*T$19,0)</f>
        <v>70200</v>
      </c>
      <c r="U32" s="177">
        <f>IF($C$32=$F$32,Data!$E$151*U$19,0)</f>
        <v>0</v>
      </c>
      <c r="V32" s="177">
        <f>IF($C$32=$F$32,Data!$E$151*V$19,0)</f>
        <v>0</v>
      </c>
      <c r="W32" s="177">
        <f>IF($C$32=$F$32,Data!$E$151*W$19,0)</f>
        <v>0</v>
      </c>
      <c r="X32" s="177">
        <f>IF($C$32=$F$32,Data!$E$151*X$19,0)</f>
        <v>0</v>
      </c>
      <c r="Y32" s="177">
        <f>IF($C$32=$F$32,Data!$E$151*Y$19,0)</f>
        <v>0</v>
      </c>
      <c r="Z32" s="177">
        <f>IF($C$32=$F$32,Data!$E$151*Z$19,0)</f>
        <v>0</v>
      </c>
      <c r="AA32" s="177">
        <f>IF($C$32=$F$32,Data!$E$151*AA$19,0)</f>
        <v>0</v>
      </c>
      <c r="AB32" s="177">
        <f>IF($C$32=$F$32,Data!$E$151*AB$19,0)</f>
        <v>0</v>
      </c>
      <c r="AC32" s="177">
        <f>IF($C$32=$F$32,Data!$E$151*AC$19,0)</f>
        <v>0</v>
      </c>
      <c r="AD32" s="177">
        <f>IF($C$32=$F$32,Data!$E$151*AD$19,0)</f>
        <v>0</v>
      </c>
      <c r="AE32" s="177">
        <f>IF($C$32=$F$32,Data!$E$151*AE$19,0)</f>
        <v>0</v>
      </c>
      <c r="AF32" s="177">
        <f>IF($C$32=$F$32,Data!$E$151*AF$19,0)</f>
        <v>0</v>
      </c>
      <c r="AG32" s="177">
        <f>IF($C$32=$F$32,Data!$E$151*AG$19,0)</f>
        <v>0</v>
      </c>
      <c r="AH32" s="177">
        <f>IF($C$32=$F$32,Data!$E$151*AH$19,0)</f>
        <v>0</v>
      </c>
      <c r="AI32" s="177">
        <f>IF($C$32=$F$32,Data!$E$151*AI$19,0)</f>
        <v>0</v>
      </c>
      <c r="AJ32" s="177">
        <f>IF($C$32=$F$32,Data!$E$151*AJ$19,0)</f>
        <v>0</v>
      </c>
      <c r="AK32" s="177">
        <f>IF($C$32=$F$32,Data!$E$151*AK$19,0)</f>
        <v>0</v>
      </c>
      <c r="AL32" s="177">
        <f>IF($C$32=$F$32,Data!$E$151*AL$19,0)</f>
        <v>0</v>
      </c>
      <c r="AM32" s="177">
        <f>IF($C$32=$F$32,Data!$E$151*AM$19,0)</f>
        <v>0</v>
      </c>
      <c r="AN32" s="177">
        <f>IF($C$32=$F$32,Data!$E$151*AN$19,0)</f>
        <v>0</v>
      </c>
      <c r="AO32" s="177">
        <f>IF($C$32=$F$32,Data!$E$151*AO$19,0)</f>
        <v>0</v>
      </c>
      <c r="AP32" s="29"/>
    </row>
    <row r="33" spans="1:42" x14ac:dyDescent="0.25">
      <c r="A33" s="12"/>
      <c r="B33" s="13"/>
      <c r="C33" s="45" t="s">
        <v>124</v>
      </c>
      <c r="D33" s="45"/>
      <c r="E33" s="15" t="s">
        <v>474</v>
      </c>
      <c r="F33" s="158" t="str">
        <f>Dashboard!$I$43</f>
        <v>2 Axle rigid</v>
      </c>
      <c r="G33" s="14"/>
      <c r="H33" s="177"/>
      <c r="I33" s="177">
        <f>IF($C$33=$F$33,Data!$E$152*I$19,0)</f>
        <v>0</v>
      </c>
      <c r="J33" s="177">
        <f>IF($C$33=$F$33,Data!$E$152*J$19,0)</f>
        <v>0</v>
      </c>
      <c r="K33" s="177">
        <f>IF($C$33=$F$33,Data!$E$152*K$19,0)</f>
        <v>0</v>
      </c>
      <c r="L33" s="177">
        <f>IF($C$33=$F$33,Data!$E$152*L$19,0)</f>
        <v>0</v>
      </c>
      <c r="M33" s="177">
        <f>IF($C$33=$F$33,Data!$E$152*M$19,0)</f>
        <v>0</v>
      </c>
      <c r="N33" s="177">
        <f>IF($C$33=$F$33,Data!$E$152*N$19,0)</f>
        <v>0</v>
      </c>
      <c r="O33" s="177">
        <f>IF($C$33=$F$33,Data!$E$152*O$19,0)</f>
        <v>0</v>
      </c>
      <c r="P33" s="177">
        <f>IF($C$33=$F$33,Data!$E$152*P$19,0)</f>
        <v>0</v>
      </c>
      <c r="Q33" s="177">
        <f>IF($C$33=$F$33,Data!$E$152*Q$19,0)</f>
        <v>0</v>
      </c>
      <c r="R33" s="177">
        <f>IF($C$33=$F$33,Data!$E$152*R$19,0)</f>
        <v>0</v>
      </c>
      <c r="S33" s="177">
        <f>IF($C$33=$F$33,Data!$E$152*S$19,0)</f>
        <v>0</v>
      </c>
      <c r="T33" s="177">
        <f>IF($C$33=$F$33,Data!$E$152*T$19,0)</f>
        <v>0</v>
      </c>
      <c r="U33" s="177">
        <f>IF($C$33=$F$33,Data!$E$152*U$19,0)</f>
        <v>0</v>
      </c>
      <c r="V33" s="177">
        <f>IF($C$33=$F$33,Data!$E$152*V$19,0)</f>
        <v>0</v>
      </c>
      <c r="W33" s="177">
        <f>IF($C$33=$F$33,Data!$E$152*W$19,0)</f>
        <v>0</v>
      </c>
      <c r="X33" s="177">
        <f>IF($C$33=$F$33,Data!$E$152*X$19,0)</f>
        <v>0</v>
      </c>
      <c r="Y33" s="177">
        <f>IF($C$33=$F$33,Data!$E$152*Y$19,0)</f>
        <v>0</v>
      </c>
      <c r="Z33" s="177">
        <f>IF($C$33=$F$33,Data!$E$152*Z$19,0)</f>
        <v>0</v>
      </c>
      <c r="AA33" s="177">
        <f>IF($C$33=$F$33,Data!$E$152*AA$19,0)</f>
        <v>0</v>
      </c>
      <c r="AB33" s="177">
        <f>IF($C$33=$F$33,Data!$E$152*AB$19,0)</f>
        <v>0</v>
      </c>
      <c r="AC33" s="177">
        <f>IF($C$33=$F$33,Data!$E$152*AC$19,0)</f>
        <v>0</v>
      </c>
      <c r="AD33" s="177">
        <f>IF($C$33=$F$33,Data!$E$152*AD$19,0)</f>
        <v>0</v>
      </c>
      <c r="AE33" s="177">
        <f>IF($C$33=$F$33,Data!$E$152*AE$19,0)</f>
        <v>0</v>
      </c>
      <c r="AF33" s="177">
        <f>IF($C$33=$F$33,Data!$E$152*AF$19,0)</f>
        <v>0</v>
      </c>
      <c r="AG33" s="177">
        <f>IF($C$33=$F$33,Data!$E$152*AG$19,0)</f>
        <v>0</v>
      </c>
      <c r="AH33" s="177">
        <f>IF($C$33=$F$33,Data!$E$152*AH$19,0)</f>
        <v>0</v>
      </c>
      <c r="AI33" s="177">
        <f>IF($C$33=$F$33,Data!$E$152*AI$19,0)</f>
        <v>0</v>
      </c>
      <c r="AJ33" s="177">
        <f>IF($C$33=$F$33,Data!$E$152*AJ$19,0)</f>
        <v>0</v>
      </c>
      <c r="AK33" s="177">
        <f>IF($C$33=$F$33,Data!$E$152*AK$19,0)</f>
        <v>0</v>
      </c>
      <c r="AL33" s="177">
        <f>IF($C$33=$F$33,Data!$E$152*AL$19,0)</f>
        <v>0</v>
      </c>
      <c r="AM33" s="177">
        <f>IF($C$33=$F$33,Data!$E$152*AM$19,0)</f>
        <v>0</v>
      </c>
      <c r="AN33" s="177">
        <f>IF($C$33=$F$33,Data!$E$152*AN$19,0)</f>
        <v>0</v>
      </c>
      <c r="AO33" s="177">
        <f>IF($C$33=$F$33,Data!$E$152*AO$19,0)</f>
        <v>0</v>
      </c>
      <c r="AP33" s="29"/>
    </row>
    <row r="34" spans="1:42" x14ac:dyDescent="0.25">
      <c r="A34" s="12"/>
      <c r="B34" s="13"/>
      <c r="C34" s="45" t="s">
        <v>126</v>
      </c>
      <c r="D34" s="45"/>
      <c r="E34" s="15" t="s">
        <v>474</v>
      </c>
      <c r="F34" s="158" t="str">
        <f>Dashboard!$I$43</f>
        <v>2 Axle rigid</v>
      </c>
      <c r="G34" s="14"/>
      <c r="H34" s="177"/>
      <c r="I34" s="177">
        <f>IF($C$34=$F$34,Data!$E$153*I$19,0)</f>
        <v>0</v>
      </c>
      <c r="J34" s="177">
        <f>IF($C$34=$F$34,Data!$E$153*J$19,0)</f>
        <v>0</v>
      </c>
      <c r="K34" s="177">
        <f>IF($C$34=$F$34,Data!$E$153*K$19,0)</f>
        <v>0</v>
      </c>
      <c r="L34" s="177">
        <f>IF($C$34=$F$34,Data!$E$153*L$19,0)</f>
        <v>0</v>
      </c>
      <c r="M34" s="177">
        <f>IF($C$34=$F$34,Data!$E$153*M$19,0)</f>
        <v>0</v>
      </c>
      <c r="N34" s="177">
        <f>IF($C$34=$F$34,Data!$E$153*N$19,0)</f>
        <v>0</v>
      </c>
      <c r="O34" s="177">
        <f>IF($C$34=$F$34,Data!$E$153*O$19,0)</f>
        <v>0</v>
      </c>
      <c r="P34" s="177">
        <f>IF($C$34=$F$34,Data!$E$153*P$19,0)</f>
        <v>0</v>
      </c>
      <c r="Q34" s="177">
        <f>IF($C$34=$F$34,Data!$E$153*Q$19,0)</f>
        <v>0</v>
      </c>
      <c r="R34" s="177">
        <f>IF($C$34=$F$34,Data!$E$153*R$19,0)</f>
        <v>0</v>
      </c>
      <c r="S34" s="177">
        <f>IF($C$34=$F$34,Data!$E$153*S$19,0)</f>
        <v>0</v>
      </c>
      <c r="T34" s="177">
        <f>IF($C$34=$F$34,Data!$E$153*T$19,0)</f>
        <v>0</v>
      </c>
      <c r="U34" s="177">
        <f>IF($C$34=$F$34,Data!$E$153*U$19,0)</f>
        <v>0</v>
      </c>
      <c r="V34" s="177">
        <f>IF($C$34=$F$34,Data!$E$153*V$19,0)</f>
        <v>0</v>
      </c>
      <c r="W34" s="177">
        <f>IF($C$34=$F$34,Data!$E$153*W$19,0)</f>
        <v>0</v>
      </c>
      <c r="X34" s="177">
        <f>IF($C$34=$F$34,Data!$E$153*X$19,0)</f>
        <v>0</v>
      </c>
      <c r="Y34" s="177">
        <f>IF($C$34=$F$34,Data!$E$153*Y$19,0)</f>
        <v>0</v>
      </c>
      <c r="Z34" s="177">
        <f>IF($C$34=$F$34,Data!$E$153*Z$19,0)</f>
        <v>0</v>
      </c>
      <c r="AA34" s="177">
        <f>IF($C$34=$F$34,Data!$E$153*AA$19,0)</f>
        <v>0</v>
      </c>
      <c r="AB34" s="177">
        <f>IF($C$34=$F$34,Data!$E$153*AB$19,0)</f>
        <v>0</v>
      </c>
      <c r="AC34" s="177">
        <f>IF($C$34=$F$34,Data!$E$153*AC$19,0)</f>
        <v>0</v>
      </c>
      <c r="AD34" s="177">
        <f>IF($C$34=$F$34,Data!$E$153*AD$19,0)</f>
        <v>0</v>
      </c>
      <c r="AE34" s="177">
        <f>IF($C$34=$F$34,Data!$E$153*AE$19,0)</f>
        <v>0</v>
      </c>
      <c r="AF34" s="177">
        <f>IF($C$34=$F$34,Data!$E$153*AF$19,0)</f>
        <v>0</v>
      </c>
      <c r="AG34" s="177">
        <f>IF($C$34=$F$34,Data!$E$153*AG$19,0)</f>
        <v>0</v>
      </c>
      <c r="AH34" s="177">
        <f>IF($C$34=$F$34,Data!$E$153*AH$19,0)</f>
        <v>0</v>
      </c>
      <c r="AI34" s="177">
        <f>IF($C$34=$F$34,Data!$E$153*AI$19,0)</f>
        <v>0</v>
      </c>
      <c r="AJ34" s="177">
        <f>IF($C$34=$F$34,Data!$E$153*AJ$19,0)</f>
        <v>0</v>
      </c>
      <c r="AK34" s="177">
        <f>IF($C$34=$F$34,Data!$E$153*AK$19,0)</f>
        <v>0</v>
      </c>
      <c r="AL34" s="177">
        <f>IF($C$34=$F$34,Data!$E$153*AL$19,0)</f>
        <v>0</v>
      </c>
      <c r="AM34" s="177">
        <f>IF($C$34=$F$34,Data!$E$153*AM$19,0)</f>
        <v>0</v>
      </c>
      <c r="AN34" s="177">
        <f>IF($C$34=$F$34,Data!$E$153*AN$19,0)</f>
        <v>0</v>
      </c>
      <c r="AO34" s="177">
        <f>IF($C$34=$F$34,Data!$E$153*AO$19,0)</f>
        <v>0</v>
      </c>
      <c r="AP34" s="29"/>
    </row>
    <row r="35" spans="1:42" x14ac:dyDescent="0.25">
      <c r="A35" s="12"/>
      <c r="B35" s="13"/>
      <c r="C35" s="45"/>
      <c r="D35" s="45"/>
      <c r="E35" s="15"/>
      <c r="F35" s="16"/>
      <c r="G35" s="14"/>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9"/>
    </row>
    <row r="36" spans="1:42" x14ac:dyDescent="0.25">
      <c r="A36" s="12"/>
      <c r="B36" s="13"/>
      <c r="C36" s="44" t="s">
        <v>532</v>
      </c>
      <c r="D36" s="45"/>
      <c r="E36" s="15" t="s">
        <v>318</v>
      </c>
      <c r="F36" s="16"/>
      <c r="G36" s="14"/>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9"/>
    </row>
    <row r="37" spans="1:42" x14ac:dyDescent="0.25">
      <c r="A37" s="12"/>
      <c r="B37" s="13"/>
      <c r="C37" s="44" t="s">
        <v>260</v>
      </c>
      <c r="D37" s="14"/>
      <c r="E37" s="15" t="s">
        <v>318</v>
      </c>
      <c r="F37" s="16"/>
      <c r="G37" s="14"/>
      <c r="H37" s="151"/>
      <c r="I37" s="151">
        <f>Data!$E$155*I$19</f>
        <v>33733.440000000002</v>
      </c>
      <c r="J37" s="151">
        <f>Data!$E$155*J$19</f>
        <v>33733.440000000002</v>
      </c>
      <c r="K37" s="151">
        <f>Data!$E$155*K$19</f>
        <v>33733.440000000002</v>
      </c>
      <c r="L37" s="151">
        <f>Data!$E$155*L$19</f>
        <v>33733.440000000002</v>
      </c>
      <c r="M37" s="151">
        <f>Data!$E$155*M$19</f>
        <v>33733.440000000002</v>
      </c>
      <c r="N37" s="151">
        <f>Data!$E$155*N$19</f>
        <v>33733.440000000002</v>
      </c>
      <c r="O37" s="151">
        <f>Data!$E$155*O$19</f>
        <v>33733.440000000002</v>
      </c>
      <c r="P37" s="151">
        <f>Data!$E$155*P$19</f>
        <v>33733.440000000002</v>
      </c>
      <c r="Q37" s="151">
        <f>Data!$E$155*Q$19</f>
        <v>33733.440000000002</v>
      </c>
      <c r="R37" s="151">
        <f>Data!$E$155*R$19</f>
        <v>33733.440000000002</v>
      </c>
      <c r="S37" s="151">
        <f>Data!$E$155*S$19</f>
        <v>33733.440000000002</v>
      </c>
      <c r="T37" s="151">
        <f>Data!$E$155*T$19</f>
        <v>33733.440000000002</v>
      </c>
      <c r="U37" s="151">
        <f>Data!$E$155*U$19</f>
        <v>0</v>
      </c>
      <c r="V37" s="151">
        <f>Data!$E$155*V$19</f>
        <v>0</v>
      </c>
      <c r="W37" s="151">
        <f>Data!$E$155*W$19</f>
        <v>0</v>
      </c>
      <c r="X37" s="151">
        <f>Data!$E$155*X$19</f>
        <v>0</v>
      </c>
      <c r="Y37" s="151">
        <f>Data!$E$155*Y$19</f>
        <v>0</v>
      </c>
      <c r="Z37" s="151">
        <f>Data!$E$155*Z$19</f>
        <v>0</v>
      </c>
      <c r="AA37" s="151">
        <f>Data!$E$155*AA$19</f>
        <v>0</v>
      </c>
      <c r="AB37" s="151">
        <f>Data!$E$155*AB$19</f>
        <v>0</v>
      </c>
      <c r="AC37" s="151">
        <f>Data!$E$155*AC$19</f>
        <v>0</v>
      </c>
      <c r="AD37" s="151">
        <f>Data!$E$155*AD$19</f>
        <v>0</v>
      </c>
      <c r="AE37" s="151">
        <f>Data!$E$155*AE$19</f>
        <v>0</v>
      </c>
      <c r="AF37" s="151">
        <f>Data!$E$155*AF$19</f>
        <v>0</v>
      </c>
      <c r="AG37" s="151">
        <f>Data!$E$155*AG$19</f>
        <v>0</v>
      </c>
      <c r="AH37" s="151">
        <f>Data!$E$155*AH$19</f>
        <v>0</v>
      </c>
      <c r="AI37" s="151">
        <f>Data!$E$155*AI$19</f>
        <v>0</v>
      </c>
      <c r="AJ37" s="151">
        <f>Data!$E$155*AJ$19</f>
        <v>0</v>
      </c>
      <c r="AK37" s="151">
        <f>Data!$E$155*AK$19</f>
        <v>0</v>
      </c>
      <c r="AL37" s="151">
        <f>Data!$E$155*AL$19</f>
        <v>0</v>
      </c>
      <c r="AM37" s="151">
        <f>Data!$E$155*AM$19</f>
        <v>0</v>
      </c>
      <c r="AN37" s="151">
        <f>Data!$E$155*AN$19</f>
        <v>0</v>
      </c>
      <c r="AO37" s="151">
        <f>Data!$E$155*AO$19</f>
        <v>0</v>
      </c>
      <c r="AP37" s="17"/>
    </row>
    <row r="38" spans="1:42" x14ac:dyDescent="0.25">
      <c r="A38" s="12"/>
      <c r="B38" s="13"/>
      <c r="C38" s="44"/>
      <c r="D38" s="44"/>
      <c r="E38" s="15"/>
      <c r="F38" s="16"/>
      <c r="G38" s="14"/>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17"/>
    </row>
    <row r="39" spans="1:42" x14ac:dyDescent="0.25">
      <c r="A39" s="12"/>
      <c r="B39" s="13"/>
      <c r="C39" s="44" t="s">
        <v>398</v>
      </c>
      <c r="D39" s="45"/>
      <c r="E39" s="15"/>
      <c r="F39" s="16"/>
      <c r="G39" s="14"/>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9"/>
    </row>
    <row r="40" spans="1:42" x14ac:dyDescent="0.25">
      <c r="A40" s="12"/>
      <c r="B40" s="13"/>
      <c r="C40" s="45" t="s">
        <v>127</v>
      </c>
      <c r="D40" s="45"/>
      <c r="E40" s="15" t="s">
        <v>475</v>
      </c>
      <c r="F40" s="158" t="str">
        <f>Dashboard!$I$42</f>
        <v>Flat (Gradient  0%)</v>
      </c>
      <c r="G40" s="14"/>
      <c r="H40" s="62"/>
      <c r="I40" s="181" cm="1">
        <f t="array" ref="I40">INDEX('Control panel'!$E$17:$E$19,MATCH($F$40,'Control panel'!$C$17:$C$19,0),0)</f>
        <v>0</v>
      </c>
      <c r="J40" s="181" cm="1">
        <f t="array" ref="J40">INDEX('Control panel'!$E$17:$E$19,MATCH($F$40,'Control panel'!$C$17:$C$19,0),0)</f>
        <v>0</v>
      </c>
      <c r="K40" s="181" cm="1">
        <f t="array" ref="K40">INDEX('Control panel'!$E$17:$E$19,MATCH($F$40,'Control panel'!$C$17:$C$19,0),0)</f>
        <v>0</v>
      </c>
      <c r="L40" s="181" cm="1">
        <f t="array" ref="L40">INDEX('Control panel'!$E$17:$E$19,MATCH($F$40,'Control panel'!$C$17:$C$19,0),0)</f>
        <v>0</v>
      </c>
      <c r="M40" s="181" cm="1">
        <f t="array" ref="M40">INDEX('Control panel'!$E$17:$E$19,MATCH($F$40,'Control panel'!$C$17:$C$19,0),0)</f>
        <v>0</v>
      </c>
      <c r="N40" s="181" cm="1">
        <f t="array" ref="N40">INDEX('Control panel'!$E$17:$E$19,MATCH($F$40,'Control panel'!$C$17:$C$19,0),0)</f>
        <v>0</v>
      </c>
      <c r="O40" s="181" cm="1">
        <f t="array" ref="O40">INDEX('Control panel'!$E$17:$E$19,MATCH($F$40,'Control panel'!$C$17:$C$19,0),0)</f>
        <v>0</v>
      </c>
      <c r="P40" s="181" cm="1">
        <f t="array" ref="P40">INDEX('Control panel'!$E$17:$E$19,MATCH($F$40,'Control panel'!$C$17:$C$19,0),0)</f>
        <v>0</v>
      </c>
      <c r="Q40" s="181" cm="1">
        <f t="array" ref="Q40">INDEX('Control panel'!$E$17:$E$19,MATCH($F$40,'Control panel'!$C$17:$C$19,0),0)</f>
        <v>0</v>
      </c>
      <c r="R40" s="181" cm="1">
        <f t="array" ref="R40">INDEX('Control panel'!$E$17:$E$19,MATCH($F$40,'Control panel'!$C$17:$C$19,0),0)</f>
        <v>0</v>
      </c>
      <c r="S40" s="181" cm="1">
        <f t="array" ref="S40">INDEX('Control panel'!$E$17:$E$19,MATCH($F$40,'Control panel'!$C$17:$C$19,0),0)</f>
        <v>0</v>
      </c>
      <c r="T40" s="181" cm="1">
        <f t="array" ref="T40">INDEX('Control panel'!$E$17:$E$19,MATCH($F$40,'Control panel'!$C$17:$C$19,0),0)</f>
        <v>0</v>
      </c>
      <c r="U40" s="181" cm="1">
        <f t="array" ref="U40">INDEX('Control panel'!$E$17:$E$19,MATCH($F$40,'Control panel'!$C$17:$C$19,0),0)</f>
        <v>0</v>
      </c>
      <c r="V40" s="181" cm="1">
        <f t="array" ref="V40">INDEX('Control panel'!$E$17:$E$19,MATCH($F$40,'Control panel'!$C$17:$C$19,0),0)</f>
        <v>0</v>
      </c>
      <c r="W40" s="181" cm="1">
        <f t="array" ref="W40">INDEX('Control panel'!$E$17:$E$19,MATCH($F$40,'Control panel'!$C$17:$C$19,0),0)</f>
        <v>0</v>
      </c>
      <c r="X40" s="181" cm="1">
        <f t="array" ref="X40">INDEX('Control panel'!$E$17:$E$19,MATCH($F$40,'Control panel'!$C$17:$C$19,0),0)</f>
        <v>0</v>
      </c>
      <c r="Y40" s="181" cm="1">
        <f t="array" ref="Y40">INDEX('Control panel'!$E$17:$E$19,MATCH($F$40,'Control panel'!$C$17:$C$19,0),0)</f>
        <v>0</v>
      </c>
      <c r="Z40" s="181" cm="1">
        <f t="array" ref="Z40">INDEX('Control panel'!$E$17:$E$19,MATCH($F$40,'Control panel'!$C$17:$C$19,0),0)</f>
        <v>0</v>
      </c>
      <c r="AA40" s="181" cm="1">
        <f t="array" ref="AA40">INDEX('Control panel'!$E$17:$E$19,MATCH($F$40,'Control panel'!$C$17:$C$19,0),0)</f>
        <v>0</v>
      </c>
      <c r="AB40" s="181" cm="1">
        <f t="array" ref="AB40">INDEX('Control panel'!$E$17:$E$19,MATCH($F$40,'Control panel'!$C$17:$C$19,0),0)</f>
        <v>0</v>
      </c>
      <c r="AC40" s="181" cm="1">
        <f t="array" ref="AC40">INDEX('Control panel'!$E$17:$E$19,MATCH($F$40,'Control panel'!$C$17:$C$19,0),0)</f>
        <v>0</v>
      </c>
      <c r="AD40" s="181" cm="1">
        <f t="array" ref="AD40">INDEX('Control panel'!$E$17:$E$19,MATCH($F$40,'Control panel'!$C$17:$C$19,0),0)</f>
        <v>0</v>
      </c>
      <c r="AE40" s="181" cm="1">
        <f t="array" ref="AE40">INDEX('Control panel'!$E$17:$E$19,MATCH($F$40,'Control panel'!$C$17:$C$19,0),0)</f>
        <v>0</v>
      </c>
      <c r="AF40" s="181" cm="1">
        <f t="array" ref="AF40">INDEX('Control panel'!$E$17:$E$19,MATCH($F$40,'Control panel'!$C$17:$C$19,0),0)</f>
        <v>0</v>
      </c>
      <c r="AG40" s="181" cm="1">
        <f t="array" ref="AG40">INDEX('Control panel'!$E$17:$E$19,MATCH($F$40,'Control panel'!$C$17:$C$19,0),0)</f>
        <v>0</v>
      </c>
      <c r="AH40" s="181" cm="1">
        <f t="array" ref="AH40">INDEX('Control panel'!$E$17:$E$19,MATCH($F$40,'Control panel'!$C$17:$C$19,0),0)</f>
        <v>0</v>
      </c>
      <c r="AI40" s="181" cm="1">
        <f t="array" ref="AI40">INDEX('Control panel'!$E$17:$E$19,MATCH($F$40,'Control panel'!$C$17:$C$19,0),0)</f>
        <v>0</v>
      </c>
      <c r="AJ40" s="181" cm="1">
        <f t="array" ref="AJ40">INDEX('Control panel'!$E$17:$E$19,MATCH($F$40,'Control panel'!$C$17:$C$19,0),0)</f>
        <v>0</v>
      </c>
      <c r="AK40" s="181" cm="1">
        <f t="array" ref="AK40">INDEX('Control panel'!$E$17:$E$19,MATCH($F$40,'Control panel'!$C$17:$C$19,0),0)</f>
        <v>0</v>
      </c>
      <c r="AL40" s="181" cm="1">
        <f t="array" ref="AL40">INDEX('Control panel'!$E$17:$E$19,MATCH($F$40,'Control panel'!$C$17:$C$19,0),0)</f>
        <v>0</v>
      </c>
      <c r="AM40" s="181" cm="1">
        <f t="array" ref="AM40">INDEX('Control panel'!$E$17:$E$19,MATCH($F$40,'Control panel'!$C$17:$C$19,0),0)</f>
        <v>0</v>
      </c>
      <c r="AN40" s="181" cm="1">
        <f t="array" ref="AN40">INDEX('Control panel'!$E$17:$E$19,MATCH($F$40,'Control panel'!$C$17:$C$19,0),0)</f>
        <v>0</v>
      </c>
      <c r="AO40" s="181" cm="1">
        <f t="array" ref="AO40">INDEX('Control panel'!$E$17:$E$19,MATCH($F$40,'Control panel'!$C$17:$C$19,0),0)</f>
        <v>0</v>
      </c>
      <c r="AP40" s="29"/>
    </row>
    <row r="41" spans="1:42" x14ac:dyDescent="0.25">
      <c r="A41" s="12"/>
      <c r="B41" s="13"/>
      <c r="C41" s="45" t="s">
        <v>120</v>
      </c>
      <c r="D41" s="45"/>
      <c r="E41" s="15" t="s">
        <v>318</v>
      </c>
      <c r="F41" s="158" t="str">
        <f>Dashboard!$I$43</f>
        <v>2 Axle rigid</v>
      </c>
      <c r="G41" s="14"/>
      <c r="H41" s="62"/>
      <c r="I41" s="177">
        <f>IF($C$41=$F$41,I$19*Data!$E$162*Data!H$71,0)*(1+I40)*(1+Data!$E$91)</f>
        <v>335638.43012370565</v>
      </c>
      <c r="J41" s="177">
        <f>IF($C$41=$F$41,J$19*Data!$E$162*Data!I$71,0)*(1+J40)*(1+Data!$E$91)</f>
        <v>270019.19631953852</v>
      </c>
      <c r="K41" s="177">
        <f>IF($C$41=$F$41,K$19*Data!$E$162*Data!J$71,0)*(1+K40)*(1+Data!$E$91)</f>
        <v>260501.43688998948</v>
      </c>
      <c r="L41" s="177">
        <f>IF($C$41=$F$41,L$19*Data!$E$162*Data!K$71,0)*(1+L40)*(1+Data!$E$91)</f>
        <v>250983.67746044049</v>
      </c>
      <c r="M41" s="177">
        <f>IF($C$41=$F$41,M$19*Data!$E$162*Data!L$71,0)*(1+M40)*(1+Data!$E$91)</f>
        <v>246224.79774566591</v>
      </c>
      <c r="N41" s="177">
        <f>IF($C$41=$F$41,N$19*Data!$E$162*Data!M$71,0)*(1+N40)*(1+Data!$E$91)</f>
        <v>241465.91803089139</v>
      </c>
      <c r="O41" s="177">
        <f>IF($C$41=$F$41,O$19*Data!$E$162*Data!N$71,0)*(1+O40)*(1+Data!$E$91)</f>
        <v>236707.03831611687</v>
      </c>
      <c r="P41" s="177">
        <f>IF($C$41=$F$41,P$19*Data!$E$162*Data!O$71,0)*(1+P40)*(1+Data!$E$91)</f>
        <v>231948.15860134235</v>
      </c>
      <c r="Q41" s="177">
        <f>IF($C$41=$F$41,Q$19*Data!$E$162*Data!P$71,0)*(1+Q40)*(1+Data!$E$91)</f>
        <v>231948.15860134235</v>
      </c>
      <c r="R41" s="177">
        <f>IF($C$41=$F$41,R$19*Data!$E$162*Data!Q$71,0)*(1+R40)*(1+Data!$E$91)</f>
        <v>231948.15860134235</v>
      </c>
      <c r="S41" s="177">
        <f>IF($C$41=$F$41,S$19*Data!$E$162*Data!R$71,0)*(1+S40)*(1+Data!$E$91)</f>
        <v>231948.15860134235</v>
      </c>
      <c r="T41" s="177">
        <f>IF($C$41=$F$41,T$19*Data!$E$162*Data!S$71,0)*(1+T40)*(1+Data!$E$91)</f>
        <v>231948.15860134235</v>
      </c>
      <c r="U41" s="177">
        <f>IF($C$41=$F$41,U$19*Data!$E$162*Data!T$71,0)*(1+U40)*(1+Data!$E$91)</f>
        <v>0</v>
      </c>
      <c r="V41" s="177">
        <f>IF($C$41=$F$41,V$19*Data!$E$162*Data!U$71,0)*(1+V40)*(1+Data!$E$91)</f>
        <v>0</v>
      </c>
      <c r="W41" s="177">
        <f>IF($C$41=$F$41,W$19*Data!$E$162*Data!V$71,0)*(1+W40)*(1+Data!$E$91)</f>
        <v>0</v>
      </c>
      <c r="X41" s="177">
        <f>IF($C$41=$F$41,X$19*Data!$E$162*Data!W$71,0)*(1+X40)*(1+Data!$E$91)</f>
        <v>0</v>
      </c>
      <c r="Y41" s="177">
        <f>IF($C$41=$F$41,Y$19*Data!$E$162*Data!X$71,0)*(1+Y40)*(1+Data!$E$91)</f>
        <v>0</v>
      </c>
      <c r="Z41" s="177">
        <f>IF($C$41=$F$41,Z$19*Data!$E$162*Data!Y$71,0)*(1+Z40)*(1+Data!$E$91)</f>
        <v>0</v>
      </c>
      <c r="AA41" s="177">
        <f>IF($C$41=$F$41,AA$19*Data!$E$162*Data!Z$71,0)*(1+AA40)*(1+Data!$E$91)</f>
        <v>0</v>
      </c>
      <c r="AB41" s="177">
        <f>IF($C$41=$F$41,AB$19*Data!$E$162*Data!AA$71,0)*(1+AB40)*(1+Data!$E$91)</f>
        <v>0</v>
      </c>
      <c r="AC41" s="177">
        <f>IF($C$41=$F$41,AC$19*Data!$E$162*Data!AB$71,0)*(1+AC40)*(1+Data!$E$91)</f>
        <v>0</v>
      </c>
      <c r="AD41" s="177">
        <f>IF($C$41=$F$41,AD$19*Data!$E$162*Data!AC$71,0)*(1+AD40)*(1+Data!$E$91)</f>
        <v>0</v>
      </c>
      <c r="AE41" s="177">
        <f>IF($C$41=$F$41,AE$19*Data!$E$162*Data!AD$71,0)*(1+AE40)*(1+Data!$E$91)</f>
        <v>0</v>
      </c>
      <c r="AF41" s="177">
        <f>IF($C$41=$F$41,AF$19*Data!$E$162*Data!AE$71,0)*(1+AF40)*(1+Data!$E$91)</f>
        <v>0</v>
      </c>
      <c r="AG41" s="177">
        <f>IF($C$41=$F$41,AG$19*Data!$E$162*Data!AF$71,0)*(1+AG40)*(1+Data!$E$91)</f>
        <v>0</v>
      </c>
      <c r="AH41" s="177">
        <f>IF($C$41=$F$41,AH$19*Data!$E$162*Data!AG$71,0)*(1+AH40)*(1+Data!$E$91)</f>
        <v>0</v>
      </c>
      <c r="AI41" s="177">
        <f>IF($C$41=$F$41,AI$19*Data!$E$162*Data!AH$71,0)*(1+AI40)*(1+Data!$E$91)</f>
        <v>0</v>
      </c>
      <c r="AJ41" s="177">
        <f>IF($C$41=$F$41,AJ$19*Data!$E$162*Data!AI$71,0)*(1+AJ40)*(1+Data!$E$91)</f>
        <v>0</v>
      </c>
      <c r="AK41" s="177">
        <f>IF($C$41=$F$41,AK$19*Data!$E$162*Data!AJ$71,0)*(1+AK40)*(1+Data!$E$91)</f>
        <v>0</v>
      </c>
      <c r="AL41" s="177">
        <f>IF($C$41=$F$41,AL$19*Data!$E$162*Data!AK$71,0)*(1+AL40)*(1+Data!$E$91)</f>
        <v>0</v>
      </c>
      <c r="AM41" s="177">
        <f>IF($C$41=$F$41,AM$19*Data!$E$162*Data!AL$71,0)*(1+AM40)*(1+Data!$E$91)</f>
        <v>0</v>
      </c>
      <c r="AN41" s="177">
        <f>IF($C$41=$F$41,AN$19*Data!$E$162*Data!AM$71,0)*(1+AN40)*(1+Data!$E$91)</f>
        <v>0</v>
      </c>
      <c r="AO41" s="177">
        <f>IF($C$41=$F$41,AO$19*Data!$E$162*Data!AN$71,0)*(1+AO40)*(1+Data!$E$91)</f>
        <v>0</v>
      </c>
      <c r="AP41" s="29"/>
    </row>
    <row r="42" spans="1:42" x14ac:dyDescent="0.25">
      <c r="A42" s="12"/>
      <c r="B42" s="13"/>
      <c r="C42" s="45" t="s">
        <v>124</v>
      </c>
      <c r="D42" s="45"/>
      <c r="E42" s="15" t="s">
        <v>318</v>
      </c>
      <c r="F42" s="158" t="str">
        <f>Dashboard!$I$43</f>
        <v>2 Axle rigid</v>
      </c>
      <c r="G42" s="14"/>
      <c r="H42" s="62"/>
      <c r="I42" s="177">
        <f>IF($C$42=$F$42,I$19*Data!$E$163*Data!H$71,0)*(1+I40)*(1+Data!$E$91)</f>
        <v>0</v>
      </c>
      <c r="J42" s="177">
        <f>IF($C$42=$F$42,J$19*Data!$E$163*Data!I$71,0)*(1+J40)*(1+Data!$E$91)</f>
        <v>0</v>
      </c>
      <c r="K42" s="177">
        <f>IF($C$42=$F$42,K$19*Data!$E$163*Data!J$71,0)*(1+K40)*(1+Data!$E$91)</f>
        <v>0</v>
      </c>
      <c r="L42" s="177">
        <f>IF($C$42=$F$42,L$19*Data!$E$163*Data!K$71,0)*(1+L40)*(1+Data!$E$91)</f>
        <v>0</v>
      </c>
      <c r="M42" s="177">
        <f>IF($C$42=$F$42,M$19*Data!$E$163*Data!L$71,0)*(1+M40)*(1+Data!$E$91)</f>
        <v>0</v>
      </c>
      <c r="N42" s="177">
        <f>IF($C$42=$F$42,N$19*Data!$E$163*Data!M$71,0)*(1+N40)*(1+Data!$E$91)</f>
        <v>0</v>
      </c>
      <c r="O42" s="177">
        <f>IF($C$42=$F$42,O$19*Data!$E$163*Data!N$71,0)*(1+O40)*(1+Data!$E$91)</f>
        <v>0</v>
      </c>
      <c r="P42" s="177">
        <f>IF($C$42=$F$42,P$19*Data!$E$163*Data!O$71,0)*(1+P40)*(1+Data!$E$91)</f>
        <v>0</v>
      </c>
      <c r="Q42" s="177">
        <f>IF($C$42=$F$42,Q$19*Data!$E$163*Data!P$71,0)*(1+Q40)*(1+Data!$E$91)</f>
        <v>0</v>
      </c>
      <c r="R42" s="177">
        <f>IF($C$42=$F$42,R$19*Data!$E$163*Data!Q$71,0)*(1+R40)*(1+Data!$E$91)</f>
        <v>0</v>
      </c>
      <c r="S42" s="177">
        <f>IF($C$42=$F$42,S$19*Data!$E$163*Data!R$71,0)*(1+S40)*(1+Data!$E$91)</f>
        <v>0</v>
      </c>
      <c r="T42" s="177">
        <f>IF($C$42=$F$42,T$19*Data!$E$163*Data!S$71,0)*(1+T40)*(1+Data!$E$91)</f>
        <v>0</v>
      </c>
      <c r="U42" s="177">
        <f>IF($C$42=$F$42,U$19*Data!$E$163*Data!T$71,0)*(1+U40)*(1+Data!$E$91)</f>
        <v>0</v>
      </c>
      <c r="V42" s="177">
        <f>IF($C$42=$F$42,V$19*Data!$E$163*Data!U$71,0)*(1+V40)*(1+Data!$E$91)</f>
        <v>0</v>
      </c>
      <c r="W42" s="177">
        <f>IF($C$42=$F$42,W$19*Data!$E$163*Data!V$71,0)*(1+W40)*(1+Data!$E$91)</f>
        <v>0</v>
      </c>
      <c r="X42" s="177">
        <f>IF($C$42=$F$42,X$19*Data!$E$163*Data!W$71,0)*(1+X40)*(1+Data!$E$91)</f>
        <v>0</v>
      </c>
      <c r="Y42" s="177">
        <f>IF($C$42=$F$42,Y$19*Data!$E$163*Data!X$71,0)*(1+Y40)*(1+Data!$E$91)</f>
        <v>0</v>
      </c>
      <c r="Z42" s="177">
        <f>IF($C$42=$F$42,Z$19*Data!$E$163*Data!Y$71,0)*(1+Z40)*(1+Data!$E$91)</f>
        <v>0</v>
      </c>
      <c r="AA42" s="177">
        <f>IF($C$42=$F$42,AA$19*Data!$E$163*Data!Z$71,0)*(1+AA40)*(1+Data!$E$91)</f>
        <v>0</v>
      </c>
      <c r="AB42" s="177">
        <f>IF($C$42=$F$42,AB$19*Data!$E$163*Data!AA$71,0)*(1+AB40)*(1+Data!$E$91)</f>
        <v>0</v>
      </c>
      <c r="AC42" s="177">
        <f>IF($C$42=$F$42,AC$19*Data!$E$163*Data!AB$71,0)*(1+AC40)*(1+Data!$E$91)</f>
        <v>0</v>
      </c>
      <c r="AD42" s="177">
        <f>IF($C$42=$F$42,AD$19*Data!$E$163*Data!AC$71,0)*(1+AD40)*(1+Data!$E$91)</f>
        <v>0</v>
      </c>
      <c r="AE42" s="177">
        <f>IF($C$42=$F$42,AE$19*Data!$E$163*Data!AD$71,0)*(1+AE40)*(1+Data!$E$91)</f>
        <v>0</v>
      </c>
      <c r="AF42" s="177">
        <f>IF($C$42=$F$42,AF$19*Data!$E$163*Data!AE$71,0)*(1+AF40)*(1+Data!$E$91)</f>
        <v>0</v>
      </c>
      <c r="AG42" s="177">
        <f>IF($C$42=$F$42,AG$19*Data!$E$163*Data!AF$71,0)*(1+AG40)*(1+Data!$E$91)</f>
        <v>0</v>
      </c>
      <c r="AH42" s="177">
        <f>IF($C$42=$F$42,AH$19*Data!$E$163*Data!AG$71,0)*(1+AH40)*(1+Data!$E$91)</f>
        <v>0</v>
      </c>
      <c r="AI42" s="177">
        <f>IF($C$42=$F$42,AI$19*Data!$E$163*Data!AH$71,0)*(1+AI40)*(1+Data!$E$91)</f>
        <v>0</v>
      </c>
      <c r="AJ42" s="177">
        <f>IF($C$42=$F$42,AJ$19*Data!$E$163*Data!AI$71,0)*(1+AJ40)*(1+Data!$E$91)</f>
        <v>0</v>
      </c>
      <c r="AK42" s="177">
        <f>IF($C$42=$F$42,AK$19*Data!$E$163*Data!AJ$71,0)*(1+AK40)*(1+Data!$E$91)</f>
        <v>0</v>
      </c>
      <c r="AL42" s="177">
        <f>IF($C$42=$F$42,AL$19*Data!$E$163*Data!AK$71,0)*(1+AL40)*(1+Data!$E$91)</f>
        <v>0</v>
      </c>
      <c r="AM42" s="177">
        <f>IF($C$42=$F$42,AM$19*Data!$E$163*Data!AL$71,0)*(1+AM40)*(1+Data!$E$91)</f>
        <v>0</v>
      </c>
      <c r="AN42" s="177">
        <f>IF($C$42=$F$42,AN$19*Data!$E$163*Data!AM$71,0)*(1+AN40)*(1+Data!$E$91)</f>
        <v>0</v>
      </c>
      <c r="AO42" s="177">
        <f>IF($C$42=$F$42,AO$19*Data!$E$163*Data!AN$71,0)*(1+AO40)*(1+Data!$E$91)</f>
        <v>0</v>
      </c>
      <c r="AP42" s="29"/>
    </row>
    <row r="43" spans="1:42" x14ac:dyDescent="0.25">
      <c r="A43" s="12"/>
      <c r="B43" s="13"/>
      <c r="C43" s="45" t="s">
        <v>126</v>
      </c>
      <c r="D43" s="45"/>
      <c r="E43" s="15" t="s">
        <v>318</v>
      </c>
      <c r="F43" s="158" t="str">
        <f>Dashboard!$I$43</f>
        <v>2 Axle rigid</v>
      </c>
      <c r="G43" s="14"/>
      <c r="H43" s="62"/>
      <c r="I43" s="177">
        <f>IF($C$43=$F$43,I$19*Data!$E$164*Data!H$71,0)*(1+I40)*(1+Data!$E$91)</f>
        <v>0</v>
      </c>
      <c r="J43" s="177">
        <f>IF($C$43=$F$43,J$19*Data!$E$164*Data!I$71,0)*(1+J40)*(1+Data!$E$91)</f>
        <v>0</v>
      </c>
      <c r="K43" s="177">
        <f>IF($C$43=$F$43,K$19*Data!$E$164*Data!J$71,0)*(1+K40)*(1+Data!$E$91)</f>
        <v>0</v>
      </c>
      <c r="L43" s="177">
        <f>IF($C$43=$F$43,L$19*Data!$E$164*Data!K$71,0)*(1+L40)*(1+Data!$E$91)</f>
        <v>0</v>
      </c>
      <c r="M43" s="177">
        <f>IF($C$43=$F$43,M$19*Data!$E$164*Data!L$71,0)*(1+M40)*(1+Data!$E$91)</f>
        <v>0</v>
      </c>
      <c r="N43" s="177">
        <f>IF($C$43=$F$43,N$19*Data!$E$164*Data!M$71,0)*(1+N40)*(1+Data!$E$91)</f>
        <v>0</v>
      </c>
      <c r="O43" s="177">
        <f>IF($C$43=$F$43,O$19*Data!$E$164*Data!N$71,0)*(1+O40)*(1+Data!$E$91)</f>
        <v>0</v>
      </c>
      <c r="P43" s="177">
        <f>IF($C$43=$F$43,P$19*Data!$E$164*Data!O$71,0)*(1+P40)*(1+Data!$E$91)</f>
        <v>0</v>
      </c>
      <c r="Q43" s="177">
        <f>IF($C$43=$F$43,Q$19*Data!$E$164*Data!P$71,0)*(1+Q40)*(1+Data!$E$91)</f>
        <v>0</v>
      </c>
      <c r="R43" s="177">
        <f>IF($C$43=$F$43,R$19*Data!$E$164*Data!Q$71,0)*(1+R40)*(1+Data!$E$91)</f>
        <v>0</v>
      </c>
      <c r="S43" s="177">
        <f>IF($C$43=$F$43,S$19*Data!$E$164*Data!R$71,0)*(1+S40)*(1+Data!$E$91)</f>
        <v>0</v>
      </c>
      <c r="T43" s="177">
        <f>IF($C$43=$F$43,T$19*Data!$E$164*Data!S$71,0)*(1+T40)*(1+Data!$E$91)</f>
        <v>0</v>
      </c>
      <c r="U43" s="177">
        <f>IF($C$43=$F$43,U$19*Data!$E$164*Data!T$71,0)*(1+U40)*(1+Data!$E$91)</f>
        <v>0</v>
      </c>
      <c r="V43" s="177">
        <f>IF($C$43=$F$43,V$19*Data!$E$164*Data!U$71,0)*(1+V40)*(1+Data!$E$91)</f>
        <v>0</v>
      </c>
      <c r="W43" s="177">
        <f>IF($C$43=$F$43,W$19*Data!$E$164*Data!V$71,0)*(1+W40)*(1+Data!$E$91)</f>
        <v>0</v>
      </c>
      <c r="X43" s="177">
        <f>IF($C$43=$F$43,X$19*Data!$E$164*Data!W$71,0)*(1+X40)*(1+Data!$E$91)</f>
        <v>0</v>
      </c>
      <c r="Y43" s="177">
        <f>IF($C$43=$F$43,Y$19*Data!$E$164*Data!X$71,0)*(1+Y40)*(1+Data!$E$91)</f>
        <v>0</v>
      </c>
      <c r="Z43" s="177">
        <f>IF($C$43=$F$43,Z$19*Data!$E$164*Data!Y$71,0)*(1+Z40)*(1+Data!$E$91)</f>
        <v>0</v>
      </c>
      <c r="AA43" s="177">
        <f>IF($C$43=$F$43,AA$19*Data!$E$164*Data!Z$71,0)*(1+AA40)*(1+Data!$E$91)</f>
        <v>0</v>
      </c>
      <c r="AB43" s="177">
        <f>IF($C$43=$F$43,AB$19*Data!$E$164*Data!AA$71,0)*(1+AB40)*(1+Data!$E$91)</f>
        <v>0</v>
      </c>
      <c r="AC43" s="177">
        <f>IF($C$43=$F$43,AC$19*Data!$E$164*Data!AB$71,0)*(1+AC40)*(1+Data!$E$91)</f>
        <v>0</v>
      </c>
      <c r="AD43" s="177">
        <f>IF($C$43=$F$43,AD$19*Data!$E$164*Data!AC$71,0)*(1+AD40)*(1+Data!$E$91)</f>
        <v>0</v>
      </c>
      <c r="AE43" s="177">
        <f>IF($C$43=$F$43,AE$19*Data!$E$164*Data!AD$71,0)*(1+AE40)*(1+Data!$E$91)</f>
        <v>0</v>
      </c>
      <c r="AF43" s="177">
        <f>IF($C$43=$F$43,AF$19*Data!$E$164*Data!AE$71,0)*(1+AF40)*(1+Data!$E$91)</f>
        <v>0</v>
      </c>
      <c r="AG43" s="177">
        <f>IF($C$43=$F$43,AG$19*Data!$E$164*Data!AF$71,0)*(1+AG40)*(1+Data!$E$91)</f>
        <v>0</v>
      </c>
      <c r="AH43" s="177">
        <f>IF($C$43=$F$43,AH$19*Data!$E$164*Data!AG$71,0)*(1+AH40)*(1+Data!$E$91)</f>
        <v>0</v>
      </c>
      <c r="AI43" s="177">
        <f>IF($C$43=$F$43,AI$19*Data!$E$164*Data!AH$71,0)*(1+AI40)*(1+Data!$E$91)</f>
        <v>0</v>
      </c>
      <c r="AJ43" s="177">
        <f>IF($C$43=$F$43,AJ$19*Data!$E$164*Data!AI$71,0)*(1+AJ40)*(1+Data!$E$91)</f>
        <v>0</v>
      </c>
      <c r="AK43" s="177">
        <f>IF($C$43=$F$43,AK$19*Data!$E$164*Data!AJ$71,0)*(1+AK40)*(1+Data!$E$91)</f>
        <v>0</v>
      </c>
      <c r="AL43" s="177">
        <f>IF($C$43=$F$43,AL$19*Data!$E$164*Data!AK$71,0)*(1+AL40)*(1+Data!$E$91)</f>
        <v>0</v>
      </c>
      <c r="AM43" s="177">
        <f>IF($C$43=$F$43,AM$19*Data!$E$164*Data!AL$71,0)*(1+AM40)*(1+Data!$E$91)</f>
        <v>0</v>
      </c>
      <c r="AN43" s="177">
        <f>IF($C$43=$F$43,AN$19*Data!$E$164*Data!AM$71,0)*(1+AN40)*(1+Data!$E$91)</f>
        <v>0</v>
      </c>
      <c r="AO43" s="177">
        <f>IF($C$43=$F$43,AO$19*Data!$E$164*Data!AN$71,0)*(1+AO40)*(1+Data!$E$91)</f>
        <v>0</v>
      </c>
      <c r="AP43" s="17"/>
    </row>
    <row r="44" spans="1:42" x14ac:dyDescent="0.25">
      <c r="A44" s="12"/>
      <c r="B44" s="13"/>
      <c r="C44" s="44"/>
      <c r="D44" s="44"/>
      <c r="E44" s="15"/>
      <c r="F44" s="16"/>
      <c r="G44" s="14"/>
      <c r="H44" s="4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17"/>
    </row>
    <row r="45" spans="1:42" x14ac:dyDescent="0.25">
      <c r="A45" s="12"/>
      <c r="B45" s="13"/>
      <c r="C45" s="19" t="s">
        <v>512</v>
      </c>
      <c r="D45" s="45"/>
      <c r="E45" s="15"/>
      <c r="F45" s="158"/>
      <c r="G45" s="14"/>
      <c r="H45" s="28"/>
      <c r="I45" s="182">
        <f>SUM(I32:I34)+I36+I37+SUM(I41:I43)</f>
        <v>439571.87012370565</v>
      </c>
      <c r="J45" s="182">
        <f t="shared" ref="J45:W45" si="1">SUM(J32:J34)+J36+J37+SUM(J41:J43)</f>
        <v>373952.63631953852</v>
      </c>
      <c r="K45" s="182">
        <f t="shared" si="1"/>
        <v>364434.87688998948</v>
      </c>
      <c r="L45" s="182">
        <f t="shared" si="1"/>
        <v>354917.1174604405</v>
      </c>
      <c r="M45" s="182">
        <f t="shared" si="1"/>
        <v>350158.23774566595</v>
      </c>
      <c r="N45" s="182">
        <f t="shared" si="1"/>
        <v>345399.3580308914</v>
      </c>
      <c r="O45" s="182">
        <f t="shared" si="1"/>
        <v>340640.47831611685</v>
      </c>
      <c r="P45" s="182">
        <f t="shared" si="1"/>
        <v>335881.59860134235</v>
      </c>
      <c r="Q45" s="182">
        <f t="shared" si="1"/>
        <v>335881.59860134235</v>
      </c>
      <c r="R45" s="182">
        <f t="shared" si="1"/>
        <v>335881.59860134235</v>
      </c>
      <c r="S45" s="182">
        <f t="shared" si="1"/>
        <v>335881.59860134235</v>
      </c>
      <c r="T45" s="182">
        <f t="shared" si="1"/>
        <v>335881.59860134235</v>
      </c>
      <c r="U45" s="182">
        <f t="shared" si="1"/>
        <v>0</v>
      </c>
      <c r="V45" s="182">
        <f t="shared" si="1"/>
        <v>0</v>
      </c>
      <c r="W45" s="182">
        <f t="shared" si="1"/>
        <v>0</v>
      </c>
      <c r="X45" s="182">
        <f t="shared" ref="X45:AB45" si="2">SUM(X32:X34)+X36+X37+SUM(X41:X43)</f>
        <v>0</v>
      </c>
      <c r="Y45" s="182">
        <f t="shared" si="2"/>
        <v>0</v>
      </c>
      <c r="Z45" s="182">
        <f t="shared" si="2"/>
        <v>0</v>
      </c>
      <c r="AA45" s="182">
        <f t="shared" si="2"/>
        <v>0</v>
      </c>
      <c r="AB45" s="182">
        <f t="shared" si="2"/>
        <v>0</v>
      </c>
      <c r="AC45" s="182">
        <f t="shared" ref="AC45:AO45" si="3">SUM(AC32:AC34)+AC36+AC37+SUM(AC41:AC43)</f>
        <v>0</v>
      </c>
      <c r="AD45" s="182">
        <f t="shared" si="3"/>
        <v>0</v>
      </c>
      <c r="AE45" s="182">
        <f t="shared" si="3"/>
        <v>0</v>
      </c>
      <c r="AF45" s="182">
        <f t="shared" si="3"/>
        <v>0</v>
      </c>
      <c r="AG45" s="182">
        <f t="shared" si="3"/>
        <v>0</v>
      </c>
      <c r="AH45" s="182">
        <f t="shared" si="3"/>
        <v>0</v>
      </c>
      <c r="AI45" s="182">
        <f t="shared" si="3"/>
        <v>0</v>
      </c>
      <c r="AJ45" s="182">
        <f t="shared" si="3"/>
        <v>0</v>
      </c>
      <c r="AK45" s="182">
        <f t="shared" si="3"/>
        <v>0</v>
      </c>
      <c r="AL45" s="182">
        <f t="shared" si="3"/>
        <v>0</v>
      </c>
      <c r="AM45" s="182">
        <f t="shared" si="3"/>
        <v>0</v>
      </c>
      <c r="AN45" s="182">
        <f t="shared" si="3"/>
        <v>0</v>
      </c>
      <c r="AO45" s="182">
        <f t="shared" si="3"/>
        <v>0</v>
      </c>
      <c r="AP45" s="29"/>
    </row>
    <row r="46" spans="1:42" x14ac:dyDescent="0.25">
      <c r="A46" s="12"/>
      <c r="B46" s="13"/>
      <c r="C46" s="45"/>
      <c r="D46" s="45"/>
      <c r="E46" s="15"/>
      <c r="F46" s="16"/>
      <c r="G46" s="14"/>
      <c r="H46" s="28"/>
      <c r="I46" s="177"/>
      <c r="J46" s="177"/>
      <c r="K46" s="177"/>
      <c r="L46" s="177"/>
      <c r="M46" s="177"/>
      <c r="N46" s="177"/>
      <c r="O46" s="177"/>
      <c r="P46" s="177"/>
      <c r="Q46" s="177"/>
      <c r="R46" s="177"/>
      <c r="S46" s="177"/>
      <c r="T46" s="177"/>
      <c r="U46" s="177"/>
      <c r="V46" s="177"/>
      <c r="W46" s="177"/>
      <c r="X46" s="28"/>
      <c r="Y46" s="28"/>
      <c r="Z46" s="28"/>
      <c r="AA46" s="28"/>
      <c r="AB46" s="28"/>
      <c r="AC46" s="28"/>
      <c r="AD46" s="28"/>
      <c r="AE46" s="28"/>
      <c r="AF46" s="28"/>
      <c r="AG46" s="28"/>
      <c r="AH46" s="28"/>
      <c r="AI46" s="28"/>
      <c r="AJ46" s="28"/>
      <c r="AK46" s="28"/>
      <c r="AL46" s="28"/>
      <c r="AM46" s="28"/>
      <c r="AN46" s="28"/>
      <c r="AO46" s="28"/>
      <c r="AP46" s="29"/>
    </row>
    <row r="47" spans="1:42" x14ac:dyDescent="0.25">
      <c r="A47" s="12"/>
      <c r="B47" s="13"/>
      <c r="C47" s="37" t="s">
        <v>513</v>
      </c>
      <c r="D47" s="37"/>
      <c r="E47" s="38"/>
      <c r="F47" s="39"/>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17"/>
    </row>
    <row r="48" spans="1:42" s="140" customFormat="1" x14ac:dyDescent="0.25">
      <c r="A48" s="78"/>
      <c r="B48" s="19"/>
      <c r="C48" s="44" t="s">
        <v>249</v>
      </c>
      <c r="D48" s="44"/>
      <c r="E48" s="21" t="s">
        <v>142</v>
      </c>
      <c r="F48" s="375" t="str">
        <f>Dashboard!I43</f>
        <v>2 Axle rigid</v>
      </c>
      <c r="G48" s="20"/>
      <c r="H48" s="49"/>
      <c r="I48" s="182">
        <f>-IF(COUNT($I$3:I$3)=(Dashboard!$I$31+1),INDEX(Data!$E$99:$E$101,MATCH($F$48,Data!$B$99:$B$101,0)),0)</f>
        <v>0</v>
      </c>
      <c r="J48" s="182">
        <f>-IF(COUNT($I$3:J$3)=(Dashboard!$I$31+1),INDEX(Data!$E$99:$E$101,MATCH($F$48,Data!$B$99:$B$101,0)),0)</f>
        <v>0</v>
      </c>
      <c r="K48" s="182">
        <f>-IF(COUNT($I$3:K$3)=(Dashboard!$I$31+1),INDEX(Data!$E$99:$E$101,MATCH($F$48,Data!$B$99:$B$101,0)),0)</f>
        <v>0</v>
      </c>
      <c r="L48" s="182">
        <f>-IF(COUNT($I$3:L$3)=(Dashboard!$I$31+1),INDEX(Data!$E$99:$E$101,MATCH($F$48,Data!$B$99:$B$101,0)),0)</f>
        <v>0</v>
      </c>
      <c r="M48" s="182">
        <f>-IF(COUNT($I$3:M$3)=(Dashboard!$I$31+1),INDEX(Data!$E$99:$E$101,MATCH($F$48,Data!$B$99:$B$101,0)),0)</f>
        <v>0</v>
      </c>
      <c r="N48" s="182">
        <f>-IF(COUNT($I$3:N$3)=(Dashboard!$I$31+1),INDEX(Data!$E$99:$E$101,MATCH($F$48,Data!$B$99:$B$101,0)),0)</f>
        <v>0</v>
      </c>
      <c r="O48" s="182">
        <f>-IF(COUNT($I$3:O$3)=(Dashboard!$I$31+1),INDEX(Data!$E$99:$E$101,MATCH($F$48,Data!$B$99:$B$101,0)),0)</f>
        <v>0</v>
      </c>
      <c r="P48" s="182">
        <f>-IF(COUNT($I$3:P$3)=(Dashboard!$I$31+1),INDEX(Data!$E$99:$E$101,MATCH($F$48,Data!$B$99:$B$101,0)),0)</f>
        <v>0</v>
      </c>
      <c r="Q48" s="182">
        <f>-IF(COUNT($I$3:Q$3)=(Dashboard!$I$31+1),INDEX(Data!$E$99:$E$101,MATCH($F$48,Data!$B$99:$B$101,0)),0)</f>
        <v>0</v>
      </c>
      <c r="R48" s="182">
        <f>-IF(COUNT($I$3:R$3)=(Dashboard!$I$31+1),INDEX(Data!$E$99:$E$101,MATCH($F$48,Data!$B$99:$B$101,0)),0)</f>
        <v>0</v>
      </c>
      <c r="S48" s="182">
        <f>-IF(COUNT($I$3:S$3)=(Dashboard!$I$31+1),INDEX(Data!$E$99:$E$101,MATCH($F$48,Data!$B$99:$B$101,0)),0)</f>
        <v>0</v>
      </c>
      <c r="T48" s="182">
        <f>-IF(COUNT($I$3:T$3)=(Dashboard!$I$31+1),INDEX(Data!$E$99:$E$101,MATCH($F$48,Data!$B$99:$B$101,0)),0)</f>
        <v>0</v>
      </c>
      <c r="U48" s="182">
        <f>-IF(COUNT($I$3:U$3)=(Dashboard!$I$31+1),INDEX(Data!$E$99:$E$101,MATCH($F$48,Data!$B$99:$B$101,0)),0)</f>
        <v>-52500</v>
      </c>
      <c r="V48" s="182">
        <f>-IF(COUNT($I$3:V$3)=(Dashboard!$I$31+1),INDEX(Data!$E$99:$E$101,MATCH($F$48,Data!$B$99:$B$101,0)),0)</f>
        <v>0</v>
      </c>
      <c r="W48" s="182">
        <f>-IF(COUNT($I$3:W$3)=(Dashboard!$I$31+1),INDEX(Data!$E$99:$E$101,MATCH($F$48,Data!$B$99:$B$101,0)),0)</f>
        <v>0</v>
      </c>
      <c r="X48" s="182">
        <f>-IF(COUNT($I$3:X$3)=(Dashboard!$I$31+1),INDEX(Data!$E$99:$E$101,MATCH($F$48,Data!$B$99:$B$101,0)),0)</f>
        <v>0</v>
      </c>
      <c r="Y48" s="182">
        <f>-IF(COUNT($I$3:Y$3)=(Dashboard!$I$31+1),INDEX(Data!$E$99:$E$101,MATCH($F$48,Data!$B$99:$B$101,0)),0)</f>
        <v>0</v>
      </c>
      <c r="Z48" s="182">
        <f>-IF(COUNT($I$3:Z$3)=(Dashboard!$I$31+1),INDEX(Data!$E$99:$E$101,MATCH($F$48,Data!$B$99:$B$101,0)),0)</f>
        <v>0</v>
      </c>
      <c r="AA48" s="182">
        <f>-IF(COUNT($I$3:AA$3)=(Dashboard!$I$31+1),INDEX(Data!$E$99:$E$101,MATCH($F$48,Data!$B$99:$B$101,0)),0)</f>
        <v>0</v>
      </c>
      <c r="AB48" s="182">
        <f>-IF(COUNT($I$3:AB$3)=(Dashboard!$I$31+1),INDEX(Data!$E$99:$E$101,MATCH($F$48,Data!$B$99:$B$101,0)),0)</f>
        <v>0</v>
      </c>
      <c r="AC48" s="182">
        <f>-IF(COUNT($I$3:AC$3)=(Dashboard!$I$31+1),INDEX(Data!$E$99:$E$101,MATCH($F$48,Data!$B$99:$B$101,0)),0)</f>
        <v>0</v>
      </c>
      <c r="AD48" s="182">
        <f>-IF(COUNT($I$3:AD$3)=(Dashboard!$I$31+1),INDEX(Data!$E$99:$E$101,MATCH($F$48,Data!$B$99:$B$101,0)),0)</f>
        <v>0</v>
      </c>
      <c r="AE48" s="182">
        <f>-IF(COUNT($I$3:AE$3)=(Dashboard!$I$31+1),INDEX(Data!$E$99:$E$101,MATCH($F$48,Data!$B$99:$B$101,0)),0)</f>
        <v>0</v>
      </c>
      <c r="AF48" s="182">
        <f>-IF(COUNT($I$3:AF$3)=(Dashboard!$I$31+1),INDEX(Data!$E$99:$E$101,MATCH($F$48,Data!$B$99:$B$101,0)),0)</f>
        <v>0</v>
      </c>
      <c r="AG48" s="182">
        <f>-IF(COUNT($I$3:AG$3)=(Dashboard!$I$31+1),INDEX(Data!$E$99:$E$101,MATCH($F$48,Data!$B$99:$B$101,0)),0)</f>
        <v>0</v>
      </c>
      <c r="AH48" s="182">
        <f>-IF(COUNT($I$3:AH$3)=(Dashboard!$I$31+1),INDEX(Data!$E$99:$E$101,MATCH($F$48,Data!$B$99:$B$101,0)),0)</f>
        <v>0</v>
      </c>
      <c r="AI48" s="182">
        <f>-IF(COUNT($I$3:AI$3)=(Dashboard!$I$31+1),INDEX(Data!$E$99:$E$101,MATCH($F$48,Data!$B$99:$B$101,0)),0)</f>
        <v>0</v>
      </c>
      <c r="AJ48" s="182">
        <f>-IF(COUNT($I$3:AJ$3)=(Dashboard!$I$31+1),INDEX(Data!$E$99:$E$101,MATCH($F$48,Data!$B$99:$B$101,0)),0)</f>
        <v>0</v>
      </c>
      <c r="AK48" s="182">
        <f>-IF(COUNT($I$3:AK$3)=(Dashboard!$I$31+1),INDEX(Data!$E$99:$E$101,MATCH($F$48,Data!$B$99:$B$101,0)),0)</f>
        <v>0</v>
      </c>
      <c r="AL48" s="182">
        <f>-IF(COUNT($I$3:AL$3)=(Dashboard!$I$31+1),INDEX(Data!$E$99:$E$101,MATCH($F$48,Data!$B$99:$B$101,0)),0)</f>
        <v>0</v>
      </c>
      <c r="AM48" s="182">
        <f>-IF(COUNT($I$3:AM$3)=(Dashboard!$I$31+1),INDEX(Data!$E$99:$E$101,MATCH($F$48,Data!$B$99:$B$101,0)),0)</f>
        <v>0</v>
      </c>
      <c r="AN48" s="182">
        <f>-IF(COUNT($I$3:AN$3)=(Dashboard!$I$31+1),INDEX(Data!$E$99:$E$101,MATCH($F$48,Data!$B$99:$B$101,0)),0)</f>
        <v>0</v>
      </c>
      <c r="AO48" s="182">
        <f>-IF(COUNT($I$3:AO$3)=(Dashboard!$I$31+1),INDEX(Data!$E$99:$E$101,MATCH($F$48,Data!$B$99:$B$101,0)),0)</f>
        <v>0</v>
      </c>
      <c r="AP48" s="50"/>
    </row>
    <row r="49" spans="1:42" x14ac:dyDescent="0.25">
      <c r="A49" s="12"/>
      <c r="B49" s="13"/>
      <c r="C49" s="45"/>
      <c r="D49" s="45"/>
      <c r="E49" s="15"/>
      <c r="F49" s="16"/>
      <c r="G49" s="14"/>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9"/>
    </row>
    <row r="50" spans="1:42" x14ac:dyDescent="0.25">
      <c r="A50" s="12"/>
      <c r="B50" s="13"/>
      <c r="C50" s="14"/>
      <c r="D50" s="14"/>
      <c r="E50" s="15"/>
      <c r="F50" s="16"/>
      <c r="G50" s="14"/>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17"/>
    </row>
    <row r="51" spans="1:42" x14ac:dyDescent="0.25">
      <c r="A51" s="12"/>
      <c r="B51" s="13"/>
      <c r="C51" s="14"/>
      <c r="D51" s="14"/>
      <c r="E51" s="15"/>
      <c r="F51" s="16"/>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7"/>
    </row>
    <row r="52" spans="1:42" x14ac:dyDescent="0.25">
      <c r="A52" s="12"/>
      <c r="B52" s="13"/>
      <c r="C52" s="37" t="s">
        <v>479</v>
      </c>
      <c r="D52" s="37"/>
      <c r="E52" s="38" t="s">
        <v>54</v>
      </c>
      <c r="F52" s="39"/>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17"/>
    </row>
    <row r="53" spans="1:42" x14ac:dyDescent="0.25">
      <c r="A53" s="12"/>
      <c r="B53" s="13"/>
      <c r="C53" s="14" t="s">
        <v>479</v>
      </c>
      <c r="D53" s="14"/>
      <c r="E53" s="15" t="s">
        <v>54</v>
      </c>
      <c r="F53" s="16"/>
      <c r="G53" s="96"/>
      <c r="H53" s="165"/>
      <c r="I53" s="165">
        <f>I45+I48</f>
        <v>439571.87012370565</v>
      </c>
      <c r="J53" s="165">
        <f t="shared" ref="J53:AO53" si="4">J45+J48</f>
        <v>373952.63631953852</v>
      </c>
      <c r="K53" s="165">
        <f t="shared" si="4"/>
        <v>364434.87688998948</v>
      </c>
      <c r="L53" s="165">
        <f t="shared" si="4"/>
        <v>354917.1174604405</v>
      </c>
      <c r="M53" s="165">
        <f t="shared" si="4"/>
        <v>350158.23774566595</v>
      </c>
      <c r="N53" s="165">
        <f t="shared" si="4"/>
        <v>345399.3580308914</v>
      </c>
      <c r="O53" s="165">
        <f t="shared" si="4"/>
        <v>340640.47831611685</v>
      </c>
      <c r="P53" s="165">
        <f t="shared" si="4"/>
        <v>335881.59860134235</v>
      </c>
      <c r="Q53" s="165">
        <f t="shared" si="4"/>
        <v>335881.59860134235</v>
      </c>
      <c r="R53" s="165">
        <f t="shared" si="4"/>
        <v>335881.59860134235</v>
      </c>
      <c r="S53" s="165">
        <f t="shared" si="4"/>
        <v>335881.59860134235</v>
      </c>
      <c r="T53" s="165">
        <f t="shared" si="4"/>
        <v>335881.59860134235</v>
      </c>
      <c r="U53" s="165">
        <f t="shared" si="4"/>
        <v>-52500</v>
      </c>
      <c r="V53" s="165">
        <f t="shared" si="4"/>
        <v>0</v>
      </c>
      <c r="W53" s="165">
        <f t="shared" si="4"/>
        <v>0</v>
      </c>
      <c r="X53" s="165">
        <f t="shared" si="4"/>
        <v>0</v>
      </c>
      <c r="Y53" s="165">
        <f t="shared" si="4"/>
        <v>0</v>
      </c>
      <c r="Z53" s="165">
        <f t="shared" si="4"/>
        <v>0</v>
      </c>
      <c r="AA53" s="165">
        <f t="shared" si="4"/>
        <v>0</v>
      </c>
      <c r="AB53" s="165">
        <f t="shared" si="4"/>
        <v>0</v>
      </c>
      <c r="AC53" s="165">
        <f t="shared" si="4"/>
        <v>0</v>
      </c>
      <c r="AD53" s="165">
        <f t="shared" si="4"/>
        <v>0</v>
      </c>
      <c r="AE53" s="165">
        <f t="shared" si="4"/>
        <v>0</v>
      </c>
      <c r="AF53" s="165">
        <f t="shared" si="4"/>
        <v>0</v>
      </c>
      <c r="AG53" s="165">
        <f t="shared" si="4"/>
        <v>0</v>
      </c>
      <c r="AH53" s="165">
        <f t="shared" si="4"/>
        <v>0</v>
      </c>
      <c r="AI53" s="165">
        <f t="shared" si="4"/>
        <v>0</v>
      </c>
      <c r="AJ53" s="165">
        <f t="shared" si="4"/>
        <v>0</v>
      </c>
      <c r="AK53" s="165">
        <f t="shared" si="4"/>
        <v>0</v>
      </c>
      <c r="AL53" s="165">
        <f t="shared" si="4"/>
        <v>0</v>
      </c>
      <c r="AM53" s="165">
        <f t="shared" si="4"/>
        <v>0</v>
      </c>
      <c r="AN53" s="165">
        <f t="shared" si="4"/>
        <v>0</v>
      </c>
      <c r="AO53" s="165">
        <f t="shared" si="4"/>
        <v>0</v>
      </c>
      <c r="AP53" s="29"/>
    </row>
    <row r="54" spans="1:42" s="140" customFormat="1" x14ac:dyDescent="0.25">
      <c r="A54" s="78"/>
      <c r="B54" s="19"/>
      <c r="C54" s="20" t="s">
        <v>480</v>
      </c>
      <c r="D54" s="20"/>
      <c r="E54" s="15" t="s">
        <v>54</v>
      </c>
      <c r="F54" s="48"/>
      <c r="G54" s="95"/>
      <c r="H54" s="182"/>
      <c r="I54" s="182">
        <f>I53*Data!H$9</f>
        <v>422665.25973433233</v>
      </c>
      <c r="J54" s="182">
        <f>J53*Data!I$9</f>
        <v>345740.23328359699</v>
      </c>
      <c r="K54" s="182">
        <f>K53*Data!J$9</f>
        <v>323981.27852788381</v>
      </c>
      <c r="L54" s="182">
        <f>L53*Data!K$9</f>
        <v>303384.639473374</v>
      </c>
      <c r="M54" s="182">
        <f>M53*Data!L$9</f>
        <v>287804.54725824838</v>
      </c>
      <c r="N54" s="182">
        <f>N53*Data!M$9</f>
        <v>272974.12982968072</v>
      </c>
      <c r="O54" s="182">
        <f>O53*Data!N$9</f>
        <v>258858.76737008838</v>
      </c>
      <c r="P54" s="182">
        <f>P53*Data!O$9</f>
        <v>245425.39413840888</v>
      </c>
      <c r="Q54" s="182">
        <f>Q53*Data!P$9</f>
        <v>235985.9559023162</v>
      </c>
      <c r="R54" s="182">
        <f>R53*Data!Q$9</f>
        <v>226909.57298299632</v>
      </c>
      <c r="S54" s="182">
        <f>S53*Data!R$9</f>
        <v>218182.2817144196</v>
      </c>
      <c r="T54" s="182">
        <f>T53*Data!S$9</f>
        <v>209790.65549463415</v>
      </c>
      <c r="U54" s="182">
        <f>U53*Data!T$9</f>
        <v>-31530.139522070596</v>
      </c>
      <c r="V54" s="182">
        <f>V53*Data!U$9</f>
        <v>0</v>
      </c>
      <c r="W54" s="182">
        <f>W53*Data!V$9</f>
        <v>0</v>
      </c>
      <c r="X54" s="182">
        <f>X53*Data!W$9</f>
        <v>0</v>
      </c>
      <c r="Y54" s="182">
        <f>Y53*Data!X$9</f>
        <v>0</v>
      </c>
      <c r="Z54" s="182">
        <f>Z53*Data!Y$9</f>
        <v>0</v>
      </c>
      <c r="AA54" s="182">
        <f>AA53*Data!Z$9</f>
        <v>0</v>
      </c>
      <c r="AB54" s="182">
        <f>AB53*Data!AA$9</f>
        <v>0</v>
      </c>
      <c r="AC54" s="182">
        <f>AC53*Data!AB$9</f>
        <v>0</v>
      </c>
      <c r="AD54" s="182">
        <f>AD53*Data!AC$9</f>
        <v>0</v>
      </c>
      <c r="AE54" s="182">
        <f>AE53*Data!AD$9</f>
        <v>0</v>
      </c>
      <c r="AF54" s="182">
        <f>AF53*Data!AE$9</f>
        <v>0</v>
      </c>
      <c r="AG54" s="182">
        <f>AG53*Data!AF$9</f>
        <v>0</v>
      </c>
      <c r="AH54" s="182">
        <f>AH53*Data!AG$9</f>
        <v>0</v>
      </c>
      <c r="AI54" s="182">
        <f>AI53*Data!AH$9</f>
        <v>0</v>
      </c>
      <c r="AJ54" s="182">
        <f>AJ53*Data!AI$9</f>
        <v>0</v>
      </c>
      <c r="AK54" s="182">
        <f>AK53*Data!AJ$9</f>
        <v>0</v>
      </c>
      <c r="AL54" s="182">
        <f>AL53*Data!AK$9</f>
        <v>0</v>
      </c>
      <c r="AM54" s="182">
        <f>AM53*Data!AL$9</f>
        <v>0</v>
      </c>
      <c r="AN54" s="182">
        <f>AN53*Data!AM$9</f>
        <v>0</v>
      </c>
      <c r="AO54" s="182">
        <f>AO53*Data!AN$9</f>
        <v>0</v>
      </c>
      <c r="AP54" s="50"/>
    </row>
    <row r="55" spans="1:42" x14ac:dyDescent="0.25">
      <c r="A55" s="12"/>
      <c r="B55" s="13"/>
      <c r="C55" s="14" t="s">
        <v>479</v>
      </c>
      <c r="D55" s="14"/>
      <c r="E55" s="15" t="s">
        <v>142</v>
      </c>
      <c r="F55" s="16"/>
      <c r="G55" s="182">
        <f>SUM(H54:AO54)</f>
        <v>3320172.5761879091</v>
      </c>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9"/>
    </row>
    <row r="56" spans="1:42" x14ac:dyDescent="0.25">
      <c r="A56" s="12"/>
      <c r="B56" s="13"/>
      <c r="C56" s="44" t="s">
        <v>514</v>
      </c>
      <c r="D56" s="44"/>
      <c r="E56" s="15" t="s">
        <v>261</v>
      </c>
      <c r="F56" s="16"/>
      <c r="G56" s="183">
        <f>G55/SUM(I19:AO19)</f>
        <v>2.9559941027314007</v>
      </c>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7"/>
    </row>
    <row r="57" spans="1:42" x14ac:dyDescent="0.25">
      <c r="A57" s="12"/>
      <c r="B57" s="13"/>
      <c r="C57" s="14"/>
      <c r="D57" s="14"/>
      <c r="E57" s="15"/>
      <c r="F57" s="16"/>
      <c r="G57" s="14"/>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17"/>
    </row>
    <row r="58" spans="1:42" x14ac:dyDescent="0.25">
      <c r="A58" s="12"/>
      <c r="B58" s="13"/>
      <c r="C58" s="19"/>
      <c r="D58" s="19"/>
      <c r="E58" s="15"/>
      <c r="F58" s="16"/>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row>
    <row r="59" spans="1:42" x14ac:dyDescent="0.25">
      <c r="A59" s="12"/>
      <c r="B59" s="13"/>
      <c r="C59" s="37" t="s">
        <v>515</v>
      </c>
      <c r="D59" s="37"/>
      <c r="E59" s="38"/>
      <c r="F59" s="39"/>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17"/>
    </row>
    <row r="60" spans="1:42" x14ac:dyDescent="0.25">
      <c r="A60" s="12"/>
      <c r="B60" s="13"/>
      <c r="C60" s="20" t="s">
        <v>516</v>
      </c>
      <c r="D60" s="45"/>
      <c r="E60" s="15"/>
      <c r="F60" s="16"/>
      <c r="G60" s="165"/>
      <c r="H60" s="165"/>
      <c r="I60" s="165"/>
      <c r="J60" s="165"/>
      <c r="K60" s="165"/>
      <c r="L60" s="165"/>
      <c r="M60" s="165"/>
      <c r="N60" s="165"/>
      <c r="O60" s="165"/>
      <c r="P60" s="165"/>
      <c r="Q60" s="165"/>
      <c r="R60" s="165"/>
      <c r="S60" s="165"/>
      <c r="T60" s="165"/>
      <c r="U60" s="28"/>
      <c r="V60" s="28"/>
      <c r="W60" s="28"/>
      <c r="X60" s="28"/>
      <c r="Y60" s="28"/>
      <c r="Z60" s="28"/>
      <c r="AA60" s="28"/>
      <c r="AB60" s="28"/>
      <c r="AC60" s="28"/>
      <c r="AD60" s="28"/>
      <c r="AE60" s="28"/>
      <c r="AF60" s="28"/>
      <c r="AG60" s="28"/>
      <c r="AH60" s="28"/>
      <c r="AI60" s="28"/>
      <c r="AJ60" s="28"/>
      <c r="AK60" s="28"/>
      <c r="AL60" s="28"/>
      <c r="AM60" s="28"/>
      <c r="AN60" s="28"/>
      <c r="AO60" s="28"/>
      <c r="AP60" s="29"/>
    </row>
    <row r="61" spans="1:42" x14ac:dyDescent="0.25">
      <c r="A61" s="12"/>
      <c r="B61" s="13"/>
      <c r="C61" s="45" t="s">
        <v>517</v>
      </c>
      <c r="D61" s="45"/>
      <c r="E61" s="15" t="s">
        <v>342</v>
      </c>
      <c r="F61" s="179">
        <f>Data!$E$169</f>
        <v>0</v>
      </c>
      <c r="G61" s="165"/>
      <c r="H61" s="165"/>
      <c r="I61" s="165"/>
      <c r="J61" s="165"/>
      <c r="K61" s="165"/>
      <c r="L61" s="165"/>
      <c r="M61" s="165"/>
      <c r="N61" s="165"/>
      <c r="O61" s="165"/>
      <c r="P61" s="165"/>
      <c r="Q61" s="165"/>
      <c r="R61" s="165"/>
      <c r="S61" s="165"/>
      <c r="T61" s="165"/>
      <c r="U61" s="28"/>
      <c r="V61" s="28"/>
      <c r="W61" s="28"/>
      <c r="X61" s="28"/>
      <c r="Y61" s="28"/>
      <c r="Z61" s="28"/>
      <c r="AA61" s="28"/>
      <c r="AB61" s="28"/>
      <c r="AC61" s="28"/>
      <c r="AD61" s="28"/>
      <c r="AE61" s="28"/>
      <c r="AF61" s="28"/>
      <c r="AG61" s="28"/>
      <c r="AH61" s="28"/>
      <c r="AI61" s="28"/>
      <c r="AJ61" s="28"/>
      <c r="AK61" s="28"/>
      <c r="AL61" s="28"/>
      <c r="AM61" s="28"/>
      <c r="AN61" s="28"/>
      <c r="AO61" s="28"/>
      <c r="AP61" s="29"/>
    </row>
    <row r="62" spans="1:42" x14ac:dyDescent="0.25">
      <c r="A62" s="12"/>
      <c r="B62" s="13"/>
      <c r="C62" s="45" t="s">
        <v>518</v>
      </c>
      <c r="D62" s="45"/>
      <c r="E62" s="15" t="s">
        <v>142</v>
      </c>
      <c r="F62" s="179"/>
      <c r="G62" s="186">
        <f>F61*Data!G16/1000</f>
        <v>0</v>
      </c>
      <c r="H62" s="165"/>
      <c r="I62" s="165"/>
      <c r="J62" s="165"/>
      <c r="K62" s="165"/>
      <c r="L62" s="165"/>
      <c r="M62" s="165"/>
      <c r="N62" s="165"/>
      <c r="O62" s="165"/>
      <c r="P62" s="165"/>
      <c r="Q62" s="165"/>
      <c r="R62" s="165"/>
      <c r="S62" s="165"/>
      <c r="T62" s="165"/>
      <c r="U62" s="28"/>
      <c r="V62" s="28"/>
      <c r="W62" s="28"/>
      <c r="X62" s="28"/>
      <c r="Y62" s="28"/>
      <c r="Z62" s="28"/>
      <c r="AA62" s="28"/>
      <c r="AB62" s="28"/>
      <c r="AC62" s="28"/>
      <c r="AD62" s="28"/>
      <c r="AE62" s="28"/>
      <c r="AF62" s="28"/>
      <c r="AG62" s="28"/>
      <c r="AH62" s="28"/>
      <c r="AI62" s="28"/>
      <c r="AJ62" s="28"/>
      <c r="AK62" s="28"/>
      <c r="AL62" s="28"/>
      <c r="AM62" s="28"/>
      <c r="AN62" s="28"/>
      <c r="AO62" s="28"/>
      <c r="AP62" s="29"/>
    </row>
    <row r="63" spans="1:42" x14ac:dyDescent="0.25">
      <c r="A63" s="12"/>
      <c r="B63" s="13"/>
      <c r="C63" s="45" t="s">
        <v>518</v>
      </c>
      <c r="D63" s="45"/>
      <c r="E63" s="15" t="s">
        <v>261</v>
      </c>
      <c r="F63" s="179"/>
      <c r="G63" s="184">
        <f>G62/(SUM(H19:AN19))</f>
        <v>0</v>
      </c>
      <c r="H63" s="165"/>
      <c r="I63" s="165"/>
      <c r="J63" s="165"/>
      <c r="K63" s="165"/>
      <c r="L63" s="165"/>
      <c r="M63" s="165"/>
      <c r="N63" s="165"/>
      <c r="O63" s="165"/>
      <c r="P63" s="165"/>
      <c r="Q63" s="165"/>
      <c r="R63" s="165"/>
      <c r="S63" s="165"/>
      <c r="T63" s="165"/>
      <c r="U63" s="28"/>
      <c r="V63" s="28"/>
      <c r="W63" s="28"/>
      <c r="X63" s="28"/>
      <c r="Y63" s="28"/>
      <c r="Z63" s="28"/>
      <c r="AA63" s="28"/>
      <c r="AB63" s="28"/>
      <c r="AC63" s="28"/>
      <c r="AD63" s="28"/>
      <c r="AE63" s="28"/>
      <c r="AF63" s="28"/>
      <c r="AG63" s="28"/>
      <c r="AH63" s="28"/>
      <c r="AI63" s="28"/>
      <c r="AJ63" s="28"/>
      <c r="AK63" s="28"/>
      <c r="AL63" s="28"/>
      <c r="AM63" s="28"/>
      <c r="AN63" s="28"/>
      <c r="AO63" s="28"/>
      <c r="AP63" s="29"/>
    </row>
    <row r="64" spans="1:42" x14ac:dyDescent="0.25">
      <c r="A64" s="12"/>
      <c r="B64" s="13"/>
      <c r="C64" s="20" t="s">
        <v>519</v>
      </c>
      <c r="D64" s="19"/>
      <c r="E64" s="15"/>
      <c r="F64" s="16"/>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7"/>
    </row>
    <row r="65" spans="1:42" x14ac:dyDescent="0.25">
      <c r="A65" s="12"/>
      <c r="B65" s="13"/>
      <c r="C65" t="s">
        <v>520</v>
      </c>
      <c r="D65" s="14"/>
      <c r="E65" s="15" t="s">
        <v>521</v>
      </c>
      <c r="F65" s="16"/>
      <c r="G65" s="20" t="s">
        <v>522</v>
      </c>
      <c r="H65" s="141"/>
      <c r="I65" s="141">
        <f>I19</f>
        <v>93600</v>
      </c>
      <c r="J65" s="141">
        <f t="shared" ref="J65:AO65" si="5">J19</f>
        <v>93600</v>
      </c>
      <c r="K65" s="141">
        <f t="shared" si="5"/>
        <v>93600</v>
      </c>
      <c r="L65" s="141">
        <f t="shared" si="5"/>
        <v>93600</v>
      </c>
      <c r="M65" s="141">
        <f t="shared" si="5"/>
        <v>93600</v>
      </c>
      <c r="N65" s="141">
        <f t="shared" si="5"/>
        <v>93600</v>
      </c>
      <c r="O65" s="141">
        <f t="shared" si="5"/>
        <v>93600</v>
      </c>
      <c r="P65" s="141">
        <f t="shared" si="5"/>
        <v>93600</v>
      </c>
      <c r="Q65" s="141">
        <f t="shared" si="5"/>
        <v>93600</v>
      </c>
      <c r="R65" s="141">
        <f t="shared" si="5"/>
        <v>93600</v>
      </c>
      <c r="S65" s="141">
        <f t="shared" si="5"/>
        <v>93600</v>
      </c>
      <c r="T65" s="141">
        <f t="shared" si="5"/>
        <v>93600</v>
      </c>
      <c r="U65" s="141">
        <f t="shared" si="5"/>
        <v>0</v>
      </c>
      <c r="V65" s="141">
        <f t="shared" si="5"/>
        <v>0</v>
      </c>
      <c r="W65" s="141">
        <f t="shared" si="5"/>
        <v>0</v>
      </c>
      <c r="X65" s="141">
        <f t="shared" si="5"/>
        <v>0</v>
      </c>
      <c r="Y65" s="141">
        <f t="shared" si="5"/>
        <v>0</v>
      </c>
      <c r="Z65" s="141">
        <f t="shared" si="5"/>
        <v>0</v>
      </c>
      <c r="AA65" s="141">
        <f t="shared" si="5"/>
        <v>0</v>
      </c>
      <c r="AB65" s="141">
        <f t="shared" si="5"/>
        <v>0</v>
      </c>
      <c r="AC65" s="141">
        <f t="shared" si="5"/>
        <v>0</v>
      </c>
      <c r="AD65" s="141">
        <f t="shared" si="5"/>
        <v>0</v>
      </c>
      <c r="AE65" s="141">
        <f t="shared" si="5"/>
        <v>0</v>
      </c>
      <c r="AF65" s="141">
        <f t="shared" si="5"/>
        <v>0</v>
      </c>
      <c r="AG65" s="141">
        <f t="shared" si="5"/>
        <v>0</v>
      </c>
      <c r="AH65" s="141">
        <f t="shared" si="5"/>
        <v>0</v>
      </c>
      <c r="AI65" s="141">
        <f t="shared" si="5"/>
        <v>0</v>
      </c>
      <c r="AJ65" s="141">
        <f t="shared" si="5"/>
        <v>0</v>
      </c>
      <c r="AK65" s="141">
        <f t="shared" si="5"/>
        <v>0</v>
      </c>
      <c r="AL65" s="141">
        <f t="shared" si="5"/>
        <v>0</v>
      </c>
      <c r="AM65" s="141">
        <f t="shared" si="5"/>
        <v>0</v>
      </c>
      <c r="AN65" s="141">
        <f t="shared" si="5"/>
        <v>0</v>
      </c>
      <c r="AO65" s="141">
        <f t="shared" si="5"/>
        <v>0</v>
      </c>
      <c r="AP65" s="14"/>
    </row>
    <row r="66" spans="1:42" x14ac:dyDescent="0.25">
      <c r="A66" s="12"/>
      <c r="B66" s="13"/>
      <c r="C66" s="14" t="s">
        <v>535</v>
      </c>
      <c r="D66" s="14"/>
      <c r="E66" s="15"/>
      <c r="F66" s="16"/>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4"/>
      <c r="AH66" s="14"/>
      <c r="AI66" s="14"/>
      <c r="AJ66" s="14"/>
      <c r="AK66" s="14"/>
      <c r="AL66" s="14"/>
      <c r="AM66" s="14"/>
      <c r="AN66" s="14"/>
      <c r="AO66" s="14"/>
      <c r="AP66" s="14"/>
    </row>
    <row r="67" spans="1:42" ht="14.25" customHeight="1" x14ac:dyDescent="0.25">
      <c r="A67" s="54"/>
      <c r="B67" s="13"/>
      <c r="C67" s="14" t="s">
        <v>205</v>
      </c>
      <c r="D67" s="14"/>
      <c r="E67" s="70" t="s">
        <v>352</v>
      </c>
      <c r="F67" s="201">
        <f>Data!E424/1000</f>
        <v>4.0583752780418599E-3</v>
      </c>
      <c r="G67" s="231">
        <f>SUM(I67:AO67)</f>
        <v>4558.367112296618</v>
      </c>
      <c r="H67" s="56"/>
      <c r="I67" s="56">
        <f t="shared" ref="I67:J70" si="6">I$65*$F67</f>
        <v>379.86392602471807</v>
      </c>
      <c r="J67" s="56">
        <f t="shared" si="6"/>
        <v>379.86392602471807</v>
      </c>
      <c r="K67" s="56">
        <f t="shared" ref="K67:AC73" si="7">K$65*$F67</f>
        <v>379.86392602471807</v>
      </c>
      <c r="L67" s="56">
        <f t="shared" si="7"/>
        <v>379.86392602471807</v>
      </c>
      <c r="M67" s="56">
        <f t="shared" si="7"/>
        <v>379.86392602471807</v>
      </c>
      <c r="N67" s="56">
        <f t="shared" si="7"/>
        <v>379.86392602471807</v>
      </c>
      <c r="O67" s="56">
        <f t="shared" si="7"/>
        <v>379.86392602471807</v>
      </c>
      <c r="P67" s="56">
        <f t="shared" si="7"/>
        <v>379.86392602471807</v>
      </c>
      <c r="Q67" s="56">
        <f t="shared" si="7"/>
        <v>379.86392602471807</v>
      </c>
      <c r="R67" s="56">
        <f t="shared" si="7"/>
        <v>379.86392602471807</v>
      </c>
      <c r="S67" s="56">
        <f t="shared" si="7"/>
        <v>379.86392602471807</v>
      </c>
      <c r="T67" s="56">
        <f t="shared" si="7"/>
        <v>379.86392602471807</v>
      </c>
      <c r="U67" s="56">
        <f t="shared" si="7"/>
        <v>0</v>
      </c>
      <c r="V67" s="56">
        <f t="shared" si="7"/>
        <v>0</v>
      </c>
      <c r="W67" s="56">
        <f t="shared" si="7"/>
        <v>0</v>
      </c>
      <c r="X67" s="56">
        <f t="shared" si="7"/>
        <v>0</v>
      </c>
      <c r="Y67" s="56">
        <f t="shared" si="7"/>
        <v>0</v>
      </c>
      <c r="Z67" s="56">
        <f t="shared" si="7"/>
        <v>0</v>
      </c>
      <c r="AA67" s="56">
        <f t="shared" si="7"/>
        <v>0</v>
      </c>
      <c r="AB67" s="56">
        <f t="shared" si="7"/>
        <v>0</v>
      </c>
      <c r="AC67" s="56">
        <f t="shared" si="7"/>
        <v>0</v>
      </c>
      <c r="AD67" s="56">
        <f t="shared" ref="AC67:AO73" si="8">AD$65*$F67</f>
        <v>0</v>
      </c>
      <c r="AE67" s="56">
        <f t="shared" si="8"/>
        <v>0</v>
      </c>
      <c r="AF67" s="56">
        <f t="shared" si="8"/>
        <v>0</v>
      </c>
      <c r="AG67" s="56">
        <f t="shared" si="8"/>
        <v>0</v>
      </c>
      <c r="AH67" s="56">
        <f t="shared" si="8"/>
        <v>0</v>
      </c>
      <c r="AI67" s="56">
        <f t="shared" si="8"/>
        <v>0</v>
      </c>
      <c r="AJ67" s="56">
        <f t="shared" si="8"/>
        <v>0</v>
      </c>
      <c r="AK67" s="56">
        <f t="shared" si="8"/>
        <v>0</v>
      </c>
      <c r="AL67" s="56">
        <f t="shared" si="8"/>
        <v>0</v>
      </c>
      <c r="AM67" s="56">
        <f t="shared" si="8"/>
        <v>0</v>
      </c>
      <c r="AN67" s="56">
        <f t="shared" si="8"/>
        <v>0</v>
      </c>
      <c r="AO67" s="56">
        <f t="shared" si="8"/>
        <v>0</v>
      </c>
      <c r="AP67" s="29"/>
    </row>
    <row r="68" spans="1:42" ht="14.25" customHeight="1" x14ac:dyDescent="0.25">
      <c r="A68" s="54"/>
      <c r="B68" s="13"/>
      <c r="C68" s="14" t="s">
        <v>484</v>
      </c>
      <c r="D68" s="14"/>
      <c r="E68" s="70" t="s">
        <v>352</v>
      </c>
      <c r="F68" s="201">
        <f>Data!E425/1000</f>
        <v>0.37652826429436026</v>
      </c>
      <c r="G68" s="231">
        <f t="shared" ref="G68:G80" si="9">SUM(I68:AO68)</f>
        <v>422916.54645542538</v>
      </c>
      <c r="H68" s="231"/>
      <c r="I68" s="56">
        <f t="shared" si="6"/>
        <v>35243.045537952123</v>
      </c>
      <c r="J68" s="56">
        <f t="shared" si="6"/>
        <v>35243.045537952123</v>
      </c>
      <c r="K68" s="56">
        <f t="shared" si="7"/>
        <v>35243.045537952123</v>
      </c>
      <c r="L68" s="56">
        <f t="shared" si="7"/>
        <v>35243.045537952123</v>
      </c>
      <c r="M68" s="56">
        <f t="shared" si="7"/>
        <v>35243.045537952123</v>
      </c>
      <c r="N68" s="56">
        <f t="shared" si="7"/>
        <v>35243.045537952123</v>
      </c>
      <c r="O68" s="56">
        <f t="shared" si="7"/>
        <v>35243.045537952123</v>
      </c>
      <c r="P68" s="56">
        <f t="shared" si="7"/>
        <v>35243.045537952123</v>
      </c>
      <c r="Q68" s="56">
        <f t="shared" si="7"/>
        <v>35243.045537952123</v>
      </c>
      <c r="R68" s="56">
        <f t="shared" si="7"/>
        <v>35243.045537952123</v>
      </c>
      <c r="S68" s="56">
        <f t="shared" si="7"/>
        <v>35243.045537952123</v>
      </c>
      <c r="T68" s="56">
        <f t="shared" si="7"/>
        <v>35243.045537952123</v>
      </c>
      <c r="U68" s="56">
        <f t="shared" si="7"/>
        <v>0</v>
      </c>
      <c r="V68" s="56">
        <f t="shared" si="7"/>
        <v>0</v>
      </c>
      <c r="W68" s="56">
        <f t="shared" si="7"/>
        <v>0</v>
      </c>
      <c r="X68" s="56">
        <f t="shared" si="7"/>
        <v>0</v>
      </c>
      <c r="Y68" s="56">
        <f t="shared" si="7"/>
        <v>0</v>
      </c>
      <c r="Z68" s="56">
        <f t="shared" si="7"/>
        <v>0</v>
      </c>
      <c r="AA68" s="56">
        <f t="shared" si="7"/>
        <v>0</v>
      </c>
      <c r="AB68" s="56">
        <f t="shared" si="7"/>
        <v>0</v>
      </c>
      <c r="AC68" s="56">
        <f t="shared" si="8"/>
        <v>0</v>
      </c>
      <c r="AD68" s="56">
        <f t="shared" si="8"/>
        <v>0</v>
      </c>
      <c r="AE68" s="56">
        <f t="shared" si="8"/>
        <v>0</v>
      </c>
      <c r="AF68" s="56">
        <f t="shared" si="8"/>
        <v>0</v>
      </c>
      <c r="AG68" s="56">
        <f t="shared" si="8"/>
        <v>0</v>
      </c>
      <c r="AH68" s="56">
        <f t="shared" si="8"/>
        <v>0</v>
      </c>
      <c r="AI68" s="56">
        <f t="shared" si="8"/>
        <v>0</v>
      </c>
      <c r="AJ68" s="56">
        <f t="shared" si="8"/>
        <v>0</v>
      </c>
      <c r="AK68" s="56">
        <f t="shared" si="8"/>
        <v>0</v>
      </c>
      <c r="AL68" s="56">
        <f t="shared" si="8"/>
        <v>0</v>
      </c>
      <c r="AM68" s="56">
        <f t="shared" si="8"/>
        <v>0</v>
      </c>
      <c r="AN68" s="56">
        <f t="shared" si="8"/>
        <v>0</v>
      </c>
      <c r="AO68" s="56">
        <f t="shared" si="8"/>
        <v>0</v>
      </c>
      <c r="AP68" s="29"/>
    </row>
    <row r="69" spans="1:42" x14ac:dyDescent="0.25">
      <c r="A69" s="54"/>
      <c r="B69" s="13"/>
      <c r="C69" s="14" t="s">
        <v>285</v>
      </c>
      <c r="D69" s="14"/>
      <c r="E69" s="70" t="s">
        <v>352</v>
      </c>
      <c r="F69" s="201">
        <f>Data!E426/1000</f>
        <v>2.8470339849987793E-4</v>
      </c>
      <c r="G69" s="231">
        <f t="shared" si="9"/>
        <v>319.77885719506293</v>
      </c>
      <c r="H69" s="56"/>
      <c r="I69" s="56">
        <f t="shared" si="6"/>
        <v>26.648238099588575</v>
      </c>
      <c r="J69" s="56">
        <f t="shared" si="6"/>
        <v>26.648238099588575</v>
      </c>
      <c r="K69" s="56">
        <f t="shared" si="7"/>
        <v>26.648238099588575</v>
      </c>
      <c r="L69" s="56">
        <f t="shared" si="7"/>
        <v>26.648238099588575</v>
      </c>
      <c r="M69" s="56">
        <f t="shared" si="7"/>
        <v>26.648238099588575</v>
      </c>
      <c r="N69" s="56">
        <f t="shared" si="7"/>
        <v>26.648238099588575</v>
      </c>
      <c r="O69" s="56">
        <f t="shared" si="7"/>
        <v>26.648238099588575</v>
      </c>
      <c r="P69" s="56">
        <f t="shared" si="7"/>
        <v>26.648238099588575</v>
      </c>
      <c r="Q69" s="56">
        <f t="shared" si="7"/>
        <v>26.648238099588575</v>
      </c>
      <c r="R69" s="56">
        <f t="shared" si="7"/>
        <v>26.648238099588575</v>
      </c>
      <c r="S69" s="56">
        <f t="shared" si="7"/>
        <v>26.648238099588575</v>
      </c>
      <c r="T69" s="56">
        <f t="shared" si="7"/>
        <v>26.648238099588575</v>
      </c>
      <c r="U69" s="56">
        <f t="shared" si="7"/>
        <v>0</v>
      </c>
      <c r="V69" s="56">
        <f t="shared" si="7"/>
        <v>0</v>
      </c>
      <c r="W69" s="56">
        <f t="shared" si="7"/>
        <v>0</v>
      </c>
      <c r="X69" s="56">
        <f t="shared" si="7"/>
        <v>0</v>
      </c>
      <c r="Y69" s="56">
        <f t="shared" si="7"/>
        <v>0</v>
      </c>
      <c r="Z69" s="56">
        <f t="shared" si="7"/>
        <v>0</v>
      </c>
      <c r="AA69" s="56">
        <f t="shared" si="7"/>
        <v>0</v>
      </c>
      <c r="AB69" s="56">
        <f t="shared" si="7"/>
        <v>0</v>
      </c>
      <c r="AC69" s="56">
        <f t="shared" si="8"/>
        <v>0</v>
      </c>
      <c r="AD69" s="56">
        <f t="shared" si="8"/>
        <v>0</v>
      </c>
      <c r="AE69" s="56">
        <f t="shared" si="8"/>
        <v>0</v>
      </c>
      <c r="AF69" s="56">
        <f t="shared" si="8"/>
        <v>0</v>
      </c>
      <c r="AG69" s="56">
        <f t="shared" si="8"/>
        <v>0</v>
      </c>
      <c r="AH69" s="56">
        <f t="shared" si="8"/>
        <v>0</v>
      </c>
      <c r="AI69" s="56">
        <f t="shared" si="8"/>
        <v>0</v>
      </c>
      <c r="AJ69" s="56">
        <f t="shared" si="8"/>
        <v>0</v>
      </c>
      <c r="AK69" s="56">
        <f t="shared" si="8"/>
        <v>0</v>
      </c>
      <c r="AL69" s="56">
        <f t="shared" si="8"/>
        <v>0</v>
      </c>
      <c r="AM69" s="56">
        <f t="shared" si="8"/>
        <v>0</v>
      </c>
      <c r="AN69" s="56">
        <f t="shared" si="8"/>
        <v>0</v>
      </c>
      <c r="AO69" s="56">
        <f t="shared" si="8"/>
        <v>0</v>
      </c>
      <c r="AP69" s="29"/>
    </row>
    <row r="70" spans="1:42" x14ac:dyDescent="0.25">
      <c r="A70" s="54"/>
      <c r="B70" s="13"/>
      <c r="C70" s="14" t="s">
        <v>220</v>
      </c>
      <c r="D70" s="14"/>
      <c r="E70" s="70" t="s">
        <v>352</v>
      </c>
      <c r="F70" s="201">
        <f>Data!E427/1000</f>
        <v>1.0339278110249E-2</v>
      </c>
      <c r="G70" s="231">
        <f t="shared" si="9"/>
        <v>11613.077173431673</v>
      </c>
      <c r="H70" s="56"/>
      <c r="I70" s="56">
        <f t="shared" si="6"/>
        <v>967.7564311193064</v>
      </c>
      <c r="J70" s="56">
        <f t="shared" si="6"/>
        <v>967.7564311193064</v>
      </c>
      <c r="K70" s="56">
        <f t="shared" si="7"/>
        <v>967.7564311193064</v>
      </c>
      <c r="L70" s="56">
        <f t="shared" si="7"/>
        <v>967.7564311193064</v>
      </c>
      <c r="M70" s="56">
        <f t="shared" si="7"/>
        <v>967.7564311193064</v>
      </c>
      <c r="N70" s="56">
        <f t="shared" si="7"/>
        <v>967.7564311193064</v>
      </c>
      <c r="O70" s="56">
        <f t="shared" si="7"/>
        <v>967.7564311193064</v>
      </c>
      <c r="P70" s="56">
        <f t="shared" si="7"/>
        <v>967.7564311193064</v>
      </c>
      <c r="Q70" s="56">
        <f t="shared" si="7"/>
        <v>967.7564311193064</v>
      </c>
      <c r="R70" s="56">
        <f t="shared" si="7"/>
        <v>967.7564311193064</v>
      </c>
      <c r="S70" s="56">
        <f t="shared" si="7"/>
        <v>967.7564311193064</v>
      </c>
      <c r="T70" s="56">
        <f t="shared" si="7"/>
        <v>967.7564311193064</v>
      </c>
      <c r="U70" s="56">
        <f t="shared" si="7"/>
        <v>0</v>
      </c>
      <c r="V70" s="56">
        <f t="shared" si="7"/>
        <v>0</v>
      </c>
      <c r="W70" s="56">
        <f t="shared" si="7"/>
        <v>0</v>
      </c>
      <c r="X70" s="56">
        <f t="shared" si="7"/>
        <v>0</v>
      </c>
      <c r="Y70" s="56">
        <f t="shared" si="7"/>
        <v>0</v>
      </c>
      <c r="Z70" s="56">
        <f t="shared" si="7"/>
        <v>0</v>
      </c>
      <c r="AA70" s="56">
        <f t="shared" si="7"/>
        <v>0</v>
      </c>
      <c r="AB70" s="56">
        <f t="shared" si="7"/>
        <v>0</v>
      </c>
      <c r="AC70" s="56">
        <f t="shared" si="8"/>
        <v>0</v>
      </c>
      <c r="AD70" s="56">
        <f t="shared" si="8"/>
        <v>0</v>
      </c>
      <c r="AE70" s="56">
        <f t="shared" si="8"/>
        <v>0</v>
      </c>
      <c r="AF70" s="56">
        <f t="shared" si="8"/>
        <v>0</v>
      </c>
      <c r="AG70" s="56">
        <f t="shared" si="8"/>
        <v>0</v>
      </c>
      <c r="AH70" s="56">
        <f t="shared" si="8"/>
        <v>0</v>
      </c>
      <c r="AI70" s="56">
        <f t="shared" si="8"/>
        <v>0</v>
      </c>
      <c r="AJ70" s="56">
        <f t="shared" si="8"/>
        <v>0</v>
      </c>
      <c r="AK70" s="56">
        <f t="shared" si="8"/>
        <v>0</v>
      </c>
      <c r="AL70" s="56">
        <f t="shared" si="8"/>
        <v>0</v>
      </c>
      <c r="AM70" s="56">
        <f t="shared" si="8"/>
        <v>0</v>
      </c>
      <c r="AN70" s="56">
        <f t="shared" si="8"/>
        <v>0</v>
      </c>
      <c r="AO70" s="56">
        <f t="shared" si="8"/>
        <v>0</v>
      </c>
      <c r="AP70" s="29"/>
    </row>
    <row r="71" spans="1:42" x14ac:dyDescent="0.25">
      <c r="A71" s="54"/>
      <c r="B71" s="13"/>
      <c r="C71" s="14" t="s">
        <v>212</v>
      </c>
      <c r="D71" s="14"/>
      <c r="E71" s="70" t="s">
        <v>352</v>
      </c>
      <c r="F71" s="201">
        <f>Data!E428/1000</f>
        <v>1.0831616103370489E-3</v>
      </c>
      <c r="G71" s="231">
        <f t="shared" si="9"/>
        <v>1216.6071207305733</v>
      </c>
      <c r="H71" s="56"/>
      <c r="I71" s="56">
        <f t="shared" ref="I71:X73" si="10">I$65*$F71</f>
        <v>101.38392672754777</v>
      </c>
      <c r="J71" s="56">
        <f>J$65*$F71</f>
        <v>101.38392672754777</v>
      </c>
      <c r="K71" s="56">
        <f t="shared" si="7"/>
        <v>101.38392672754777</v>
      </c>
      <c r="L71" s="56">
        <f t="shared" si="7"/>
        <v>101.38392672754777</v>
      </c>
      <c r="M71" s="56">
        <f t="shared" si="7"/>
        <v>101.38392672754777</v>
      </c>
      <c r="N71" s="56">
        <f t="shared" si="7"/>
        <v>101.38392672754777</v>
      </c>
      <c r="O71" s="56">
        <f t="shared" si="7"/>
        <v>101.38392672754777</v>
      </c>
      <c r="P71" s="56">
        <f t="shared" si="7"/>
        <v>101.38392672754777</v>
      </c>
      <c r="Q71" s="56">
        <f t="shared" si="7"/>
        <v>101.38392672754777</v>
      </c>
      <c r="R71" s="56">
        <f t="shared" si="7"/>
        <v>101.38392672754777</v>
      </c>
      <c r="S71" s="56">
        <f t="shared" si="7"/>
        <v>101.38392672754777</v>
      </c>
      <c r="T71" s="56">
        <f t="shared" si="7"/>
        <v>101.38392672754777</v>
      </c>
      <c r="U71" s="56">
        <f t="shared" si="7"/>
        <v>0</v>
      </c>
      <c r="V71" s="56">
        <f t="shared" si="7"/>
        <v>0</v>
      </c>
      <c r="W71" s="56">
        <f t="shared" si="7"/>
        <v>0</v>
      </c>
      <c r="X71" s="56">
        <f t="shared" si="7"/>
        <v>0</v>
      </c>
      <c r="Y71" s="56">
        <f t="shared" si="7"/>
        <v>0</v>
      </c>
      <c r="Z71" s="56">
        <f t="shared" si="7"/>
        <v>0</v>
      </c>
      <c r="AA71" s="56">
        <f t="shared" si="7"/>
        <v>0</v>
      </c>
      <c r="AB71" s="56">
        <f t="shared" si="7"/>
        <v>0</v>
      </c>
      <c r="AC71" s="56">
        <f t="shared" si="8"/>
        <v>0</v>
      </c>
      <c r="AD71" s="56">
        <f t="shared" si="8"/>
        <v>0</v>
      </c>
      <c r="AE71" s="56">
        <f t="shared" si="8"/>
        <v>0</v>
      </c>
      <c r="AF71" s="56">
        <f t="shared" si="8"/>
        <v>0</v>
      </c>
      <c r="AG71" s="56">
        <f t="shared" si="8"/>
        <v>0</v>
      </c>
      <c r="AH71" s="56">
        <f t="shared" si="8"/>
        <v>0</v>
      </c>
      <c r="AI71" s="56">
        <f t="shared" si="8"/>
        <v>0</v>
      </c>
      <c r="AJ71" s="56">
        <f t="shared" si="8"/>
        <v>0</v>
      </c>
      <c r="AK71" s="56">
        <f t="shared" si="8"/>
        <v>0</v>
      </c>
      <c r="AL71" s="56">
        <f t="shared" si="8"/>
        <v>0</v>
      </c>
      <c r="AM71" s="56">
        <f t="shared" si="8"/>
        <v>0</v>
      </c>
      <c r="AN71" s="56">
        <f t="shared" si="8"/>
        <v>0</v>
      </c>
      <c r="AO71" s="56">
        <f t="shared" si="8"/>
        <v>0</v>
      </c>
      <c r="AP71" s="29"/>
    </row>
    <row r="72" spans="1:42" x14ac:dyDescent="0.25">
      <c r="A72" s="54"/>
      <c r="B72" s="13"/>
      <c r="C72" s="14" t="s">
        <v>485</v>
      </c>
      <c r="D72" s="14"/>
      <c r="E72" s="70" t="s">
        <v>352</v>
      </c>
      <c r="F72" s="201">
        <f>Data!E429/1000</f>
        <v>2.3599733894197369E-4</v>
      </c>
      <c r="G72" s="231">
        <f t="shared" si="9"/>
        <v>265.07221109962478</v>
      </c>
      <c r="H72" s="56"/>
      <c r="I72" s="56">
        <f t="shared" si="10"/>
        <v>22.089350924968738</v>
      </c>
      <c r="J72" s="56">
        <f t="shared" si="10"/>
        <v>22.089350924968738</v>
      </c>
      <c r="K72" s="56">
        <f t="shared" si="10"/>
        <v>22.089350924968738</v>
      </c>
      <c r="L72" s="56">
        <f t="shared" si="10"/>
        <v>22.089350924968738</v>
      </c>
      <c r="M72" s="56">
        <f t="shared" si="10"/>
        <v>22.089350924968738</v>
      </c>
      <c r="N72" s="56">
        <f t="shared" si="10"/>
        <v>22.089350924968738</v>
      </c>
      <c r="O72" s="56">
        <f t="shared" si="10"/>
        <v>22.089350924968738</v>
      </c>
      <c r="P72" s="56">
        <f t="shared" si="10"/>
        <v>22.089350924968738</v>
      </c>
      <c r="Q72" s="56">
        <f t="shared" si="10"/>
        <v>22.089350924968738</v>
      </c>
      <c r="R72" s="56">
        <f t="shared" si="10"/>
        <v>22.089350924968738</v>
      </c>
      <c r="S72" s="56">
        <f t="shared" si="10"/>
        <v>22.089350924968738</v>
      </c>
      <c r="T72" s="56">
        <f t="shared" si="10"/>
        <v>22.089350924968738</v>
      </c>
      <c r="U72" s="56">
        <f t="shared" si="10"/>
        <v>0</v>
      </c>
      <c r="V72" s="56">
        <f t="shared" si="10"/>
        <v>0</v>
      </c>
      <c r="W72" s="56">
        <f t="shared" si="10"/>
        <v>0</v>
      </c>
      <c r="X72" s="56">
        <f t="shared" si="10"/>
        <v>0</v>
      </c>
      <c r="Y72" s="56">
        <f t="shared" si="7"/>
        <v>0</v>
      </c>
      <c r="Z72" s="56">
        <f t="shared" si="7"/>
        <v>0</v>
      </c>
      <c r="AA72" s="56">
        <f t="shared" si="7"/>
        <v>0</v>
      </c>
      <c r="AB72" s="56">
        <f t="shared" si="7"/>
        <v>0</v>
      </c>
      <c r="AC72" s="56">
        <f t="shared" si="8"/>
        <v>0</v>
      </c>
      <c r="AD72" s="56">
        <f t="shared" si="8"/>
        <v>0</v>
      </c>
      <c r="AE72" s="56">
        <f t="shared" si="8"/>
        <v>0</v>
      </c>
      <c r="AF72" s="56">
        <f t="shared" si="8"/>
        <v>0</v>
      </c>
      <c r="AG72" s="56">
        <f t="shared" si="8"/>
        <v>0</v>
      </c>
      <c r="AH72" s="56">
        <f t="shared" si="8"/>
        <v>0</v>
      </c>
      <c r="AI72" s="56">
        <f t="shared" si="8"/>
        <v>0</v>
      </c>
      <c r="AJ72" s="56">
        <f t="shared" si="8"/>
        <v>0</v>
      </c>
      <c r="AK72" s="56">
        <f t="shared" si="8"/>
        <v>0</v>
      </c>
      <c r="AL72" s="56">
        <f t="shared" si="8"/>
        <v>0</v>
      </c>
      <c r="AM72" s="56">
        <f t="shared" si="8"/>
        <v>0</v>
      </c>
      <c r="AN72" s="56">
        <f t="shared" si="8"/>
        <v>0</v>
      </c>
      <c r="AO72" s="56">
        <f t="shared" si="8"/>
        <v>0</v>
      </c>
      <c r="AP72" s="29"/>
    </row>
    <row r="73" spans="1:42" x14ac:dyDescent="0.25">
      <c r="A73" s="54"/>
      <c r="B73" s="13"/>
      <c r="C73" s="14" t="s">
        <v>214</v>
      </c>
      <c r="D73" s="14"/>
      <c r="E73" s="70" t="s">
        <v>352</v>
      </c>
      <c r="F73" s="201">
        <f>Data!E430/1000</f>
        <v>1.7486429999999991E-5</v>
      </c>
      <c r="G73" s="231">
        <f t="shared" si="9"/>
        <v>19.640758175999991</v>
      </c>
      <c r="H73" s="56"/>
      <c r="I73" s="56">
        <f t="shared" si="10"/>
        <v>1.6367298479999992</v>
      </c>
      <c r="J73" s="56">
        <f t="shared" si="10"/>
        <v>1.6367298479999992</v>
      </c>
      <c r="K73" s="56">
        <f t="shared" si="7"/>
        <v>1.6367298479999992</v>
      </c>
      <c r="L73" s="56">
        <f t="shared" si="7"/>
        <v>1.6367298479999992</v>
      </c>
      <c r="M73" s="56">
        <f t="shared" si="7"/>
        <v>1.6367298479999992</v>
      </c>
      <c r="N73" s="56">
        <f t="shared" si="7"/>
        <v>1.6367298479999992</v>
      </c>
      <c r="O73" s="56">
        <f t="shared" si="7"/>
        <v>1.6367298479999992</v>
      </c>
      <c r="P73" s="56">
        <f t="shared" si="7"/>
        <v>1.6367298479999992</v>
      </c>
      <c r="Q73" s="56">
        <f t="shared" si="7"/>
        <v>1.6367298479999992</v>
      </c>
      <c r="R73" s="56">
        <f t="shared" si="7"/>
        <v>1.6367298479999992</v>
      </c>
      <c r="S73" s="56">
        <f t="shared" si="7"/>
        <v>1.6367298479999992</v>
      </c>
      <c r="T73" s="56">
        <f t="shared" si="7"/>
        <v>1.6367298479999992</v>
      </c>
      <c r="U73" s="56">
        <f t="shared" si="7"/>
        <v>0</v>
      </c>
      <c r="V73" s="56">
        <f t="shared" si="7"/>
        <v>0</v>
      </c>
      <c r="W73" s="56">
        <f t="shared" si="7"/>
        <v>0</v>
      </c>
      <c r="X73" s="56">
        <f t="shared" si="7"/>
        <v>0</v>
      </c>
      <c r="Y73" s="56">
        <f t="shared" si="7"/>
        <v>0</v>
      </c>
      <c r="Z73" s="56">
        <f t="shared" si="7"/>
        <v>0</v>
      </c>
      <c r="AA73" s="56">
        <f t="shared" si="7"/>
        <v>0</v>
      </c>
      <c r="AB73" s="56">
        <f t="shared" si="7"/>
        <v>0</v>
      </c>
      <c r="AC73" s="56">
        <f t="shared" si="8"/>
        <v>0</v>
      </c>
      <c r="AD73" s="56">
        <f t="shared" si="8"/>
        <v>0</v>
      </c>
      <c r="AE73" s="56">
        <f t="shared" si="8"/>
        <v>0</v>
      </c>
      <c r="AF73" s="56">
        <f t="shared" si="8"/>
        <v>0</v>
      </c>
      <c r="AG73" s="56">
        <f t="shared" si="8"/>
        <v>0</v>
      </c>
      <c r="AH73" s="56">
        <f t="shared" si="8"/>
        <v>0</v>
      </c>
      <c r="AI73" s="56">
        <f t="shared" si="8"/>
        <v>0</v>
      </c>
      <c r="AJ73" s="56">
        <f t="shared" si="8"/>
        <v>0</v>
      </c>
      <c r="AK73" s="56">
        <f t="shared" si="8"/>
        <v>0</v>
      </c>
      <c r="AL73" s="56">
        <f t="shared" si="8"/>
        <v>0</v>
      </c>
      <c r="AM73" s="56">
        <f t="shared" si="8"/>
        <v>0</v>
      </c>
      <c r="AN73" s="56">
        <f t="shared" si="8"/>
        <v>0</v>
      </c>
      <c r="AO73" s="56">
        <f t="shared" si="8"/>
        <v>0</v>
      </c>
      <c r="AP73" s="29"/>
    </row>
    <row r="74" spans="1:42" x14ac:dyDescent="0.25">
      <c r="A74" s="12"/>
      <c r="B74" s="13"/>
      <c r="C74" s="14"/>
      <c r="D74" s="14"/>
      <c r="E74" s="15"/>
      <c r="F74" s="16"/>
      <c r="G74" s="231">
        <f t="shared" si="9"/>
        <v>0</v>
      </c>
      <c r="H74" s="159"/>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14"/>
    </row>
    <row r="75" spans="1:42" x14ac:dyDescent="0.25">
      <c r="A75" s="54"/>
      <c r="B75" s="13"/>
      <c r="C75" s="14" t="s">
        <v>205</v>
      </c>
      <c r="D75" s="14"/>
      <c r="E75" s="70" t="s">
        <v>474</v>
      </c>
      <c r="F75" s="200">
        <f>Data!$E$35/1000</f>
        <v>3.4099438202247192E-3</v>
      </c>
      <c r="G75" s="231">
        <f t="shared" si="9"/>
        <v>15.543775764891445</v>
      </c>
      <c r="H75" s="56"/>
      <c r="I75" s="56">
        <f>I$67*$F75</f>
        <v>1.2953146470742873</v>
      </c>
      <c r="J75" s="56">
        <f>J$67*$F75</f>
        <v>1.2953146470742873</v>
      </c>
      <c r="K75" s="56">
        <f t="shared" ref="K75:AO75" si="11">K$67*$F75</f>
        <v>1.2953146470742873</v>
      </c>
      <c r="L75" s="56">
        <f t="shared" si="11"/>
        <v>1.2953146470742873</v>
      </c>
      <c r="M75" s="56">
        <f t="shared" si="11"/>
        <v>1.2953146470742873</v>
      </c>
      <c r="N75" s="56">
        <f t="shared" si="11"/>
        <v>1.2953146470742873</v>
      </c>
      <c r="O75" s="56">
        <f t="shared" si="11"/>
        <v>1.2953146470742873</v>
      </c>
      <c r="P75" s="56">
        <f t="shared" si="11"/>
        <v>1.2953146470742873</v>
      </c>
      <c r="Q75" s="56">
        <f t="shared" si="11"/>
        <v>1.2953146470742873</v>
      </c>
      <c r="R75" s="56">
        <f t="shared" si="11"/>
        <v>1.2953146470742873</v>
      </c>
      <c r="S75" s="56">
        <f t="shared" si="11"/>
        <v>1.2953146470742873</v>
      </c>
      <c r="T75" s="56">
        <f t="shared" si="11"/>
        <v>1.2953146470742873</v>
      </c>
      <c r="U75" s="56">
        <f t="shared" si="11"/>
        <v>0</v>
      </c>
      <c r="V75" s="56">
        <f t="shared" si="11"/>
        <v>0</v>
      </c>
      <c r="W75" s="56">
        <f t="shared" si="11"/>
        <v>0</v>
      </c>
      <c r="X75" s="56">
        <f t="shared" si="11"/>
        <v>0</v>
      </c>
      <c r="Y75" s="56">
        <f t="shared" si="11"/>
        <v>0</v>
      </c>
      <c r="Z75" s="56">
        <f t="shared" si="11"/>
        <v>0</v>
      </c>
      <c r="AA75" s="56">
        <f t="shared" si="11"/>
        <v>0</v>
      </c>
      <c r="AB75" s="56">
        <f t="shared" si="11"/>
        <v>0</v>
      </c>
      <c r="AC75" s="56">
        <f t="shared" si="11"/>
        <v>0</v>
      </c>
      <c r="AD75" s="56">
        <f t="shared" si="11"/>
        <v>0</v>
      </c>
      <c r="AE75" s="56">
        <f t="shared" si="11"/>
        <v>0</v>
      </c>
      <c r="AF75" s="56">
        <f t="shared" si="11"/>
        <v>0</v>
      </c>
      <c r="AG75" s="56">
        <f t="shared" si="11"/>
        <v>0</v>
      </c>
      <c r="AH75" s="56">
        <f t="shared" si="11"/>
        <v>0</v>
      </c>
      <c r="AI75" s="56">
        <f t="shared" si="11"/>
        <v>0</v>
      </c>
      <c r="AJ75" s="56">
        <f t="shared" si="11"/>
        <v>0</v>
      </c>
      <c r="AK75" s="56">
        <f t="shared" si="11"/>
        <v>0</v>
      </c>
      <c r="AL75" s="56">
        <f t="shared" si="11"/>
        <v>0</v>
      </c>
      <c r="AM75" s="56">
        <f t="shared" si="11"/>
        <v>0</v>
      </c>
      <c r="AN75" s="56">
        <f t="shared" si="11"/>
        <v>0</v>
      </c>
      <c r="AO75" s="56">
        <f t="shared" si="11"/>
        <v>0</v>
      </c>
      <c r="AP75" s="29"/>
    </row>
    <row r="76" spans="1:42" x14ac:dyDescent="0.25">
      <c r="A76" s="54"/>
      <c r="B76" s="13"/>
      <c r="C76" s="14" t="s">
        <v>484</v>
      </c>
      <c r="D76" s="14"/>
      <c r="E76" s="70" t="s">
        <v>474</v>
      </c>
      <c r="F76" s="200"/>
      <c r="G76" s="231">
        <f>SUM(I76:AO76)</f>
        <v>61710.572736954164</v>
      </c>
      <c r="H76" s="56"/>
      <c r="I76" s="56">
        <f>I$68*Data!H$16/1000</f>
        <v>3418.575417181356</v>
      </c>
      <c r="J76" s="56">
        <f>J$68*Data!I$16/1000</f>
        <v>3771.0058725608774</v>
      </c>
      <c r="K76" s="56">
        <f>K$68*Data!J$16/1000</f>
        <v>4088.1932824024461</v>
      </c>
      <c r="L76" s="56">
        <f>L$68*Data!K$16/1000</f>
        <v>4440.6237377819671</v>
      </c>
      <c r="M76" s="56">
        <f>M$68*Data!L$16/1000</f>
        <v>4793.0541931614889</v>
      </c>
      <c r="N76" s="56">
        <f>N$68*Data!M$16/1000</f>
        <v>5145.4846485410098</v>
      </c>
      <c r="O76" s="56">
        <f>O$68*Data!N$16/1000</f>
        <v>5462.6720583825791</v>
      </c>
      <c r="P76" s="56">
        <f>P$68*Data!O$16/1000</f>
        <v>5674.1303316102922</v>
      </c>
      <c r="Q76" s="56">
        <f>Q$68*Data!P$16/1000</f>
        <v>5885.5886048380044</v>
      </c>
      <c r="R76" s="56">
        <f>R$68*Data!Q$16/1000</f>
        <v>6132.2899236036701</v>
      </c>
      <c r="S76" s="56">
        <f>S$68*Data!R$16/1000</f>
        <v>6343.7481968313823</v>
      </c>
      <c r="T76" s="56">
        <f>T$68*Data!S$16/1000</f>
        <v>6555.2064700590945</v>
      </c>
      <c r="U76" s="56">
        <f>U$68*Data!T$16/1000</f>
        <v>0</v>
      </c>
      <c r="V76" s="56">
        <f>V$68*Data!U$16/1000</f>
        <v>0</v>
      </c>
      <c r="W76" s="56">
        <f>W$68*Data!V$16/1000</f>
        <v>0</v>
      </c>
      <c r="X76" s="56">
        <f>X$68*Data!W$16/1000</f>
        <v>0</v>
      </c>
      <c r="Y76" s="56">
        <f>Y$68*Data!X$16/1000</f>
        <v>0</v>
      </c>
      <c r="Z76" s="56">
        <f>Z$68*Data!Y$16/1000</f>
        <v>0</v>
      </c>
      <c r="AA76" s="56">
        <f>AA$68*Data!Z$16/1000</f>
        <v>0</v>
      </c>
      <c r="AB76" s="56">
        <f>AB$68*Data!AA$16/1000</f>
        <v>0</v>
      </c>
      <c r="AC76" s="56">
        <f>AC$68*Data!AB$16/1000</f>
        <v>0</v>
      </c>
      <c r="AD76" s="56">
        <f>AD$68*Data!AC$16/1000</f>
        <v>0</v>
      </c>
      <c r="AE76" s="56">
        <f>AE$68*Data!AD$16/1000</f>
        <v>0</v>
      </c>
      <c r="AF76" s="56">
        <f>AF$68*Data!AE$16/1000</f>
        <v>0</v>
      </c>
      <c r="AG76" s="56">
        <f>AG$68*Data!AF$16/1000</f>
        <v>0</v>
      </c>
      <c r="AH76" s="56">
        <f>AH$68*Data!AG$16/1000</f>
        <v>0</v>
      </c>
      <c r="AI76" s="56">
        <f>AI$68*Data!AH$16/1000</f>
        <v>0</v>
      </c>
      <c r="AJ76" s="56">
        <f>AJ$68*Data!AI$16/1000</f>
        <v>0</v>
      </c>
      <c r="AK76" s="56">
        <f>AK$68*Data!AJ$16/1000</f>
        <v>0</v>
      </c>
      <c r="AL76" s="56">
        <f>AL$68*Data!AK$16/1000</f>
        <v>0</v>
      </c>
      <c r="AM76" s="56">
        <f>AM$68*Data!AL$16/1000</f>
        <v>0</v>
      </c>
      <c r="AN76" s="56">
        <f>AN$68*Data!AM$16/1000</f>
        <v>0</v>
      </c>
      <c r="AO76" s="56">
        <f>AO$68*Data!AN$16/1000</f>
        <v>0</v>
      </c>
      <c r="AP76" s="29"/>
    </row>
    <row r="77" spans="1:42" x14ac:dyDescent="0.25">
      <c r="A77" s="54"/>
      <c r="B77" s="13"/>
      <c r="C77" s="14" t="s">
        <v>285</v>
      </c>
      <c r="D77" s="14"/>
      <c r="E77" s="70" t="s">
        <v>474</v>
      </c>
      <c r="F77" s="200">
        <f>Data!$E$36/1000</f>
        <v>1.0822865168539326</v>
      </c>
      <c r="G77" s="231">
        <f t="shared" si="9"/>
        <v>346.09234551717572</v>
      </c>
      <c r="H77" s="56"/>
      <c r="I77" s="56">
        <f>I$69*$F77</f>
        <v>28.84102879309798</v>
      </c>
      <c r="J77" s="56">
        <f>J$69*$F77</f>
        <v>28.84102879309798</v>
      </c>
      <c r="K77" s="56">
        <f t="shared" ref="K77:AO77" si="12">K$69*$F77</f>
        <v>28.84102879309798</v>
      </c>
      <c r="L77" s="56">
        <f t="shared" si="12"/>
        <v>28.84102879309798</v>
      </c>
      <c r="M77" s="56">
        <f t="shared" si="12"/>
        <v>28.84102879309798</v>
      </c>
      <c r="N77" s="56">
        <f t="shared" si="12"/>
        <v>28.84102879309798</v>
      </c>
      <c r="O77" s="56">
        <f t="shared" si="12"/>
        <v>28.84102879309798</v>
      </c>
      <c r="P77" s="56">
        <f t="shared" si="12"/>
        <v>28.84102879309798</v>
      </c>
      <c r="Q77" s="56">
        <f t="shared" si="12"/>
        <v>28.84102879309798</v>
      </c>
      <c r="R77" s="56">
        <f t="shared" si="12"/>
        <v>28.84102879309798</v>
      </c>
      <c r="S77" s="56">
        <f t="shared" si="12"/>
        <v>28.84102879309798</v>
      </c>
      <c r="T77" s="56">
        <f t="shared" si="12"/>
        <v>28.84102879309798</v>
      </c>
      <c r="U77" s="56">
        <f t="shared" si="12"/>
        <v>0</v>
      </c>
      <c r="V77" s="56">
        <f t="shared" si="12"/>
        <v>0</v>
      </c>
      <c r="W77" s="56">
        <f t="shared" si="12"/>
        <v>0</v>
      </c>
      <c r="X77" s="56">
        <f t="shared" si="12"/>
        <v>0</v>
      </c>
      <c r="Y77" s="56">
        <f t="shared" si="12"/>
        <v>0</v>
      </c>
      <c r="Z77" s="56">
        <f t="shared" si="12"/>
        <v>0</v>
      </c>
      <c r="AA77" s="56">
        <f t="shared" si="12"/>
        <v>0</v>
      </c>
      <c r="AB77" s="56">
        <f t="shared" si="12"/>
        <v>0</v>
      </c>
      <c r="AC77" s="56">
        <f t="shared" si="12"/>
        <v>0</v>
      </c>
      <c r="AD77" s="56">
        <f t="shared" si="12"/>
        <v>0</v>
      </c>
      <c r="AE77" s="56">
        <f t="shared" si="12"/>
        <v>0</v>
      </c>
      <c r="AF77" s="56">
        <f t="shared" si="12"/>
        <v>0</v>
      </c>
      <c r="AG77" s="56">
        <f t="shared" si="12"/>
        <v>0</v>
      </c>
      <c r="AH77" s="56">
        <f t="shared" si="12"/>
        <v>0</v>
      </c>
      <c r="AI77" s="56">
        <f t="shared" si="12"/>
        <v>0</v>
      </c>
      <c r="AJ77" s="56">
        <f t="shared" si="12"/>
        <v>0</v>
      </c>
      <c r="AK77" s="56">
        <f t="shared" si="12"/>
        <v>0</v>
      </c>
      <c r="AL77" s="56">
        <f t="shared" si="12"/>
        <v>0</v>
      </c>
      <c r="AM77" s="56">
        <f t="shared" si="12"/>
        <v>0</v>
      </c>
      <c r="AN77" s="56">
        <f t="shared" si="12"/>
        <v>0</v>
      </c>
      <c r="AO77" s="56">
        <f t="shared" si="12"/>
        <v>0</v>
      </c>
      <c r="AP77" s="29"/>
    </row>
    <row r="78" spans="1:42" x14ac:dyDescent="0.25">
      <c r="A78" s="54"/>
      <c r="B78" s="13"/>
      <c r="C78" s="14" t="s">
        <v>220</v>
      </c>
      <c r="D78" s="14"/>
      <c r="E78" s="70" t="s">
        <v>474</v>
      </c>
      <c r="F78" s="200">
        <f>Data!$E$37/1000</f>
        <v>371.00188764044947</v>
      </c>
      <c r="G78" s="231">
        <f t="shared" si="9"/>
        <v>4308473.5526573686</v>
      </c>
      <c r="H78" s="63">
        <f>G78/G82</f>
        <v>0.95089432486159864</v>
      </c>
      <c r="I78" s="56">
        <f>I$70*$F78</f>
        <v>359039.46272144729</v>
      </c>
      <c r="J78" s="56">
        <f>J$70*$F78</f>
        <v>359039.46272144729</v>
      </c>
      <c r="K78" s="56">
        <f t="shared" ref="K78:AO78" si="13">K$70*$F78</f>
        <v>359039.46272144729</v>
      </c>
      <c r="L78" s="56">
        <f t="shared" si="13"/>
        <v>359039.46272144729</v>
      </c>
      <c r="M78" s="56">
        <f t="shared" si="13"/>
        <v>359039.46272144729</v>
      </c>
      <c r="N78" s="56">
        <f t="shared" si="13"/>
        <v>359039.46272144729</v>
      </c>
      <c r="O78" s="56">
        <f t="shared" si="13"/>
        <v>359039.46272144729</v>
      </c>
      <c r="P78" s="56">
        <f t="shared" si="13"/>
        <v>359039.46272144729</v>
      </c>
      <c r="Q78" s="56">
        <f t="shared" si="13"/>
        <v>359039.46272144729</v>
      </c>
      <c r="R78" s="56">
        <f t="shared" si="13"/>
        <v>359039.46272144729</v>
      </c>
      <c r="S78" s="56">
        <f t="shared" si="13"/>
        <v>359039.46272144729</v>
      </c>
      <c r="T78" s="56">
        <f t="shared" si="13"/>
        <v>359039.46272144729</v>
      </c>
      <c r="U78" s="56">
        <f t="shared" si="13"/>
        <v>0</v>
      </c>
      <c r="V78" s="56">
        <f t="shared" si="13"/>
        <v>0</v>
      </c>
      <c r="W78" s="56">
        <f t="shared" si="13"/>
        <v>0</v>
      </c>
      <c r="X78" s="56">
        <f t="shared" si="13"/>
        <v>0</v>
      </c>
      <c r="Y78" s="56">
        <f t="shared" si="13"/>
        <v>0</v>
      </c>
      <c r="Z78" s="56">
        <f t="shared" si="13"/>
        <v>0</v>
      </c>
      <c r="AA78" s="56">
        <f t="shared" si="13"/>
        <v>0</v>
      </c>
      <c r="AB78" s="56">
        <f t="shared" si="13"/>
        <v>0</v>
      </c>
      <c r="AC78" s="56">
        <f t="shared" si="13"/>
        <v>0</v>
      </c>
      <c r="AD78" s="56">
        <f t="shared" si="13"/>
        <v>0</v>
      </c>
      <c r="AE78" s="56">
        <f t="shared" si="13"/>
        <v>0</v>
      </c>
      <c r="AF78" s="56">
        <f t="shared" si="13"/>
        <v>0</v>
      </c>
      <c r="AG78" s="56">
        <f t="shared" si="13"/>
        <v>0</v>
      </c>
      <c r="AH78" s="56">
        <f t="shared" si="13"/>
        <v>0</v>
      </c>
      <c r="AI78" s="56">
        <f t="shared" si="13"/>
        <v>0</v>
      </c>
      <c r="AJ78" s="56">
        <f t="shared" si="13"/>
        <v>0</v>
      </c>
      <c r="AK78" s="56">
        <f t="shared" si="13"/>
        <v>0</v>
      </c>
      <c r="AL78" s="56">
        <f t="shared" si="13"/>
        <v>0</v>
      </c>
      <c r="AM78" s="56">
        <f t="shared" si="13"/>
        <v>0</v>
      </c>
      <c r="AN78" s="56">
        <f t="shared" si="13"/>
        <v>0</v>
      </c>
      <c r="AO78" s="56">
        <f t="shared" si="13"/>
        <v>0</v>
      </c>
      <c r="AP78" s="29"/>
    </row>
    <row r="79" spans="1:42" x14ac:dyDescent="0.25">
      <c r="A79" s="54"/>
      <c r="B79" s="13"/>
      <c r="C79" s="14" t="s">
        <v>212</v>
      </c>
      <c r="D79" s="14"/>
      <c r="E79" s="70" t="s">
        <v>474</v>
      </c>
      <c r="F79" s="200">
        <f>Data!$E$39/1000</f>
        <v>0</v>
      </c>
      <c r="G79" s="231">
        <f t="shared" si="9"/>
        <v>0</v>
      </c>
      <c r="H79" s="56"/>
      <c r="I79" s="56">
        <f>I$71*$F79</f>
        <v>0</v>
      </c>
      <c r="J79" s="56">
        <f>J$71*$F79</f>
        <v>0</v>
      </c>
      <c r="K79" s="56">
        <f t="shared" ref="K79:AO79" si="14">K$71*$F79</f>
        <v>0</v>
      </c>
      <c r="L79" s="56">
        <f t="shared" si="14"/>
        <v>0</v>
      </c>
      <c r="M79" s="56">
        <f t="shared" si="14"/>
        <v>0</v>
      </c>
      <c r="N79" s="56">
        <f t="shared" si="14"/>
        <v>0</v>
      </c>
      <c r="O79" s="56">
        <f t="shared" si="14"/>
        <v>0</v>
      </c>
      <c r="P79" s="56">
        <f t="shared" si="14"/>
        <v>0</v>
      </c>
      <c r="Q79" s="56">
        <f t="shared" si="14"/>
        <v>0</v>
      </c>
      <c r="R79" s="56">
        <f t="shared" si="14"/>
        <v>0</v>
      </c>
      <c r="S79" s="56">
        <f t="shared" si="14"/>
        <v>0</v>
      </c>
      <c r="T79" s="56">
        <f t="shared" si="14"/>
        <v>0</v>
      </c>
      <c r="U79" s="56">
        <f t="shared" si="14"/>
        <v>0</v>
      </c>
      <c r="V79" s="56">
        <f t="shared" si="14"/>
        <v>0</v>
      </c>
      <c r="W79" s="56">
        <f t="shared" si="14"/>
        <v>0</v>
      </c>
      <c r="X79" s="56">
        <f t="shared" si="14"/>
        <v>0</v>
      </c>
      <c r="Y79" s="56">
        <f t="shared" si="14"/>
        <v>0</v>
      </c>
      <c r="Z79" s="56">
        <f t="shared" si="14"/>
        <v>0</v>
      </c>
      <c r="AA79" s="56">
        <f t="shared" si="14"/>
        <v>0</v>
      </c>
      <c r="AB79" s="56">
        <f t="shared" si="14"/>
        <v>0</v>
      </c>
      <c r="AC79" s="56">
        <f t="shared" si="14"/>
        <v>0</v>
      </c>
      <c r="AD79" s="56">
        <f t="shared" si="14"/>
        <v>0</v>
      </c>
      <c r="AE79" s="56">
        <f t="shared" si="14"/>
        <v>0</v>
      </c>
      <c r="AF79" s="56">
        <f t="shared" si="14"/>
        <v>0</v>
      </c>
      <c r="AG79" s="56">
        <f t="shared" si="14"/>
        <v>0</v>
      </c>
      <c r="AH79" s="56">
        <f t="shared" si="14"/>
        <v>0</v>
      </c>
      <c r="AI79" s="56">
        <f t="shared" si="14"/>
        <v>0</v>
      </c>
      <c r="AJ79" s="56">
        <f t="shared" si="14"/>
        <v>0</v>
      </c>
      <c r="AK79" s="56">
        <f t="shared" si="14"/>
        <v>0</v>
      </c>
      <c r="AL79" s="56">
        <f t="shared" si="14"/>
        <v>0</v>
      </c>
      <c r="AM79" s="56">
        <f t="shared" si="14"/>
        <v>0</v>
      </c>
      <c r="AN79" s="56">
        <f t="shared" si="14"/>
        <v>0</v>
      </c>
      <c r="AO79" s="56">
        <f t="shared" si="14"/>
        <v>0</v>
      </c>
      <c r="AP79" s="29"/>
    </row>
    <row r="80" spans="1:42" x14ac:dyDescent="0.25">
      <c r="A80" s="54"/>
      <c r="B80" s="13"/>
      <c r="C80" s="14" t="s">
        <v>485</v>
      </c>
      <c r="D80" s="14"/>
      <c r="E80" s="70" t="s">
        <v>474</v>
      </c>
      <c r="F80" s="200">
        <f>Data!$E$40/1000</f>
        <v>605.20914606741576</v>
      </c>
      <c r="G80" s="231">
        <f t="shared" si="9"/>
        <v>160424.12652580577</v>
      </c>
      <c r="H80" s="56"/>
      <c r="I80" s="56">
        <f>I$72*$F80</f>
        <v>13368.677210483811</v>
      </c>
      <c r="J80" s="56">
        <f>J$72*$F80</f>
        <v>13368.677210483811</v>
      </c>
      <c r="K80" s="56">
        <f t="shared" ref="K80:AO80" si="15">K$72*$F80</f>
        <v>13368.677210483811</v>
      </c>
      <c r="L80" s="56">
        <f t="shared" si="15"/>
        <v>13368.677210483811</v>
      </c>
      <c r="M80" s="56">
        <f t="shared" si="15"/>
        <v>13368.677210483811</v>
      </c>
      <c r="N80" s="56">
        <f t="shared" si="15"/>
        <v>13368.677210483811</v>
      </c>
      <c r="O80" s="56">
        <f t="shared" si="15"/>
        <v>13368.677210483811</v>
      </c>
      <c r="P80" s="56">
        <f t="shared" si="15"/>
        <v>13368.677210483811</v>
      </c>
      <c r="Q80" s="56">
        <f t="shared" si="15"/>
        <v>13368.677210483811</v>
      </c>
      <c r="R80" s="56">
        <f t="shared" si="15"/>
        <v>13368.677210483811</v>
      </c>
      <c r="S80" s="56">
        <f t="shared" si="15"/>
        <v>13368.677210483811</v>
      </c>
      <c r="T80" s="56">
        <f t="shared" si="15"/>
        <v>13368.677210483811</v>
      </c>
      <c r="U80" s="56">
        <f t="shared" si="15"/>
        <v>0</v>
      </c>
      <c r="V80" s="56">
        <f t="shared" si="15"/>
        <v>0</v>
      </c>
      <c r="W80" s="56">
        <f t="shared" si="15"/>
        <v>0</v>
      </c>
      <c r="X80" s="56">
        <f t="shared" si="15"/>
        <v>0</v>
      </c>
      <c r="Y80" s="56">
        <f t="shared" si="15"/>
        <v>0</v>
      </c>
      <c r="Z80" s="56">
        <f t="shared" si="15"/>
        <v>0</v>
      </c>
      <c r="AA80" s="56">
        <f t="shared" si="15"/>
        <v>0</v>
      </c>
      <c r="AB80" s="56">
        <f t="shared" si="15"/>
        <v>0</v>
      </c>
      <c r="AC80" s="56">
        <f t="shared" si="15"/>
        <v>0</v>
      </c>
      <c r="AD80" s="56">
        <f t="shared" si="15"/>
        <v>0</v>
      </c>
      <c r="AE80" s="56">
        <f t="shared" si="15"/>
        <v>0</v>
      </c>
      <c r="AF80" s="56">
        <f t="shared" si="15"/>
        <v>0</v>
      </c>
      <c r="AG80" s="56">
        <f t="shared" si="15"/>
        <v>0</v>
      </c>
      <c r="AH80" s="56">
        <f t="shared" si="15"/>
        <v>0</v>
      </c>
      <c r="AI80" s="56">
        <f t="shared" si="15"/>
        <v>0</v>
      </c>
      <c r="AJ80" s="56">
        <f t="shared" si="15"/>
        <v>0</v>
      </c>
      <c r="AK80" s="56">
        <f t="shared" si="15"/>
        <v>0</v>
      </c>
      <c r="AL80" s="56">
        <f t="shared" si="15"/>
        <v>0</v>
      </c>
      <c r="AM80" s="56">
        <f t="shared" si="15"/>
        <v>0</v>
      </c>
      <c r="AN80" s="56">
        <f t="shared" si="15"/>
        <v>0</v>
      </c>
      <c r="AO80" s="56">
        <f t="shared" si="15"/>
        <v>0</v>
      </c>
      <c r="AP80" s="29"/>
    </row>
    <row r="81" spans="1:42" x14ac:dyDescent="0.25">
      <c r="A81" s="54"/>
      <c r="B81" s="13"/>
      <c r="C81" s="14" t="s">
        <v>214</v>
      </c>
      <c r="D81" s="14"/>
      <c r="E81" s="70" t="s">
        <v>474</v>
      </c>
      <c r="F81" s="200">
        <f>Data!$E$41/1000</f>
        <v>0</v>
      </c>
      <c r="G81" s="231">
        <f>SUM(I81:AO81)</f>
        <v>0</v>
      </c>
      <c r="H81" s="56"/>
      <c r="I81" s="56">
        <f>I$73*$F81</f>
        <v>0</v>
      </c>
      <c r="J81" s="56">
        <f>J$73*$F81</f>
        <v>0</v>
      </c>
      <c r="K81" s="56">
        <f t="shared" ref="K81:AO81" si="16">K$73*$F81</f>
        <v>0</v>
      </c>
      <c r="L81" s="56">
        <f t="shared" si="16"/>
        <v>0</v>
      </c>
      <c r="M81" s="56">
        <f t="shared" si="16"/>
        <v>0</v>
      </c>
      <c r="N81" s="56">
        <f t="shared" si="16"/>
        <v>0</v>
      </c>
      <c r="O81" s="56">
        <f t="shared" si="16"/>
        <v>0</v>
      </c>
      <c r="P81" s="56">
        <f t="shared" si="16"/>
        <v>0</v>
      </c>
      <c r="Q81" s="56">
        <f t="shared" si="16"/>
        <v>0</v>
      </c>
      <c r="R81" s="56">
        <f t="shared" si="16"/>
        <v>0</v>
      </c>
      <c r="S81" s="56">
        <f t="shared" si="16"/>
        <v>0</v>
      </c>
      <c r="T81" s="56">
        <f t="shared" si="16"/>
        <v>0</v>
      </c>
      <c r="U81" s="56">
        <f t="shared" si="16"/>
        <v>0</v>
      </c>
      <c r="V81" s="56">
        <f t="shared" si="16"/>
        <v>0</v>
      </c>
      <c r="W81" s="56">
        <f t="shared" si="16"/>
        <v>0</v>
      </c>
      <c r="X81" s="56">
        <f t="shared" si="16"/>
        <v>0</v>
      </c>
      <c r="Y81" s="56">
        <f t="shared" si="16"/>
        <v>0</v>
      </c>
      <c r="Z81" s="56">
        <f t="shared" si="16"/>
        <v>0</v>
      </c>
      <c r="AA81" s="56">
        <f t="shared" si="16"/>
        <v>0</v>
      </c>
      <c r="AB81" s="56">
        <f t="shared" si="16"/>
        <v>0</v>
      </c>
      <c r="AC81" s="56">
        <f t="shared" si="16"/>
        <v>0</v>
      </c>
      <c r="AD81" s="56">
        <f t="shared" si="16"/>
        <v>0</v>
      </c>
      <c r="AE81" s="56">
        <f t="shared" si="16"/>
        <v>0</v>
      </c>
      <c r="AF81" s="56">
        <f t="shared" si="16"/>
        <v>0</v>
      </c>
      <c r="AG81" s="56">
        <f t="shared" si="16"/>
        <v>0</v>
      </c>
      <c r="AH81" s="56">
        <f t="shared" si="16"/>
        <v>0</v>
      </c>
      <c r="AI81" s="56">
        <f t="shared" si="16"/>
        <v>0</v>
      </c>
      <c r="AJ81" s="56">
        <f t="shared" si="16"/>
        <v>0</v>
      </c>
      <c r="AK81" s="56">
        <f t="shared" si="16"/>
        <v>0</v>
      </c>
      <c r="AL81" s="56">
        <f t="shared" si="16"/>
        <v>0</v>
      </c>
      <c r="AM81" s="56">
        <f t="shared" si="16"/>
        <v>0</v>
      </c>
      <c r="AN81" s="56">
        <f t="shared" si="16"/>
        <v>0</v>
      </c>
      <c r="AO81" s="56">
        <f t="shared" si="16"/>
        <v>0</v>
      </c>
      <c r="AP81" s="29"/>
    </row>
    <row r="82" spans="1:42" x14ac:dyDescent="0.25">
      <c r="A82" s="12"/>
      <c r="B82" s="13"/>
      <c r="C82" s="20" t="s">
        <v>536</v>
      </c>
      <c r="D82" s="14"/>
      <c r="E82" s="70" t="s">
        <v>474</v>
      </c>
      <c r="F82" s="16"/>
      <c r="G82" s="231">
        <f>SUM(I82:AO82)</f>
        <v>4530969.8880414087</v>
      </c>
      <c r="H82" s="185"/>
      <c r="I82" s="185">
        <f>SUM(I75:I81)</f>
        <v>375856.85169255262</v>
      </c>
      <c r="J82" s="185">
        <f>SUM(J75:J81)</f>
        <v>376209.28214793216</v>
      </c>
      <c r="K82" s="185">
        <f t="shared" ref="K82:AO82" si="17">SUM(K75:K81)</f>
        <v>376526.46955777373</v>
      </c>
      <c r="L82" s="185">
        <f t="shared" si="17"/>
        <v>376878.90001315327</v>
      </c>
      <c r="M82" s="185">
        <f t="shared" si="17"/>
        <v>377231.33046853275</v>
      </c>
      <c r="N82" s="185">
        <f t="shared" si="17"/>
        <v>377583.76092391228</v>
      </c>
      <c r="O82" s="185">
        <f t="shared" si="17"/>
        <v>377900.94833375385</v>
      </c>
      <c r="P82" s="185">
        <f t="shared" si="17"/>
        <v>378112.40660698159</v>
      </c>
      <c r="Q82" s="185">
        <f t="shared" si="17"/>
        <v>378323.86488020926</v>
      </c>
      <c r="R82" s="185">
        <f t="shared" si="17"/>
        <v>378570.56619897496</v>
      </c>
      <c r="S82" s="185">
        <f t="shared" si="17"/>
        <v>378782.02447220264</v>
      </c>
      <c r="T82" s="185">
        <f t="shared" si="17"/>
        <v>378993.48274543037</v>
      </c>
      <c r="U82" s="185">
        <f t="shared" si="17"/>
        <v>0</v>
      </c>
      <c r="V82" s="185">
        <f t="shared" si="17"/>
        <v>0</v>
      </c>
      <c r="W82" s="185">
        <f t="shared" si="17"/>
        <v>0</v>
      </c>
      <c r="X82" s="185">
        <f t="shared" si="17"/>
        <v>0</v>
      </c>
      <c r="Y82" s="185">
        <f t="shared" si="17"/>
        <v>0</v>
      </c>
      <c r="Z82" s="185">
        <f t="shared" si="17"/>
        <v>0</v>
      </c>
      <c r="AA82" s="185">
        <f t="shared" si="17"/>
        <v>0</v>
      </c>
      <c r="AB82" s="185">
        <f t="shared" si="17"/>
        <v>0</v>
      </c>
      <c r="AC82" s="185">
        <f t="shared" si="17"/>
        <v>0</v>
      </c>
      <c r="AD82" s="185">
        <f t="shared" si="17"/>
        <v>0</v>
      </c>
      <c r="AE82" s="185">
        <f t="shared" si="17"/>
        <v>0</v>
      </c>
      <c r="AF82" s="185">
        <f t="shared" si="17"/>
        <v>0</v>
      </c>
      <c r="AG82" s="185">
        <f t="shared" si="17"/>
        <v>0</v>
      </c>
      <c r="AH82" s="185">
        <f t="shared" si="17"/>
        <v>0</v>
      </c>
      <c r="AI82" s="185">
        <f t="shared" si="17"/>
        <v>0</v>
      </c>
      <c r="AJ82" s="185">
        <f t="shared" si="17"/>
        <v>0</v>
      </c>
      <c r="AK82" s="185">
        <f t="shared" si="17"/>
        <v>0</v>
      </c>
      <c r="AL82" s="185">
        <f t="shared" si="17"/>
        <v>0</v>
      </c>
      <c r="AM82" s="185">
        <f t="shared" si="17"/>
        <v>0</v>
      </c>
      <c r="AN82" s="185">
        <f t="shared" si="17"/>
        <v>0</v>
      </c>
      <c r="AO82" s="185">
        <f t="shared" si="17"/>
        <v>0</v>
      </c>
      <c r="AP82" s="14"/>
    </row>
    <row r="83" spans="1:42" x14ac:dyDescent="0.25">
      <c r="A83" s="12"/>
      <c r="B83" s="13"/>
      <c r="C83" s="14"/>
      <c r="D83" s="14"/>
      <c r="E83" s="15"/>
      <c r="F83" s="16"/>
      <c r="G83" s="159"/>
      <c r="H83" s="159"/>
      <c r="I83" s="159"/>
      <c r="J83" s="159"/>
      <c r="K83" s="159"/>
      <c r="L83" s="159"/>
      <c r="M83" s="159"/>
      <c r="N83" s="159"/>
      <c r="O83" s="159"/>
      <c r="P83" s="159"/>
      <c r="Q83" s="159"/>
      <c r="R83" s="159"/>
      <c r="S83" s="159"/>
      <c r="T83" s="159"/>
      <c r="U83" s="159"/>
      <c r="V83" s="159"/>
      <c r="W83" s="159"/>
      <c r="X83" s="14"/>
      <c r="Y83" s="14"/>
      <c r="Z83" s="14"/>
      <c r="AA83" s="14"/>
      <c r="AB83" s="14"/>
      <c r="AC83" s="14"/>
      <c r="AD83" s="14"/>
      <c r="AE83" s="14"/>
      <c r="AF83" s="14"/>
      <c r="AG83" s="14"/>
      <c r="AH83" s="14"/>
      <c r="AI83" s="14"/>
      <c r="AJ83" s="14"/>
      <c r="AK83" s="14"/>
      <c r="AL83" s="14"/>
      <c r="AM83" s="14"/>
      <c r="AN83" s="14"/>
      <c r="AO83" s="14"/>
      <c r="AP83" s="14"/>
    </row>
    <row r="84" spans="1:42" x14ac:dyDescent="0.25">
      <c r="A84" s="12"/>
      <c r="B84" s="13"/>
      <c r="C84" s="14" t="s">
        <v>523</v>
      </c>
      <c r="D84" s="14"/>
      <c r="E84" s="15" t="s">
        <v>474</v>
      </c>
      <c r="F84" s="48"/>
      <c r="G84" s="185"/>
      <c r="H84" s="185"/>
      <c r="I84" s="185">
        <f>I82*Data!H$9</f>
        <v>361400.81893514673</v>
      </c>
      <c r="J84" s="185">
        <f>J82*Data!I$9</f>
        <v>347826.62920481892</v>
      </c>
      <c r="K84" s="185">
        <f>K82*Data!J$9</f>
        <v>334730.66038007592</v>
      </c>
      <c r="L84" s="185">
        <f>L82*Data!K$9</f>
        <v>322157.66324191634</v>
      </c>
      <c r="M84" s="185">
        <f>M82*Data!L$9</f>
        <v>310056.65603098192</v>
      </c>
      <c r="N84" s="185">
        <f>N82*Data!M$9</f>
        <v>298409.93093798647</v>
      </c>
      <c r="O84" s="185">
        <f>O82*Data!N$9</f>
        <v>287173.66226477217</v>
      </c>
      <c r="P84" s="185">
        <f>P82*Data!O$9</f>
        <v>276283.03189744882</v>
      </c>
      <c r="Q84" s="185">
        <f>Q82*Data!P$9</f>
        <v>265805.32921775279</v>
      </c>
      <c r="R84" s="185">
        <f>R82*Data!Q$9</f>
        <v>255748.70989612245</v>
      </c>
      <c r="S84" s="185">
        <f>S82*Data!R$9</f>
        <v>246049.58031607393</v>
      </c>
      <c r="T84" s="185">
        <f>T82*Data!S$9</f>
        <v>236718.21113286912</v>
      </c>
      <c r="U84" s="185">
        <f>U82*Data!T$9</f>
        <v>0</v>
      </c>
      <c r="V84" s="185">
        <f>V82*Data!U$9</f>
        <v>0</v>
      </c>
      <c r="W84" s="185">
        <f>W82*Data!V$9</f>
        <v>0</v>
      </c>
      <c r="X84" s="185">
        <f>X82*Data!W$9</f>
        <v>0</v>
      </c>
      <c r="Y84" s="185">
        <f>Y82*Data!X$9</f>
        <v>0</v>
      </c>
      <c r="Z84" s="185">
        <f>Z82*Data!Y$9</f>
        <v>0</v>
      </c>
      <c r="AA84" s="185">
        <f>AA82*Data!Z$9</f>
        <v>0</v>
      </c>
      <c r="AB84" s="185">
        <f>AB82*Data!AA$9</f>
        <v>0</v>
      </c>
      <c r="AC84" s="185">
        <f>AC82*Data!AB$9</f>
        <v>0</v>
      </c>
      <c r="AD84" s="185">
        <f>AD82*Data!AC$9</f>
        <v>0</v>
      </c>
      <c r="AE84" s="185">
        <f>AE82*Data!AD$9</f>
        <v>0</v>
      </c>
      <c r="AF84" s="185">
        <f>AF82*Data!AE$9</f>
        <v>0</v>
      </c>
      <c r="AG84" s="185">
        <f>AG82*Data!AF$9</f>
        <v>0</v>
      </c>
      <c r="AH84" s="185">
        <f>AH82*Data!AG$9</f>
        <v>0</v>
      </c>
      <c r="AI84" s="185">
        <f>AI82*Data!AH$9</f>
        <v>0</v>
      </c>
      <c r="AJ84" s="185">
        <f>AJ82*Data!AI$9</f>
        <v>0</v>
      </c>
      <c r="AK84" s="185">
        <f>AK82*Data!AJ$9</f>
        <v>0</v>
      </c>
      <c r="AL84" s="185">
        <f>AL82*Data!AK$9</f>
        <v>0</v>
      </c>
      <c r="AM84" s="185">
        <f>AM82*Data!AL$9</f>
        <v>0</v>
      </c>
      <c r="AN84" s="185">
        <f>AN82*Data!AM$9</f>
        <v>0</v>
      </c>
      <c r="AO84" s="185">
        <f>AO82*Data!AN$9</f>
        <v>0</v>
      </c>
      <c r="AP84" s="14"/>
    </row>
    <row r="85" spans="1:42" x14ac:dyDescent="0.25">
      <c r="A85" s="12"/>
      <c r="B85" s="13"/>
      <c r="C85" s="14" t="s">
        <v>489</v>
      </c>
      <c r="D85" s="13"/>
      <c r="E85" s="15" t="s">
        <v>142</v>
      </c>
      <c r="F85" s="16"/>
      <c r="G85" s="159">
        <f>SUM(H84:AO84)</f>
        <v>3542360.8834559657</v>
      </c>
      <c r="H85" s="14"/>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4"/>
      <c r="AL85" s="14"/>
      <c r="AM85" s="14"/>
      <c r="AN85" s="14"/>
      <c r="AO85" s="14"/>
      <c r="AP85" s="14"/>
    </row>
    <row r="86" spans="1:42" x14ac:dyDescent="0.25">
      <c r="A86" s="12"/>
      <c r="B86" s="13"/>
      <c r="C86" s="41" t="s">
        <v>62</v>
      </c>
      <c r="D86" s="41"/>
      <c r="E86" s="15" t="s">
        <v>261</v>
      </c>
      <c r="F86" s="16"/>
      <c r="G86" s="184">
        <f>G85/(SUM(H65:AO65))</f>
        <v>3.1538113278632172</v>
      </c>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7"/>
    </row>
    <row r="87" spans="1:42" x14ac:dyDescent="0.25">
      <c r="A87" s="12"/>
      <c r="B87" s="13"/>
      <c r="C87" s="14"/>
      <c r="D87" s="14"/>
      <c r="E87" s="15"/>
      <c r="F87" s="16"/>
      <c r="G87" s="14"/>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17"/>
    </row>
    <row r="88" spans="1:42" ht="18.75" x14ac:dyDescent="0.3">
      <c r="A88" s="12"/>
      <c r="B88" s="13"/>
      <c r="C88" s="205" t="s">
        <v>524</v>
      </c>
      <c r="D88" s="14"/>
      <c r="E88" s="15" t="s">
        <v>261</v>
      </c>
      <c r="F88" s="16"/>
      <c r="G88" s="204">
        <f>G56+G63+G86</f>
        <v>6.1098054305946174</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17"/>
    </row>
    <row r="89" spans="1:42" x14ac:dyDescent="0.25">
      <c r="A89" s="12"/>
      <c r="B89" s="13"/>
      <c r="C89" s="14"/>
      <c r="D89" s="14"/>
      <c r="E89" s="15"/>
      <c r="F89" s="16"/>
      <c r="G89" s="1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17"/>
    </row>
    <row r="90" spans="1:42" x14ac:dyDescent="0.25">
      <c r="A90" s="23"/>
      <c r="B90" s="23"/>
      <c r="C90" s="24" t="s">
        <v>525</v>
      </c>
      <c r="D90" s="24"/>
      <c r="E90" s="25"/>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7"/>
    </row>
    <row r="91" spans="1:42" x14ac:dyDescent="0.25">
      <c r="A91" s="12"/>
      <c r="B91" s="13"/>
      <c r="C91" s="13"/>
      <c r="D91" s="14"/>
      <c r="E91" s="15"/>
      <c r="F91" s="16"/>
      <c r="G91" s="14"/>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17"/>
    </row>
    <row r="92" spans="1:42" x14ac:dyDescent="0.25">
      <c r="A92" s="12"/>
      <c r="B92" s="13"/>
      <c r="C92" s="37" t="s">
        <v>537</v>
      </c>
      <c r="D92" s="37"/>
      <c r="E92" s="38"/>
      <c r="F92" s="39"/>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17"/>
    </row>
    <row r="93" spans="1:42" x14ac:dyDescent="0.25">
      <c r="A93" s="12"/>
      <c r="B93" s="13"/>
      <c r="C93" s="96" t="s">
        <v>526</v>
      </c>
      <c r="D93" s="14"/>
      <c r="E93" s="15" t="s">
        <v>142</v>
      </c>
      <c r="F93" s="16"/>
      <c r="G93" s="141">
        <f>G55</f>
        <v>3320172.5761879091</v>
      </c>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17"/>
    </row>
    <row r="94" spans="1:42" x14ac:dyDescent="0.25">
      <c r="A94" s="12"/>
      <c r="B94" s="13"/>
      <c r="C94" s="96" t="s">
        <v>527</v>
      </c>
      <c r="D94" s="14"/>
      <c r="E94" s="15" t="s">
        <v>474</v>
      </c>
      <c r="F94" s="16"/>
      <c r="G94" s="151">
        <f>G93/Dashboard!$I$31</f>
        <v>276681.04801565909</v>
      </c>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17"/>
    </row>
    <row r="95" spans="1:42" x14ac:dyDescent="0.25">
      <c r="A95" s="12"/>
      <c r="B95" s="13"/>
      <c r="C95" s="96" t="s">
        <v>528</v>
      </c>
      <c r="D95" s="14"/>
      <c r="E95" s="15" t="s">
        <v>529</v>
      </c>
      <c r="F95" s="16"/>
      <c r="G95" s="151">
        <f>SUM(I68:AB68)</f>
        <v>422916.54645542538</v>
      </c>
      <c r="H95" s="14"/>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17"/>
    </row>
    <row r="96" spans="1:42" x14ac:dyDescent="0.25">
      <c r="A96" s="12"/>
      <c r="B96" s="13"/>
      <c r="C96" s="96" t="s">
        <v>530</v>
      </c>
      <c r="D96" s="14"/>
      <c r="E96" s="15" t="s">
        <v>531</v>
      </c>
      <c r="F96" s="16"/>
      <c r="G96" s="151">
        <f>G95/Dashboard!$I$31</f>
        <v>35243.045537952115</v>
      </c>
      <c r="H96" s="14"/>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17"/>
    </row>
    <row r="97" spans="1:42" x14ac:dyDescent="0.25">
      <c r="A97" s="12"/>
      <c r="B97" s="13"/>
      <c r="C97" s="14"/>
      <c r="D97" s="14"/>
      <c r="E97" s="15"/>
      <c r="F97" s="16"/>
      <c r="G97" s="23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29"/>
    </row>
    <row r="98" spans="1:42" x14ac:dyDescent="0.25">
      <c r="A98" s="12"/>
      <c r="B98" s="13"/>
      <c r="C98" s="37" t="s">
        <v>538</v>
      </c>
      <c r="D98" s="37"/>
      <c r="E98" s="38"/>
      <c r="F98" s="39"/>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17"/>
    </row>
    <row r="99" spans="1:42" x14ac:dyDescent="0.25">
      <c r="A99" s="12"/>
      <c r="B99" s="13"/>
      <c r="C99" s="14" t="s">
        <v>539</v>
      </c>
      <c r="D99" s="14"/>
      <c r="E99" s="15" t="s">
        <v>142</v>
      </c>
      <c r="F99" s="16"/>
      <c r="G99" s="231">
        <f>'RE Diesel'!G94-'Diesel (BAU)'!$G$91</f>
        <v>121025.84079121175</v>
      </c>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17"/>
    </row>
    <row r="100" spans="1:42" x14ac:dyDescent="0.25">
      <c r="A100" s="12"/>
      <c r="B100" s="13"/>
      <c r="C100" s="14" t="s">
        <v>540</v>
      </c>
      <c r="D100" s="44"/>
      <c r="E100" s="15" t="s">
        <v>541</v>
      </c>
      <c r="F100" s="16"/>
      <c r="G100" s="231">
        <f>'Diesel (BAU)'!$G$93-'RE Diesel'!G96</f>
        <v>60008.428888945535</v>
      </c>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17"/>
    </row>
    <row r="101" spans="1:42" ht="18.75" x14ac:dyDescent="0.3">
      <c r="A101" s="12"/>
      <c r="B101" s="13"/>
      <c r="C101" s="221" t="s">
        <v>542</v>
      </c>
      <c r="D101" s="45"/>
      <c r="E101" s="15"/>
      <c r="F101" s="16"/>
      <c r="G101" s="220">
        <f>G99/G100</f>
        <v>2.0168140214966792</v>
      </c>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29"/>
    </row>
    <row r="102" spans="1:42" x14ac:dyDescent="0.25">
      <c r="A102" s="12"/>
      <c r="B102" s="13"/>
      <c r="C102" s="45"/>
      <c r="D102" s="45"/>
      <c r="E102" s="15"/>
      <c r="F102" s="16"/>
      <c r="G102" s="219"/>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29"/>
    </row>
    <row r="103" spans="1:42" x14ac:dyDescent="0.25">
      <c r="A103" s="12"/>
      <c r="B103" s="13"/>
      <c r="C103" s="14"/>
      <c r="D103" s="14"/>
      <c r="E103" s="15"/>
      <c r="F103" s="16"/>
      <c r="G103" s="14"/>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17"/>
    </row>
    <row r="104" spans="1:42" x14ac:dyDescent="0.25">
      <c r="A104" s="89"/>
      <c r="B104" s="89"/>
      <c r="C104" s="90" t="s">
        <v>173</v>
      </c>
      <c r="D104" s="91"/>
      <c r="E104" s="92"/>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3"/>
    </row>
    <row r="105" spans="1:42" x14ac:dyDescent="0.25">
      <c r="A105" s="23"/>
      <c r="B105" s="23"/>
      <c r="C105" s="24" t="s">
        <v>505</v>
      </c>
      <c r="D105" s="24"/>
      <c r="E105" s="25"/>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7"/>
    </row>
    <row r="106" spans="1:42" x14ac:dyDescent="0.25">
      <c r="A106" s="13"/>
      <c r="B106" s="13"/>
      <c r="C106" s="30"/>
      <c r="D106" s="30"/>
      <c r="E106" s="31"/>
      <c r="F106" s="16"/>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3"/>
    </row>
    <row r="107" spans="1:42" x14ac:dyDescent="0.25">
      <c r="A107" s="12"/>
      <c r="B107" s="13"/>
      <c r="C107" s="14"/>
      <c r="D107" s="14"/>
      <c r="E107" s="15"/>
      <c r="F107" s="16"/>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7"/>
    </row>
    <row r="108" spans="1:42" x14ac:dyDescent="0.25">
      <c r="A108" s="12"/>
      <c r="B108" s="13"/>
      <c r="C108" s="37" t="s">
        <v>506</v>
      </c>
      <c r="D108" s="37"/>
      <c r="E108" s="38"/>
      <c r="F108" s="39"/>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17"/>
    </row>
    <row r="109" spans="1:42" x14ac:dyDescent="0.25">
      <c r="A109" s="12"/>
      <c r="B109" s="13"/>
      <c r="C109" s="41" t="s">
        <v>507</v>
      </c>
      <c r="D109" s="41"/>
      <c r="E109" s="15" t="s">
        <v>465</v>
      </c>
      <c r="F109" s="16"/>
      <c r="G109" s="14"/>
      <c r="H109" s="141"/>
      <c r="I109" s="141">
        <f>Route!I18</f>
        <v>51480</v>
      </c>
      <c r="J109" s="141">
        <f>Route!J18</f>
        <v>51480</v>
      </c>
      <c r="K109" s="141">
        <f>Route!K18</f>
        <v>51480</v>
      </c>
      <c r="L109" s="141">
        <f>Route!L18</f>
        <v>51480</v>
      </c>
      <c r="M109" s="141">
        <f>Route!M18</f>
        <v>51480</v>
      </c>
      <c r="N109" s="141">
        <f>Route!N18</f>
        <v>51480</v>
      </c>
      <c r="O109" s="141">
        <f>Route!O18</f>
        <v>51480</v>
      </c>
      <c r="P109" s="141">
        <f>Route!P18</f>
        <v>51480</v>
      </c>
      <c r="Q109" s="141">
        <f>Route!Q18</f>
        <v>51480</v>
      </c>
      <c r="R109" s="141">
        <f>Route!R18</f>
        <v>51480</v>
      </c>
      <c r="S109" s="141">
        <f>Route!S18</f>
        <v>51480</v>
      </c>
      <c r="T109" s="141">
        <f>Route!T18</f>
        <v>51480</v>
      </c>
      <c r="U109" s="141">
        <f>Route!U18</f>
        <v>51480</v>
      </c>
      <c r="V109" s="141">
        <f>Route!V18</f>
        <v>51480</v>
      </c>
      <c r="W109" s="141">
        <f>Route!W18</f>
        <v>51480</v>
      </c>
      <c r="X109" s="141">
        <f>Route!X18</f>
        <v>51480</v>
      </c>
      <c r="Y109" s="141">
        <f>Route!Y18</f>
        <v>51480</v>
      </c>
      <c r="Z109" s="141">
        <f>Route!Z18</f>
        <v>51480</v>
      </c>
      <c r="AA109" s="141">
        <f>Route!AA18</f>
        <v>51480</v>
      </c>
      <c r="AB109" s="141">
        <f>Route!AB18</f>
        <v>51480</v>
      </c>
      <c r="AC109" s="141">
        <f>Route!AC18</f>
        <v>51480</v>
      </c>
      <c r="AD109" s="141">
        <f>Route!AD18</f>
        <v>51480</v>
      </c>
      <c r="AE109" s="141">
        <f>Route!AE18</f>
        <v>51480</v>
      </c>
      <c r="AF109" s="141">
        <f>Route!AF18</f>
        <v>51480</v>
      </c>
      <c r="AG109" s="141">
        <f>Route!AG18</f>
        <v>51480</v>
      </c>
      <c r="AH109" s="141">
        <f>Route!AH18</f>
        <v>51480</v>
      </c>
      <c r="AI109" s="141">
        <f>Route!AI18</f>
        <v>51480</v>
      </c>
      <c r="AJ109" s="141">
        <f>Route!AJ18</f>
        <v>51480</v>
      </c>
      <c r="AK109" s="141">
        <f>Route!AK18</f>
        <v>51480</v>
      </c>
      <c r="AL109" s="141">
        <f>Route!AL18</f>
        <v>51480</v>
      </c>
      <c r="AM109" s="141">
        <f>Route!AM18</f>
        <v>51480</v>
      </c>
      <c r="AN109" s="141">
        <f>Route!AN18</f>
        <v>51480</v>
      </c>
      <c r="AO109" s="141">
        <f>Route!AO18</f>
        <v>51480</v>
      </c>
      <c r="AP109" s="17"/>
    </row>
    <row r="110" spans="1:42" x14ac:dyDescent="0.25">
      <c r="A110" s="12"/>
      <c r="B110" s="13"/>
      <c r="C110" s="41" t="s">
        <v>534</v>
      </c>
      <c r="D110" s="41"/>
      <c r="E110" s="15" t="s">
        <v>465</v>
      </c>
      <c r="F110" s="16"/>
      <c r="G110" s="14"/>
      <c r="H110" s="141"/>
      <c r="I110" s="159">
        <f>IF(COUNT($I$3:I3)&lt;=(Dashboard!$I$31),I109,0)</f>
        <v>51480</v>
      </c>
      <c r="J110" s="159">
        <f>IF(COUNT($I$3:J3)&lt;=(Dashboard!$I$31),J109,0)</f>
        <v>51480</v>
      </c>
      <c r="K110" s="159">
        <f>IF(COUNT($I$3:K3)&lt;=(Dashboard!$I$31),K109,0)</f>
        <v>51480</v>
      </c>
      <c r="L110" s="159">
        <f>IF(COUNT($I$3:L3)&lt;=(Dashboard!$I$31),L109,0)</f>
        <v>51480</v>
      </c>
      <c r="M110" s="159">
        <f>IF(COUNT($I$3:M3)&lt;=(Dashboard!$I$31),M109,0)</f>
        <v>51480</v>
      </c>
      <c r="N110" s="159">
        <f>IF(COUNT($I$3:N3)&lt;=(Dashboard!$I$31),N109,0)</f>
        <v>51480</v>
      </c>
      <c r="O110" s="159">
        <f>IF(COUNT($I$3:O3)&lt;=(Dashboard!$I$31),O109,0)</f>
        <v>51480</v>
      </c>
      <c r="P110" s="159">
        <f>IF(COUNT($I$3:P3)&lt;=(Dashboard!$I$31),P109,0)</f>
        <v>51480</v>
      </c>
      <c r="Q110" s="159">
        <f>IF(COUNT($I$3:Q3)&lt;=(Dashboard!$I$31),Q109,0)</f>
        <v>51480</v>
      </c>
      <c r="R110" s="159">
        <f>IF(COUNT($I$3:R3)&lt;=(Dashboard!$I$31),R109,0)</f>
        <v>51480</v>
      </c>
      <c r="S110" s="159">
        <f>IF(COUNT($I$3:S3)&lt;=(Dashboard!$I$31),S109,0)</f>
        <v>51480</v>
      </c>
      <c r="T110" s="159">
        <f>IF(COUNT($I$3:T3)&lt;=(Dashboard!$I$31),T109,0)</f>
        <v>51480</v>
      </c>
      <c r="U110" s="159">
        <f>IF(COUNT($I$3:U3)&lt;=(Dashboard!$I$31),U109,0)</f>
        <v>0</v>
      </c>
      <c r="V110" s="159">
        <f>IF(COUNT($I$3:V3)&lt;=(Dashboard!$I$31),V109,0)</f>
        <v>0</v>
      </c>
      <c r="W110" s="159">
        <f>IF(COUNT($I$3:W3)&lt;=(Dashboard!$I$31),W109,0)</f>
        <v>0</v>
      </c>
      <c r="X110" s="159">
        <f>IF(COUNT($I$3:X3)&lt;=(Dashboard!$I$31),X109,0)</f>
        <v>0</v>
      </c>
      <c r="Y110" s="159">
        <f>IF(COUNT($I$3:Y3)&lt;=(Dashboard!$I$31),Y109,0)</f>
        <v>0</v>
      </c>
      <c r="Z110" s="159">
        <f>IF(COUNT($I$3:Z3)&lt;=(Dashboard!$I$31),Z109,0)</f>
        <v>0</v>
      </c>
      <c r="AA110" s="159">
        <f>IF(COUNT($I$3:AA3)&lt;=(Dashboard!$I$31),AA109,0)</f>
        <v>0</v>
      </c>
      <c r="AB110" s="159">
        <f>IF(COUNT($I$3:AB3)&lt;=(Dashboard!$I$31),AB109,0)</f>
        <v>0</v>
      </c>
      <c r="AC110" s="159">
        <f>IF(COUNT($I$3:AC3)&lt;=(Dashboard!$I$31),AC109,0)</f>
        <v>0</v>
      </c>
      <c r="AD110" s="159">
        <f>IF(COUNT($I$3:AD3)&lt;=(Dashboard!$I$31),AD109,0)</f>
        <v>0</v>
      </c>
      <c r="AE110" s="159">
        <f>IF(COUNT($I$3:AE3)&lt;=(Dashboard!$I$31),AE109,0)</f>
        <v>0</v>
      </c>
      <c r="AF110" s="159">
        <f>IF(COUNT($I$3:AF3)&lt;=(Dashboard!$I$31),AF109,0)</f>
        <v>0</v>
      </c>
      <c r="AG110" s="159">
        <f>IF(COUNT($I$3:AG3)&lt;=(Dashboard!$I$31),AG109,0)</f>
        <v>0</v>
      </c>
      <c r="AH110" s="159">
        <f>IF(COUNT($I$3:AH3)&lt;=(Dashboard!$I$31),AH109,0)</f>
        <v>0</v>
      </c>
      <c r="AI110" s="159">
        <f>IF(COUNT($I$3:AI3)&lt;=(Dashboard!$I$31),AI109,0)</f>
        <v>0</v>
      </c>
      <c r="AJ110" s="159">
        <f>IF(COUNT($I$3:AJ3)&lt;=(Dashboard!$I$31),AJ109,0)</f>
        <v>0</v>
      </c>
      <c r="AK110" s="159">
        <f>IF(COUNT($I$3:AK3)&lt;=(Dashboard!$I$31),AK109,0)</f>
        <v>0</v>
      </c>
      <c r="AL110" s="159">
        <f>IF(COUNT($I$3:AL3)&lt;=(Dashboard!$I$31),AL109,0)</f>
        <v>0</v>
      </c>
      <c r="AM110" s="159">
        <f>IF(COUNT($I$3:AM3)&lt;=(Dashboard!$I$31),AM109,0)</f>
        <v>0</v>
      </c>
      <c r="AN110" s="159">
        <f>IF(COUNT($I$3:AN3)&lt;=(Dashboard!$I$31),AN109,0)</f>
        <v>0</v>
      </c>
      <c r="AO110" s="159">
        <f>IF(COUNT($I$3:AO3)&lt;=(Dashboard!$I$31),AO109,0)</f>
        <v>0</v>
      </c>
      <c r="AP110" s="17"/>
    </row>
    <row r="111" spans="1:42" x14ac:dyDescent="0.25">
      <c r="A111" s="12"/>
      <c r="B111" s="13"/>
      <c r="C111" s="14"/>
      <c r="D111" s="14"/>
      <c r="E111" s="15"/>
      <c r="F111" s="16"/>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7"/>
    </row>
    <row r="112" spans="1:42" x14ac:dyDescent="0.25">
      <c r="A112" s="12"/>
      <c r="B112" s="13"/>
      <c r="C112" s="37" t="s">
        <v>508</v>
      </c>
      <c r="D112" s="37"/>
      <c r="E112" s="38"/>
      <c r="F112" s="39"/>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17"/>
    </row>
    <row r="113" spans="1:42" x14ac:dyDescent="0.25">
      <c r="A113" s="12"/>
      <c r="B113" s="13"/>
      <c r="C113" s="95" t="s">
        <v>254</v>
      </c>
      <c r="D113" s="14"/>
      <c r="E113" s="15"/>
      <c r="F113" s="16"/>
      <c r="G113" s="14"/>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29"/>
    </row>
    <row r="114" spans="1:42" x14ac:dyDescent="0.25">
      <c r="A114" s="12"/>
      <c r="B114" s="13"/>
      <c r="C114" s="96" t="s">
        <v>120</v>
      </c>
      <c r="D114" s="14"/>
      <c r="E114" s="15" t="s">
        <v>142</v>
      </c>
      <c r="F114" s="158" t="str">
        <f>Dashboard!$I$53</f>
        <v>3 Axle rigid</v>
      </c>
      <c r="G114" s="14"/>
      <c r="H114" s="150">
        <f>IF(C114=F114,Data!$E$144,0)</f>
        <v>0</v>
      </c>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29"/>
    </row>
    <row r="115" spans="1:42" x14ac:dyDescent="0.25">
      <c r="A115" s="12"/>
      <c r="B115" s="13"/>
      <c r="C115" s="96" t="s">
        <v>124</v>
      </c>
      <c r="D115" s="14"/>
      <c r="E115" s="15" t="s">
        <v>142</v>
      </c>
      <c r="F115" s="158" t="str">
        <f>Dashboard!$I$53</f>
        <v>3 Axle rigid</v>
      </c>
      <c r="G115" s="14"/>
      <c r="H115" s="150">
        <f>IF(C115=F115,Data!$E$145,0)</f>
        <v>0</v>
      </c>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29"/>
    </row>
    <row r="116" spans="1:42" x14ac:dyDescent="0.25">
      <c r="A116" s="12"/>
      <c r="B116" s="13"/>
      <c r="C116" s="96" t="s">
        <v>126</v>
      </c>
      <c r="D116" s="14"/>
      <c r="E116" s="15" t="s">
        <v>142</v>
      </c>
      <c r="F116" s="158" t="str">
        <f>Dashboard!$I$53</f>
        <v>3 Axle rigid</v>
      </c>
      <c r="G116" s="14"/>
      <c r="H116" s="150">
        <f>IF(C116=F116,Data!$E$146,0)</f>
        <v>0</v>
      </c>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29"/>
    </row>
    <row r="117" spans="1:42" x14ac:dyDescent="0.25">
      <c r="A117" s="12"/>
      <c r="B117" s="13"/>
      <c r="C117" s="20" t="s">
        <v>509</v>
      </c>
      <c r="D117" s="14"/>
      <c r="E117" s="15" t="s">
        <v>142</v>
      </c>
      <c r="F117" s="16"/>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7"/>
    </row>
    <row r="118" spans="1:42" x14ac:dyDescent="0.25">
      <c r="A118" s="12"/>
      <c r="B118" s="13"/>
      <c r="C118" s="45"/>
      <c r="D118" s="45"/>
      <c r="E118" s="15"/>
      <c r="F118" s="16"/>
      <c r="G118" s="14"/>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9"/>
    </row>
    <row r="119" spans="1:42" x14ac:dyDescent="0.25">
      <c r="A119" s="12"/>
      <c r="B119" s="13"/>
      <c r="C119" s="19" t="s">
        <v>510</v>
      </c>
      <c r="D119" s="45"/>
      <c r="E119" s="15"/>
      <c r="F119" s="16"/>
      <c r="G119" s="14"/>
      <c r="H119" s="182">
        <f>SUM(H114:H118)</f>
        <v>0</v>
      </c>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9"/>
    </row>
    <row r="120" spans="1:42" x14ac:dyDescent="0.25">
      <c r="A120" s="12"/>
      <c r="B120" s="13"/>
      <c r="C120" s="14"/>
      <c r="D120" s="14"/>
      <c r="E120" s="15"/>
      <c r="F120" s="16"/>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7"/>
    </row>
    <row r="121" spans="1:42" x14ac:dyDescent="0.25">
      <c r="A121" s="12"/>
      <c r="B121" s="13"/>
      <c r="C121" s="37" t="s">
        <v>472</v>
      </c>
      <c r="D121" s="37"/>
      <c r="E121" s="38"/>
      <c r="F121" s="39"/>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17"/>
    </row>
    <row r="122" spans="1:42" x14ac:dyDescent="0.25">
      <c r="A122" s="12"/>
      <c r="B122" s="13"/>
      <c r="C122" s="44" t="s">
        <v>258</v>
      </c>
      <c r="D122" s="44"/>
      <c r="E122" s="15"/>
      <c r="F122" s="16"/>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7"/>
    </row>
    <row r="123" spans="1:42" x14ac:dyDescent="0.25">
      <c r="A123" s="12"/>
      <c r="B123" s="13"/>
      <c r="C123" s="45" t="s">
        <v>120</v>
      </c>
      <c r="D123" s="45"/>
      <c r="E123" s="15" t="s">
        <v>474</v>
      </c>
      <c r="F123" s="158" t="str">
        <f>Dashboard!$I$53</f>
        <v>3 Axle rigid</v>
      </c>
      <c r="G123" s="14"/>
      <c r="H123" s="177"/>
      <c r="I123" s="177">
        <f>IF($C$123=$F$123,Data!$E$151*I$110,0)</f>
        <v>0</v>
      </c>
      <c r="J123" s="177">
        <f>IF($C$123=$F$123,Data!$E$151*J$110,0)</f>
        <v>0</v>
      </c>
      <c r="K123" s="177">
        <f>IF($C$123=$F$123,Data!$E$151*K$110,0)</f>
        <v>0</v>
      </c>
      <c r="L123" s="177">
        <f>IF($C$123=$F$123,Data!$E$151*L$110,0)</f>
        <v>0</v>
      </c>
      <c r="M123" s="177">
        <f>IF($C$123=$F$123,Data!$E$151*M$110,0)</f>
        <v>0</v>
      </c>
      <c r="N123" s="177">
        <f>IF($C$123=$F$123,Data!$E$151*N$110,0)</f>
        <v>0</v>
      </c>
      <c r="O123" s="177">
        <f>IF($C$123=$F$123,Data!$E$151*O$110,0)</f>
        <v>0</v>
      </c>
      <c r="P123" s="177">
        <f>IF($C$123=$F$123,Data!$E$151*P$110,0)</f>
        <v>0</v>
      </c>
      <c r="Q123" s="177">
        <f>IF($C$123=$F$123,Data!$E$151*Q$110,0)</f>
        <v>0</v>
      </c>
      <c r="R123" s="177">
        <f>IF($C$123=$F$123,Data!$E$151*R$110,0)</f>
        <v>0</v>
      </c>
      <c r="S123" s="177">
        <f>IF($C$123=$F$123,Data!$E$151*S$110,0)</f>
        <v>0</v>
      </c>
      <c r="T123" s="177">
        <f>IF($C$123=$F$123,Data!$E$151*T$110,0)</f>
        <v>0</v>
      </c>
      <c r="U123" s="177">
        <f>IF($C$123=$F$123,Data!$E$151*U$110,0)</f>
        <v>0</v>
      </c>
      <c r="V123" s="177">
        <f>IF($C$123=$F$123,Data!$E$151*V$110,0)</f>
        <v>0</v>
      </c>
      <c r="W123" s="177">
        <f>IF($C$123=$F$123,Data!$E$151*W$110,0)</f>
        <v>0</v>
      </c>
      <c r="X123" s="177">
        <f>IF($C$123=$F$123,Data!$E$151*X$110,0)</f>
        <v>0</v>
      </c>
      <c r="Y123" s="177">
        <f>IF($C$123=$F$123,Data!$E$151*Y$110,0)</f>
        <v>0</v>
      </c>
      <c r="Z123" s="177">
        <f>IF($C$123=$F$123,Data!$E$151*Z$110,0)</f>
        <v>0</v>
      </c>
      <c r="AA123" s="177">
        <f>IF($C$123=$F$123,Data!$E$151*AA$110,0)</f>
        <v>0</v>
      </c>
      <c r="AB123" s="177">
        <f>IF($C$123=$F$123,Data!$E$151*AB$110,0)</f>
        <v>0</v>
      </c>
      <c r="AC123" s="177">
        <f>IF($C$123=$F$123,Data!$E$151*AC$110,0)</f>
        <v>0</v>
      </c>
      <c r="AD123" s="177">
        <f>IF($C$123=$F$123,Data!$E$151*AD$110,0)</f>
        <v>0</v>
      </c>
      <c r="AE123" s="177">
        <f>IF($C$123=$F$123,Data!$E$151*AE$110,0)</f>
        <v>0</v>
      </c>
      <c r="AF123" s="177">
        <f>IF($C$123=$F$123,Data!$E$151*AF$110,0)</f>
        <v>0</v>
      </c>
      <c r="AG123" s="177">
        <f>IF($C$123=$F$123,Data!$E$151*AG$110,0)</f>
        <v>0</v>
      </c>
      <c r="AH123" s="177">
        <f>IF($C$123=$F$123,Data!$E$151*AH$110,0)</f>
        <v>0</v>
      </c>
      <c r="AI123" s="177">
        <f>IF($C$123=$F$123,Data!$E$151*AI$110,0)</f>
        <v>0</v>
      </c>
      <c r="AJ123" s="177">
        <f>IF($C$123=$F$123,Data!$E$151*AJ$110,0)</f>
        <v>0</v>
      </c>
      <c r="AK123" s="177">
        <f>IF($C$123=$F$123,Data!$E$151*AK$110,0)</f>
        <v>0</v>
      </c>
      <c r="AL123" s="177">
        <f>IF($C$123=$F$123,Data!$E$151*AL$110,0)</f>
        <v>0</v>
      </c>
      <c r="AM123" s="177">
        <f>IF($C$123=$F$123,Data!$E$151*AM$110,0)</f>
        <v>0</v>
      </c>
      <c r="AN123" s="177">
        <f>IF($C$123=$F$123,Data!$E$151*AN$110,0)</f>
        <v>0</v>
      </c>
      <c r="AO123" s="177">
        <f>IF($C$123=$F$123,Data!$E$151*AO$110,0)</f>
        <v>0</v>
      </c>
      <c r="AP123" s="29"/>
    </row>
    <row r="124" spans="1:42" x14ac:dyDescent="0.25">
      <c r="A124" s="12"/>
      <c r="B124" s="13"/>
      <c r="C124" s="45" t="s">
        <v>124</v>
      </c>
      <c r="D124" s="45"/>
      <c r="E124" s="15" t="s">
        <v>474</v>
      </c>
      <c r="F124" s="158" t="str">
        <f>Dashboard!$I$53</f>
        <v>3 Axle rigid</v>
      </c>
      <c r="G124" s="14"/>
      <c r="H124" s="177"/>
      <c r="I124" s="177">
        <f>IF($C$124=$F$124,Data!$E$152*I$110,0)</f>
        <v>44125.714285714283</v>
      </c>
      <c r="J124" s="177">
        <f>IF($C$124=$F$124,Data!$E$152*J$110,0)</f>
        <v>44125.714285714283</v>
      </c>
      <c r="K124" s="177">
        <f>IF($C$124=$F$124,Data!$E$152*K$110,0)</f>
        <v>44125.714285714283</v>
      </c>
      <c r="L124" s="177">
        <f>IF($C$124=$F$124,Data!$E$152*L$110,0)</f>
        <v>44125.714285714283</v>
      </c>
      <c r="M124" s="177">
        <f>IF($C$124=$F$124,Data!$E$152*M$110,0)</f>
        <v>44125.714285714283</v>
      </c>
      <c r="N124" s="177">
        <f>IF($C$124=$F$124,Data!$E$152*N$110,0)</f>
        <v>44125.714285714283</v>
      </c>
      <c r="O124" s="177">
        <f>IF($C$124=$F$124,Data!$E$152*O$110,0)</f>
        <v>44125.714285714283</v>
      </c>
      <c r="P124" s="177">
        <f>IF($C$124=$F$124,Data!$E$152*P$110,0)</f>
        <v>44125.714285714283</v>
      </c>
      <c r="Q124" s="177">
        <f>IF($C$124=$F$124,Data!$E$152*Q$110,0)</f>
        <v>44125.714285714283</v>
      </c>
      <c r="R124" s="177">
        <f>IF($C$124=$F$124,Data!$E$152*R$110,0)</f>
        <v>44125.714285714283</v>
      </c>
      <c r="S124" s="177">
        <f>IF($C$124=$F$124,Data!$E$152*S$110,0)</f>
        <v>44125.714285714283</v>
      </c>
      <c r="T124" s="177">
        <f>IF($C$124=$F$124,Data!$E$152*T$110,0)</f>
        <v>44125.714285714283</v>
      </c>
      <c r="U124" s="177">
        <f>IF($C$124=$F$124,Data!$E$152*U$110,0)</f>
        <v>0</v>
      </c>
      <c r="V124" s="177">
        <f>IF($C$124=$F$124,Data!$E$152*V$110,0)</f>
        <v>0</v>
      </c>
      <c r="W124" s="177">
        <f>IF($C$124=$F$124,Data!$E$152*W$110,0)</f>
        <v>0</v>
      </c>
      <c r="X124" s="177">
        <f>IF($C$124=$F$124,Data!$E$152*X$110,0)</f>
        <v>0</v>
      </c>
      <c r="Y124" s="177">
        <f>IF($C$124=$F$124,Data!$E$152*Y$110,0)</f>
        <v>0</v>
      </c>
      <c r="Z124" s="177">
        <f>IF($C$124=$F$124,Data!$E$152*Z$110,0)</f>
        <v>0</v>
      </c>
      <c r="AA124" s="177">
        <f>IF($C$124=$F$124,Data!$E$152*AA$110,0)</f>
        <v>0</v>
      </c>
      <c r="AB124" s="177">
        <f>IF($C$124=$F$124,Data!$E$152*AB$110,0)</f>
        <v>0</v>
      </c>
      <c r="AC124" s="177">
        <f>IF($C$124=$F$124,Data!$E$152*AC$110,0)</f>
        <v>0</v>
      </c>
      <c r="AD124" s="177">
        <f>IF($C$124=$F$124,Data!$E$152*AD$110,0)</f>
        <v>0</v>
      </c>
      <c r="AE124" s="177">
        <f>IF($C$124=$F$124,Data!$E$152*AE$110,0)</f>
        <v>0</v>
      </c>
      <c r="AF124" s="177">
        <f>IF($C$124=$F$124,Data!$E$152*AF$110,0)</f>
        <v>0</v>
      </c>
      <c r="AG124" s="177">
        <f>IF($C$124=$F$124,Data!$E$152*AG$110,0)</f>
        <v>0</v>
      </c>
      <c r="AH124" s="177">
        <f>IF($C$124=$F$124,Data!$E$152*AH$110,0)</f>
        <v>0</v>
      </c>
      <c r="AI124" s="177">
        <f>IF($C$124=$F$124,Data!$E$152*AI$110,0)</f>
        <v>0</v>
      </c>
      <c r="AJ124" s="177">
        <f>IF($C$124=$F$124,Data!$E$152*AJ$110,0)</f>
        <v>0</v>
      </c>
      <c r="AK124" s="177">
        <f>IF($C$124=$F$124,Data!$E$152*AK$110,0)</f>
        <v>0</v>
      </c>
      <c r="AL124" s="177">
        <f>IF($C$124=$F$124,Data!$E$152*AL$110,0)</f>
        <v>0</v>
      </c>
      <c r="AM124" s="177">
        <f>IF($C$124=$F$124,Data!$E$152*AM$110,0)</f>
        <v>0</v>
      </c>
      <c r="AN124" s="177">
        <f>IF($C$124=$F$124,Data!$E$152*AN$110,0)</f>
        <v>0</v>
      </c>
      <c r="AO124" s="177">
        <f>IF($C$124=$F$124,Data!$E$152*AO$110,0)</f>
        <v>0</v>
      </c>
      <c r="AP124" s="29"/>
    </row>
    <row r="125" spans="1:42" x14ac:dyDescent="0.25">
      <c r="A125" s="12"/>
      <c r="B125" s="13"/>
      <c r="C125" s="45" t="s">
        <v>126</v>
      </c>
      <c r="D125" s="45"/>
      <c r="E125" s="15" t="s">
        <v>474</v>
      </c>
      <c r="F125" s="158" t="str">
        <f>Dashboard!$I$53</f>
        <v>3 Axle rigid</v>
      </c>
      <c r="G125" s="14"/>
      <c r="H125" s="177"/>
      <c r="I125" s="177">
        <f>IF($C$125=$F$125,Data!$E$153*I$110,0)</f>
        <v>0</v>
      </c>
      <c r="J125" s="177">
        <f>IF($C$125=$F$125,Data!$E$153*J$110,0)</f>
        <v>0</v>
      </c>
      <c r="K125" s="177">
        <f>IF($C$125=$F$125,Data!$E$153*K$110,0)</f>
        <v>0</v>
      </c>
      <c r="L125" s="177">
        <f>IF($C$125=$F$125,Data!$E$153*L$110,0)</f>
        <v>0</v>
      </c>
      <c r="M125" s="177">
        <f>IF($C$125=$F$125,Data!$E$153*M$110,0)</f>
        <v>0</v>
      </c>
      <c r="N125" s="177">
        <f>IF($C$125=$F$125,Data!$E$153*N$110,0)</f>
        <v>0</v>
      </c>
      <c r="O125" s="177">
        <f>IF($C$125=$F$125,Data!$E$153*O$110,0)</f>
        <v>0</v>
      </c>
      <c r="P125" s="177">
        <f>IF($C$125=$F$125,Data!$E$153*P$110,0)</f>
        <v>0</v>
      </c>
      <c r="Q125" s="177">
        <f>IF($C$125=$F$125,Data!$E$153*Q$110,0)</f>
        <v>0</v>
      </c>
      <c r="R125" s="177">
        <f>IF($C$125=$F$125,Data!$E$153*R$110,0)</f>
        <v>0</v>
      </c>
      <c r="S125" s="177">
        <f>IF($C$125=$F$125,Data!$E$153*S$110,0)</f>
        <v>0</v>
      </c>
      <c r="T125" s="177">
        <f>IF($C$125=$F$125,Data!$E$153*T$110,0)</f>
        <v>0</v>
      </c>
      <c r="U125" s="177">
        <f>IF($C$125=$F$125,Data!$E$153*U$110,0)</f>
        <v>0</v>
      </c>
      <c r="V125" s="177">
        <f>IF($C$125=$F$125,Data!$E$153*V$110,0)</f>
        <v>0</v>
      </c>
      <c r="W125" s="177">
        <f>IF($C$125=$F$125,Data!$E$153*W$110,0)</f>
        <v>0</v>
      </c>
      <c r="X125" s="177">
        <f>IF($C$125=$F$125,Data!$E$153*X$110,0)</f>
        <v>0</v>
      </c>
      <c r="Y125" s="177">
        <f>IF($C$125=$F$125,Data!$E$153*Y$110,0)</f>
        <v>0</v>
      </c>
      <c r="Z125" s="177">
        <f>IF($C$125=$F$125,Data!$E$153*Z$110,0)</f>
        <v>0</v>
      </c>
      <c r="AA125" s="177">
        <f>IF($C$125=$F$125,Data!$E$153*AA$110,0)</f>
        <v>0</v>
      </c>
      <c r="AB125" s="177">
        <f>IF($C$125=$F$125,Data!$E$153*AB$110,0)</f>
        <v>0</v>
      </c>
      <c r="AC125" s="177">
        <f>IF($C$125=$F$125,Data!$E$153*AC$110,0)</f>
        <v>0</v>
      </c>
      <c r="AD125" s="177">
        <f>IF($C$125=$F$125,Data!$E$153*AD$110,0)</f>
        <v>0</v>
      </c>
      <c r="AE125" s="177">
        <f>IF($C$125=$F$125,Data!$E$153*AE$110,0)</f>
        <v>0</v>
      </c>
      <c r="AF125" s="177">
        <f>IF($C$125=$F$125,Data!$E$153*AF$110,0)</f>
        <v>0</v>
      </c>
      <c r="AG125" s="177">
        <f>IF($C$125=$F$125,Data!$E$153*AG$110,0)</f>
        <v>0</v>
      </c>
      <c r="AH125" s="177">
        <f>IF($C$125=$F$125,Data!$E$153*AH$110,0)</f>
        <v>0</v>
      </c>
      <c r="AI125" s="177">
        <f>IF($C$125=$F$125,Data!$E$153*AI$110,0)</f>
        <v>0</v>
      </c>
      <c r="AJ125" s="177">
        <f>IF($C$125=$F$125,Data!$E$153*AJ$110,0)</f>
        <v>0</v>
      </c>
      <c r="AK125" s="177">
        <f>IF($C$125=$F$125,Data!$E$153*AK$110,0)</f>
        <v>0</v>
      </c>
      <c r="AL125" s="177">
        <f>IF($C$125=$F$125,Data!$E$153*AL$110,0)</f>
        <v>0</v>
      </c>
      <c r="AM125" s="177">
        <f>IF($C$125=$F$125,Data!$E$153*AM$110,0)</f>
        <v>0</v>
      </c>
      <c r="AN125" s="177">
        <f>IF($C$125=$F$125,Data!$E$153*AN$110,0)</f>
        <v>0</v>
      </c>
      <c r="AO125" s="177">
        <f>IF($C$125=$F$125,Data!$E$153*AO$110,0)</f>
        <v>0</v>
      </c>
      <c r="AP125" s="29"/>
    </row>
    <row r="126" spans="1:42" x14ac:dyDescent="0.25">
      <c r="A126" s="12"/>
      <c r="B126" s="13"/>
      <c r="C126" s="45"/>
      <c r="D126" s="45"/>
      <c r="E126" s="15"/>
      <c r="F126" s="16"/>
      <c r="G126" s="14"/>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9"/>
    </row>
    <row r="127" spans="1:42" x14ac:dyDescent="0.25">
      <c r="A127" s="12"/>
      <c r="B127" s="13"/>
      <c r="C127" s="44" t="s">
        <v>532</v>
      </c>
      <c r="D127" s="45"/>
      <c r="E127" s="15" t="s">
        <v>318</v>
      </c>
      <c r="F127" s="16"/>
      <c r="G127" s="14"/>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9"/>
    </row>
    <row r="128" spans="1:42" x14ac:dyDescent="0.25">
      <c r="A128" s="12"/>
      <c r="B128" s="13"/>
      <c r="C128" s="44" t="s">
        <v>260</v>
      </c>
      <c r="D128" s="14"/>
      <c r="E128" s="15" t="s">
        <v>318</v>
      </c>
      <c r="F128" s="16"/>
      <c r="G128" s="14"/>
      <c r="H128" s="151"/>
      <c r="I128" s="151">
        <f>Data!$E$155*I$110</f>
        <v>18553.392</v>
      </c>
      <c r="J128" s="151">
        <f>Data!$E$155*J$110</f>
        <v>18553.392</v>
      </c>
      <c r="K128" s="151">
        <f>Data!$E$155*K$110</f>
        <v>18553.392</v>
      </c>
      <c r="L128" s="151">
        <f>Data!$E$155*L$110</f>
        <v>18553.392</v>
      </c>
      <c r="M128" s="151">
        <f>Data!$E$155*M$110</f>
        <v>18553.392</v>
      </c>
      <c r="N128" s="151">
        <f>Data!$E$155*N$110</f>
        <v>18553.392</v>
      </c>
      <c r="O128" s="151">
        <f>Data!$E$155*O$110</f>
        <v>18553.392</v>
      </c>
      <c r="P128" s="151">
        <f>Data!$E$155*P$110</f>
        <v>18553.392</v>
      </c>
      <c r="Q128" s="151">
        <f>Data!$E$155*Q$110</f>
        <v>18553.392</v>
      </c>
      <c r="R128" s="151">
        <f>Data!$E$155*R$110</f>
        <v>18553.392</v>
      </c>
      <c r="S128" s="151">
        <f>Data!$E$155*S$110</f>
        <v>18553.392</v>
      </c>
      <c r="T128" s="151">
        <f>Data!$E$155*T$110</f>
        <v>18553.392</v>
      </c>
      <c r="U128" s="151">
        <f>Data!$E$155*U$110</f>
        <v>0</v>
      </c>
      <c r="V128" s="151">
        <f>Data!$E$155*V$110</f>
        <v>0</v>
      </c>
      <c r="W128" s="151">
        <f>Data!$E$155*W$110</f>
        <v>0</v>
      </c>
      <c r="X128" s="151">
        <f>Data!$E$155*X$110</f>
        <v>0</v>
      </c>
      <c r="Y128" s="151">
        <f>Data!$E$155*Y$110</f>
        <v>0</v>
      </c>
      <c r="Z128" s="151">
        <f>Data!$E$155*Z$110</f>
        <v>0</v>
      </c>
      <c r="AA128" s="151">
        <f>Data!$E$155*AA$110</f>
        <v>0</v>
      </c>
      <c r="AB128" s="151">
        <f>Data!$E$155*AB$110</f>
        <v>0</v>
      </c>
      <c r="AC128" s="151">
        <f>Data!$E$155*AC$110</f>
        <v>0</v>
      </c>
      <c r="AD128" s="151">
        <f>Data!$E$155*AD$110</f>
        <v>0</v>
      </c>
      <c r="AE128" s="151">
        <f>Data!$E$155*AE$110</f>
        <v>0</v>
      </c>
      <c r="AF128" s="151">
        <f>Data!$E$155*AF$110</f>
        <v>0</v>
      </c>
      <c r="AG128" s="151">
        <f>Data!$E$155*AG$110</f>
        <v>0</v>
      </c>
      <c r="AH128" s="151">
        <f>Data!$E$155*AH$110</f>
        <v>0</v>
      </c>
      <c r="AI128" s="151">
        <f>Data!$E$155*AI$110</f>
        <v>0</v>
      </c>
      <c r="AJ128" s="151">
        <f>Data!$E$155*AJ$110</f>
        <v>0</v>
      </c>
      <c r="AK128" s="151">
        <f>Data!$E$155*AK$110</f>
        <v>0</v>
      </c>
      <c r="AL128" s="151">
        <f>Data!$E$155*AL$110</f>
        <v>0</v>
      </c>
      <c r="AM128" s="151">
        <f>Data!$E$155*AM$110</f>
        <v>0</v>
      </c>
      <c r="AN128" s="151">
        <f>Data!$E$155*AN$110</f>
        <v>0</v>
      </c>
      <c r="AO128" s="151">
        <f>Data!$E$155*AO$110</f>
        <v>0</v>
      </c>
      <c r="AP128" s="17"/>
    </row>
    <row r="129" spans="1:42" ht="15.75" customHeight="1" x14ac:dyDescent="0.25">
      <c r="A129" s="12"/>
      <c r="B129" s="13"/>
      <c r="C129" s="44"/>
      <c r="D129" s="44"/>
      <c r="E129" s="15"/>
      <c r="F129" s="16"/>
      <c r="G129" s="14"/>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17"/>
    </row>
    <row r="130" spans="1:42" x14ac:dyDescent="0.25">
      <c r="A130" s="12"/>
      <c r="B130" s="13"/>
      <c r="C130" s="44" t="s">
        <v>398</v>
      </c>
      <c r="D130" s="45"/>
      <c r="E130" s="15"/>
      <c r="F130" s="16"/>
      <c r="G130" s="14"/>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9"/>
    </row>
    <row r="131" spans="1:42" x14ac:dyDescent="0.25">
      <c r="A131" s="12"/>
      <c r="B131" s="13"/>
      <c r="C131" s="45" t="s">
        <v>127</v>
      </c>
      <c r="D131" s="45"/>
      <c r="E131" s="15" t="s">
        <v>475</v>
      </c>
      <c r="F131" s="158" t="str">
        <f>Dashboard!$I$52</f>
        <v>Hilly (Gradient  6%)</v>
      </c>
      <c r="G131" s="14"/>
      <c r="H131" s="62"/>
      <c r="I131" s="181" cm="1">
        <f t="array" ref="I131">INDEX('Control panel'!$E$17:$E$19,MATCH($F$131,'Control panel'!$C$17:$C$19,0),0)</f>
        <v>2.0035308778415004</v>
      </c>
      <c r="J131" s="181" cm="1">
        <f t="array" ref="J131">INDEX('Control panel'!$E$17:$E$19,MATCH($F$131,'Control panel'!$C$17:$C$19,0),0)</f>
        <v>2.0035308778415004</v>
      </c>
      <c r="K131" s="181" cm="1">
        <f t="array" ref="K131">INDEX('Control panel'!$E$17:$E$19,MATCH($F$131,'Control panel'!$C$17:$C$19,0),0)</f>
        <v>2.0035308778415004</v>
      </c>
      <c r="L131" s="181" cm="1">
        <f t="array" ref="L131">INDEX('Control panel'!$E$17:$E$19,MATCH($F$131,'Control panel'!$C$17:$C$19,0),0)</f>
        <v>2.0035308778415004</v>
      </c>
      <c r="M131" s="181" cm="1">
        <f t="array" ref="M131">INDEX('Control panel'!$E$17:$E$19,MATCH($F$131,'Control panel'!$C$17:$C$19,0),0)</f>
        <v>2.0035308778415004</v>
      </c>
      <c r="N131" s="181" cm="1">
        <f t="array" ref="N131">INDEX('Control panel'!$E$17:$E$19,MATCH($F$131,'Control panel'!$C$17:$C$19,0),0)</f>
        <v>2.0035308778415004</v>
      </c>
      <c r="O131" s="181" cm="1">
        <f t="array" ref="O131">INDEX('Control panel'!$E$17:$E$19,MATCH($F$131,'Control panel'!$C$17:$C$19,0),0)</f>
        <v>2.0035308778415004</v>
      </c>
      <c r="P131" s="181" cm="1">
        <f t="array" ref="P131">INDEX('Control panel'!$E$17:$E$19,MATCH($F$131,'Control panel'!$C$17:$C$19,0),0)</f>
        <v>2.0035308778415004</v>
      </c>
      <c r="Q131" s="181" cm="1">
        <f t="array" ref="Q131">INDEX('Control panel'!$E$17:$E$19,MATCH($F$131,'Control panel'!$C$17:$C$19,0),0)</f>
        <v>2.0035308778415004</v>
      </c>
      <c r="R131" s="181" cm="1">
        <f t="array" ref="R131">INDEX('Control panel'!$E$17:$E$19,MATCH($F$131,'Control panel'!$C$17:$C$19,0),0)</f>
        <v>2.0035308778415004</v>
      </c>
      <c r="S131" s="181" cm="1">
        <f t="array" ref="S131">INDEX('Control panel'!$E$17:$E$19,MATCH($F$131,'Control panel'!$C$17:$C$19,0),0)</f>
        <v>2.0035308778415004</v>
      </c>
      <c r="T131" s="181" cm="1">
        <f t="array" ref="T131">INDEX('Control panel'!$E$17:$E$19,MATCH($F$131,'Control panel'!$C$17:$C$19,0),0)</f>
        <v>2.0035308778415004</v>
      </c>
      <c r="U131" s="181" cm="1">
        <f t="array" ref="U131">INDEX('Control panel'!$E$17:$E$19,MATCH($F$131,'Control panel'!$C$17:$C$19,0),0)</f>
        <v>2.0035308778415004</v>
      </c>
      <c r="V131" s="181" cm="1">
        <f t="array" ref="V131">INDEX('Control panel'!$E$17:$E$19,MATCH($F$131,'Control panel'!$C$17:$C$19,0),0)</f>
        <v>2.0035308778415004</v>
      </c>
      <c r="W131" s="181" cm="1">
        <f t="array" ref="W131">INDEX('Control panel'!$E$17:$E$19,MATCH($F$131,'Control panel'!$C$17:$C$19,0),0)</f>
        <v>2.0035308778415004</v>
      </c>
      <c r="X131" s="181" cm="1">
        <f t="array" ref="X131">INDEX('Control panel'!$E$17:$E$19,MATCH($F$131,'Control panel'!$C$17:$C$19,0),0)</f>
        <v>2.0035308778415004</v>
      </c>
      <c r="Y131" s="181" cm="1">
        <f t="array" ref="Y131">INDEX('Control panel'!$E$17:$E$19,MATCH($F$131,'Control panel'!$C$17:$C$19,0),0)</f>
        <v>2.0035308778415004</v>
      </c>
      <c r="Z131" s="181" cm="1">
        <f t="array" ref="Z131">INDEX('Control panel'!$E$17:$E$19,MATCH($F$131,'Control panel'!$C$17:$C$19,0),0)</f>
        <v>2.0035308778415004</v>
      </c>
      <c r="AA131" s="181" cm="1">
        <f t="array" ref="AA131">INDEX('Control panel'!$E$17:$E$19,MATCH($F$131,'Control panel'!$C$17:$C$19,0),0)</f>
        <v>2.0035308778415004</v>
      </c>
      <c r="AB131" s="181" cm="1">
        <f t="array" ref="AB131">INDEX('Control panel'!$E$17:$E$19,MATCH($F$131,'Control panel'!$C$17:$C$19,0),0)</f>
        <v>2.0035308778415004</v>
      </c>
      <c r="AC131" s="181" cm="1">
        <f t="array" ref="AC131">INDEX('Control panel'!$E$17:$E$19,MATCH($F$131,'Control panel'!$C$17:$C$19,0),0)</f>
        <v>2.0035308778415004</v>
      </c>
      <c r="AD131" s="181" cm="1">
        <f t="array" ref="AD131">INDEX('Control panel'!$E$17:$E$19,MATCH($F$131,'Control panel'!$C$17:$C$19,0),0)</f>
        <v>2.0035308778415004</v>
      </c>
      <c r="AE131" s="181" cm="1">
        <f t="array" ref="AE131">INDEX('Control panel'!$E$17:$E$19,MATCH($F$131,'Control panel'!$C$17:$C$19,0),0)</f>
        <v>2.0035308778415004</v>
      </c>
      <c r="AF131" s="181" cm="1">
        <f t="array" ref="AF131">INDEX('Control panel'!$E$17:$E$19,MATCH($F$131,'Control panel'!$C$17:$C$19,0),0)</f>
        <v>2.0035308778415004</v>
      </c>
      <c r="AG131" s="181" cm="1">
        <f t="array" ref="AG131">INDEX('Control panel'!$E$17:$E$19,MATCH($F$131,'Control panel'!$C$17:$C$19,0),0)</f>
        <v>2.0035308778415004</v>
      </c>
      <c r="AH131" s="181" cm="1">
        <f t="array" ref="AH131">INDEX('Control panel'!$E$17:$E$19,MATCH($F$131,'Control panel'!$C$17:$C$19,0),0)</f>
        <v>2.0035308778415004</v>
      </c>
      <c r="AI131" s="181" cm="1">
        <f t="array" ref="AI131">INDEX('Control panel'!$E$17:$E$19,MATCH($F$131,'Control panel'!$C$17:$C$19,0),0)</f>
        <v>2.0035308778415004</v>
      </c>
      <c r="AJ131" s="181" cm="1">
        <f t="array" ref="AJ131">INDEX('Control panel'!$E$17:$E$19,MATCH($F$131,'Control panel'!$C$17:$C$19,0),0)</f>
        <v>2.0035308778415004</v>
      </c>
      <c r="AK131" s="181" cm="1">
        <f t="array" ref="AK131">INDEX('Control panel'!$E$17:$E$19,MATCH($F$131,'Control panel'!$C$17:$C$19,0),0)</f>
        <v>2.0035308778415004</v>
      </c>
      <c r="AL131" s="181" cm="1">
        <f t="array" ref="AL131">INDEX('Control panel'!$E$17:$E$19,MATCH($F$131,'Control panel'!$C$17:$C$19,0),0)</f>
        <v>2.0035308778415004</v>
      </c>
      <c r="AM131" s="181" cm="1">
        <f t="array" ref="AM131">INDEX('Control panel'!$E$17:$E$19,MATCH($F$131,'Control panel'!$C$17:$C$19,0),0)</f>
        <v>2.0035308778415004</v>
      </c>
      <c r="AN131" s="181" cm="1">
        <f t="array" ref="AN131">INDEX('Control panel'!$E$17:$E$19,MATCH($F$131,'Control panel'!$C$17:$C$19,0),0)</f>
        <v>2.0035308778415004</v>
      </c>
      <c r="AO131" s="181" cm="1">
        <f t="array" ref="AO131">INDEX('Control panel'!$E$17:$E$19,MATCH($F$131,'Control panel'!$C$17:$C$19,0),0)</f>
        <v>2.0035308778415004</v>
      </c>
      <c r="AP131" s="29"/>
    </row>
    <row r="132" spans="1:42" x14ac:dyDescent="0.25">
      <c r="A132" s="12"/>
      <c r="B132" s="13"/>
      <c r="C132" s="45" t="s">
        <v>120</v>
      </c>
      <c r="D132" s="45"/>
      <c r="E132" s="15" t="s">
        <v>318</v>
      </c>
      <c r="F132" s="158" t="str">
        <f>Dashboard!$I$53</f>
        <v>3 Axle rigid</v>
      </c>
      <c r="G132" s="14"/>
      <c r="H132" s="62"/>
      <c r="I132" s="177">
        <f>IF($C$132=$F$132,I$110*Data!$E$162*Data!H$71,0)*(1+I131)*(1+Data!$E$92)</f>
        <v>0</v>
      </c>
      <c r="J132" s="177">
        <f>IF($C$132=$F$132,J$110*Data!$E$162*Data!I$71,0)*(1+J131)*(1+Data!$E$92)</f>
        <v>0</v>
      </c>
      <c r="K132" s="177">
        <f>IF($C$132=$F$132,K$110*Data!$E$162*Data!J$71,0)*(1+K131)*(1+Data!$E$92)</f>
        <v>0</v>
      </c>
      <c r="L132" s="177">
        <f>IF($C$132=$F$132,L$110*Data!$E$162*Data!K$71,0)*(1+L131)*(1+Data!$E$92)</f>
        <v>0</v>
      </c>
      <c r="M132" s="177">
        <f>IF($C$132=$F$132,M$110*Data!$E$162*Data!L$71,0)*(1+M131)*(1+Data!$E$92)</f>
        <v>0</v>
      </c>
      <c r="N132" s="177">
        <f>IF($C$132=$F$132,N$110*Data!$E$162*Data!M$71,0)*(1+N131)*(1+Data!$E$92)</f>
        <v>0</v>
      </c>
      <c r="O132" s="177">
        <f>IF($C$132=$F$132,O$110*Data!$E$162*Data!N$71,0)*(1+O131)*(1+Data!$E$92)</f>
        <v>0</v>
      </c>
      <c r="P132" s="177">
        <f>IF($C$132=$F$132,P$110*Data!$E$162*Data!O$71,0)*(1+P131)*(1+Data!$E$92)</f>
        <v>0</v>
      </c>
      <c r="Q132" s="177">
        <f>IF($C$132=$F$132,Q$110*Data!$E$162*Data!P$71,0)*(1+Q131)*(1+Data!$E$92)</f>
        <v>0</v>
      </c>
      <c r="R132" s="177">
        <f>IF($C$132=$F$132,R$110*Data!$E$162*Data!Q$71,0)*(1+R131)*(1+Data!$E$92)</f>
        <v>0</v>
      </c>
      <c r="S132" s="177">
        <f>IF($C$132=$F$132,S$110*Data!$E$162*Data!R$71,0)*(1+S131)*(1+Data!$E$92)</f>
        <v>0</v>
      </c>
      <c r="T132" s="177">
        <f>IF($C$132=$F$132,T$110*Data!$E$162*Data!S$71,0)*(1+T131)*(1+Data!$E$92)</f>
        <v>0</v>
      </c>
      <c r="U132" s="177">
        <f>IF($C$132=$F$132,U$110*Data!$E$162*Data!T$71,0)*(1+U131)*(1+Data!$E$92)</f>
        <v>0</v>
      </c>
      <c r="V132" s="177">
        <f>IF($C$132=$F$132,V$110*Data!$E$162*Data!U$71,0)*(1+V131)*(1+Data!$E$92)</f>
        <v>0</v>
      </c>
      <c r="W132" s="177">
        <f>IF($C$132=$F$132,W$110*Data!$E$162*Data!V$71,0)*(1+W131)*(1+Data!$E$92)</f>
        <v>0</v>
      </c>
      <c r="X132" s="177">
        <f>IF($C$132=$F$132,X$110*Data!$E$162*Data!W$71,0)*(1+X131)*(1+Data!$E$92)</f>
        <v>0</v>
      </c>
      <c r="Y132" s="177">
        <f>IF($C$132=$F$132,Y$110*Data!$E$162*Data!X$71,0)*(1+Y131)*(1+Data!$E$92)</f>
        <v>0</v>
      </c>
      <c r="Z132" s="177">
        <f>IF($C$132=$F$132,Z$110*Data!$E$162*Data!Y$71,0)*(1+Z131)*(1+Data!$E$92)</f>
        <v>0</v>
      </c>
      <c r="AA132" s="177">
        <f>IF($C$132=$F$132,AA$110*Data!$E$162*Data!Z$71,0)*(1+AA131)*(1+Data!$E$92)</f>
        <v>0</v>
      </c>
      <c r="AB132" s="177">
        <f>IF($C$132=$F$132,AB$110*Data!$E$162*Data!AA$71,0)*(1+AB131)*(1+Data!$E$92)</f>
        <v>0</v>
      </c>
      <c r="AC132" s="177">
        <f>IF($C$132=$F$132,AC$110*Data!$E$162*Data!AB$71,0)*(1+AC131)*(1+Data!$E$92)</f>
        <v>0</v>
      </c>
      <c r="AD132" s="177">
        <f>IF($C$132=$F$132,AD$110*Data!$E$162*Data!AC$71,0)*(1+AD131)*(1+Data!$E$92)</f>
        <v>0</v>
      </c>
      <c r="AE132" s="177">
        <f>IF($C$132=$F$132,AE$110*Data!$E$162*Data!AD$71,0)*(1+AE131)*(1+Data!$E$92)</f>
        <v>0</v>
      </c>
      <c r="AF132" s="177">
        <f>IF($C$132=$F$132,AF$110*Data!$E$162*Data!AE$71,0)*(1+AF131)*(1+Data!$E$92)</f>
        <v>0</v>
      </c>
      <c r="AG132" s="177">
        <f>IF($C$132=$F$132,AG$110*Data!$E$162*Data!AF$71,0)*(1+AG131)*(1+Data!$E$92)</f>
        <v>0</v>
      </c>
      <c r="AH132" s="177">
        <f>IF($C$132=$F$132,AH$110*Data!$E$162*Data!AG$71,0)*(1+AH131)*(1+Data!$E$92)</f>
        <v>0</v>
      </c>
      <c r="AI132" s="177">
        <f>IF($C$132=$F$132,AI$110*Data!$E$162*Data!AH$71,0)*(1+AI131)*(1+Data!$E$92)</f>
        <v>0</v>
      </c>
      <c r="AJ132" s="177">
        <f>IF($C$132=$F$132,AJ$110*Data!$E$162*Data!AI$71,0)*(1+AJ131)*(1+Data!$E$92)</f>
        <v>0</v>
      </c>
      <c r="AK132" s="177">
        <f>IF($C$132=$F$132,AK$110*Data!$E$162*Data!AJ$71,0)*(1+AK131)*(1+Data!$E$92)</f>
        <v>0</v>
      </c>
      <c r="AL132" s="177">
        <f>IF($C$132=$F$132,AL$110*Data!$E$162*Data!AK$71,0)*(1+AL131)*(1+Data!$E$92)</f>
        <v>0</v>
      </c>
      <c r="AM132" s="177">
        <f>IF($C$132=$F$132,AM$110*Data!$E$162*Data!AL$71,0)*(1+AM131)*(1+Data!$E$92)</f>
        <v>0</v>
      </c>
      <c r="AN132" s="177">
        <f>IF($C$132=$F$132,AN$110*Data!$E$162*Data!AM$71,0)*(1+AN131)*(1+Data!$E$92)</f>
        <v>0</v>
      </c>
      <c r="AO132" s="177">
        <f>IF($C$132=$F$132,AO$110*Data!$E$162*Data!AN$71,0)*(1+AO131)*(1+Data!$E$92)</f>
        <v>0</v>
      </c>
      <c r="AP132" s="29"/>
    </row>
    <row r="133" spans="1:42" x14ac:dyDescent="0.25">
      <c r="A133" s="12"/>
      <c r="B133" s="13"/>
      <c r="C133" s="45" t="s">
        <v>124</v>
      </c>
      <c r="D133" s="45"/>
      <c r="E133" s="15" t="s">
        <v>318</v>
      </c>
      <c r="F133" s="158" t="str">
        <f>Dashboard!$I$53</f>
        <v>3 Axle rigid</v>
      </c>
      <c r="G133" s="14"/>
      <c r="H133" s="62"/>
      <c r="I133" s="177">
        <f>IF($C$133=$F$133,I$110*Data!$E$163*Data!H$71,0)*(1+I131)*(1+Data!$E$92)</f>
        <v>366337.62760414125</v>
      </c>
      <c r="J133" s="177">
        <f>IF($C$133=$F$133,J$110*Data!$E$163*Data!I$71,0)*(1+J131)*(1+Data!$E$92)</f>
        <v>294716.52501419018</v>
      </c>
      <c r="K133" s="177">
        <f>IF($C$133=$F$133,K$110*Data!$E$163*Data!J$71,0)*(1+K131)*(1+Data!$E$92)</f>
        <v>284328.22291111201</v>
      </c>
      <c r="L133" s="177">
        <f>IF($C$133=$F$133,L$110*Data!$E$163*Data!K$71,0)*(1+L131)*(1+Data!$E$92)</f>
        <v>273939.92080803384</v>
      </c>
      <c r="M133" s="177">
        <f>IF($C$133=$F$133,M$110*Data!$E$163*Data!L$71,0)*(1+M131)*(1+Data!$E$92)</f>
        <v>268745.76975649473</v>
      </c>
      <c r="N133" s="177">
        <f>IF($C$133=$F$133,N$110*Data!$E$163*Data!M$71,0)*(1+N131)*(1+Data!$E$92)</f>
        <v>263551.61870495568</v>
      </c>
      <c r="O133" s="177">
        <f>IF($C$133=$F$133,O$110*Data!$E$163*Data!N$71,0)*(1+O131)*(1+Data!$E$92)</f>
        <v>258357.46765341665</v>
      </c>
      <c r="P133" s="177">
        <f>IF($C$133=$F$133,P$110*Data!$E$163*Data!O$71,0)*(1+P131)*(1+Data!$E$92)</f>
        <v>253163.31660187757</v>
      </c>
      <c r="Q133" s="177">
        <f>IF($C$133=$F$133,Q$110*Data!$E$163*Data!P$71,0)*(1+Q131)*(1+Data!$E$92)</f>
        <v>253163.31660187757</v>
      </c>
      <c r="R133" s="177">
        <f>IF($C$133=$F$133,R$110*Data!$E$163*Data!Q$71,0)*(1+R131)*(1+Data!$E$92)</f>
        <v>253163.31660187757</v>
      </c>
      <c r="S133" s="177">
        <f>IF($C$133=$F$133,S$110*Data!$E$163*Data!R$71,0)*(1+S131)*(1+Data!$E$92)</f>
        <v>253163.31660187757</v>
      </c>
      <c r="T133" s="177">
        <f>IF($C$133=$F$133,T$110*Data!$E$163*Data!S$71,0)*(1+T131)*(1+Data!$E$92)</f>
        <v>253163.31660187757</v>
      </c>
      <c r="U133" s="177">
        <f>IF($C$133=$F$133,U$110*Data!$E$163*Data!T$71,0)*(1+U131)*(1+Data!$E$92)</f>
        <v>0</v>
      </c>
      <c r="V133" s="177">
        <f>IF($C$133=$F$133,V$110*Data!$E$163*Data!U$71,0)*(1+V131)*(1+Data!$E$92)</f>
        <v>0</v>
      </c>
      <c r="W133" s="177">
        <f>IF($C$133=$F$133,W$110*Data!$E$163*Data!V$71,0)*(1+W131)*(1+Data!$E$92)</f>
        <v>0</v>
      </c>
      <c r="X133" s="177">
        <f>IF($C$133=$F$133,X$110*Data!$E$163*Data!W$71,0)*(1+X131)*(1+Data!$E$92)</f>
        <v>0</v>
      </c>
      <c r="Y133" s="177">
        <f>IF($C$133=$F$133,Y$110*Data!$E$163*Data!X$71,0)*(1+Y131)*(1+Data!$E$92)</f>
        <v>0</v>
      </c>
      <c r="Z133" s="177">
        <f>IF($C$133=$F$133,Z$110*Data!$E$163*Data!Y$71,0)*(1+Z131)*(1+Data!$E$92)</f>
        <v>0</v>
      </c>
      <c r="AA133" s="177">
        <f>IF($C$133=$F$133,AA$110*Data!$E$163*Data!Z$71,0)*(1+AA131)*(1+Data!$E$92)</f>
        <v>0</v>
      </c>
      <c r="AB133" s="177">
        <f>IF($C$133=$F$133,AB$110*Data!$E$163*Data!AA$71,0)*(1+AB131)*(1+Data!$E$92)</f>
        <v>0</v>
      </c>
      <c r="AC133" s="177">
        <f>IF($C$133=$F$133,AC$110*Data!$E$163*Data!AB$71,0)*(1+AC131)*(1+Data!$E$92)</f>
        <v>0</v>
      </c>
      <c r="AD133" s="177">
        <f>IF($C$133=$F$133,AD$110*Data!$E$163*Data!AC$71,0)*(1+AD131)*(1+Data!$E$92)</f>
        <v>0</v>
      </c>
      <c r="AE133" s="177">
        <f>IF($C$133=$F$133,AE$110*Data!$E$163*Data!AD$71,0)*(1+AE131)*(1+Data!$E$92)</f>
        <v>0</v>
      </c>
      <c r="AF133" s="177">
        <f>IF($C$133=$F$133,AF$110*Data!$E$163*Data!AE$71,0)*(1+AF131)*(1+Data!$E$92)</f>
        <v>0</v>
      </c>
      <c r="AG133" s="177">
        <f>IF($C$133=$F$133,AG$110*Data!$E$163*Data!AF$71,0)*(1+AG131)*(1+Data!$E$92)</f>
        <v>0</v>
      </c>
      <c r="AH133" s="177">
        <f>IF($C$133=$F$133,AH$110*Data!$E$163*Data!AG$71,0)*(1+AH131)*(1+Data!$E$92)</f>
        <v>0</v>
      </c>
      <c r="AI133" s="177">
        <f>IF($C$133=$F$133,AI$110*Data!$E$163*Data!AH$71,0)*(1+AI131)*(1+Data!$E$92)</f>
        <v>0</v>
      </c>
      <c r="AJ133" s="177">
        <f>IF($C$133=$F$133,AJ$110*Data!$E$163*Data!AI$71,0)*(1+AJ131)*(1+Data!$E$92)</f>
        <v>0</v>
      </c>
      <c r="AK133" s="177">
        <f>IF($C$133=$F$133,AK$110*Data!$E$163*Data!AJ$71,0)*(1+AK131)*(1+Data!$E$92)</f>
        <v>0</v>
      </c>
      <c r="AL133" s="177">
        <f>IF($C$133=$F$133,AL$110*Data!$E$163*Data!AK$71,0)*(1+AL131)*(1+Data!$E$92)</f>
        <v>0</v>
      </c>
      <c r="AM133" s="177">
        <f>IF($C$133=$F$133,AM$110*Data!$E$163*Data!AL$71,0)*(1+AM131)*(1+Data!$E$92)</f>
        <v>0</v>
      </c>
      <c r="AN133" s="177">
        <f>IF($C$133=$F$133,AN$110*Data!$E$163*Data!AM$71,0)*(1+AN131)*(1+Data!$E$92)</f>
        <v>0</v>
      </c>
      <c r="AO133" s="177">
        <f>IF($C$133=$F$133,AO$110*Data!$E$163*Data!AN$71,0)*(1+AO131)*(1+Data!$E$92)</f>
        <v>0</v>
      </c>
      <c r="AP133" s="29"/>
    </row>
    <row r="134" spans="1:42" x14ac:dyDescent="0.25">
      <c r="A134" s="12"/>
      <c r="B134" s="13"/>
      <c r="C134" s="45" t="s">
        <v>126</v>
      </c>
      <c r="D134" s="45"/>
      <c r="E134" s="15" t="s">
        <v>318</v>
      </c>
      <c r="F134" s="158" t="str">
        <f>Dashboard!$I$53</f>
        <v>3 Axle rigid</v>
      </c>
      <c r="G134" s="14"/>
      <c r="H134" s="62"/>
      <c r="I134" s="177">
        <f>IF($C$134=$F$134,I$110*Data!$E$164*Data!H$71,0)*(1+I131)*(1+Data!$E$92)</f>
        <v>0</v>
      </c>
      <c r="J134" s="177">
        <f>IF($C$134=$F$134,J$110*Data!$E$164*Data!I$71,0)*(1+J131)*(1+Data!$E$92)</f>
        <v>0</v>
      </c>
      <c r="K134" s="177">
        <f>IF($C$134=$F$134,K$110*Data!$E$164*Data!J$71,0)*(1+K131)*(1+Data!$E$92)</f>
        <v>0</v>
      </c>
      <c r="L134" s="177">
        <f>IF($C$134=$F$134,L$110*Data!$E$164*Data!K$71,0)*(1+L131)*(1+Data!$E$92)</f>
        <v>0</v>
      </c>
      <c r="M134" s="177">
        <f>IF($C$134=$F$134,M$110*Data!$E$164*Data!L$71,0)*(1+M131)*(1+Data!$E$92)</f>
        <v>0</v>
      </c>
      <c r="N134" s="177">
        <f>IF($C$134=$F$134,N$110*Data!$E$164*Data!M$71,0)*(1+N131)*(1+Data!$E$92)</f>
        <v>0</v>
      </c>
      <c r="O134" s="177">
        <f>IF($C$134=$F$134,O$110*Data!$E$164*Data!N$71,0)*(1+O131)*(1+Data!$E$92)</f>
        <v>0</v>
      </c>
      <c r="P134" s="177">
        <f>IF($C$134=$F$134,P$110*Data!$E$164*Data!O$71,0)*(1+P131)*(1+Data!$E$92)</f>
        <v>0</v>
      </c>
      <c r="Q134" s="177">
        <f>IF($C$134=$F$134,Q$110*Data!$E$164*Data!P$71,0)*(1+Q131)*(1+Data!$E$92)</f>
        <v>0</v>
      </c>
      <c r="R134" s="177">
        <f>IF($C$134=$F$134,R$110*Data!$E$164*Data!Q$71,0)*(1+R131)*(1+Data!$E$92)</f>
        <v>0</v>
      </c>
      <c r="S134" s="177">
        <f>IF($C$134=$F$134,S$110*Data!$E$164*Data!R$71,0)*(1+S131)*(1+Data!$E$92)</f>
        <v>0</v>
      </c>
      <c r="T134" s="177">
        <f>IF($C$134=$F$134,T$110*Data!$E$164*Data!S$71,0)*(1+T131)*(1+Data!$E$92)</f>
        <v>0</v>
      </c>
      <c r="U134" s="177">
        <f>IF($C$134=$F$134,U$110*Data!$E$164*Data!T$71,0)*(1+U131)*(1+Data!$E$92)</f>
        <v>0</v>
      </c>
      <c r="V134" s="177">
        <f>IF($C$134=$F$134,V$110*Data!$E$164*Data!U$71,0)*(1+V131)*(1+Data!$E$92)</f>
        <v>0</v>
      </c>
      <c r="W134" s="177">
        <f>IF($C$134=$F$134,W$110*Data!$E$164*Data!V$71,0)*(1+W131)*(1+Data!$E$92)</f>
        <v>0</v>
      </c>
      <c r="X134" s="177">
        <f>IF($C$134=$F$134,X$110*Data!$E$164*Data!W$71,0)*(1+X131)*(1+Data!$E$92)</f>
        <v>0</v>
      </c>
      <c r="Y134" s="177">
        <f>IF($C$134=$F$134,Y$110*Data!$E$164*Data!X$71,0)*(1+Y131)*(1+Data!$E$92)</f>
        <v>0</v>
      </c>
      <c r="Z134" s="177">
        <f>IF($C$134=$F$134,Z$110*Data!$E$164*Data!Y$71,0)*(1+Z131)*(1+Data!$E$92)</f>
        <v>0</v>
      </c>
      <c r="AA134" s="177">
        <f>IF($C$134=$F$134,AA$110*Data!$E$164*Data!Z$71,0)*(1+AA131)*(1+Data!$E$92)</f>
        <v>0</v>
      </c>
      <c r="AB134" s="177">
        <f>IF($C$134=$F$134,AB$110*Data!$E$164*Data!AA$71,0)*(1+AB131)*(1+Data!$E$92)</f>
        <v>0</v>
      </c>
      <c r="AC134" s="177">
        <f>IF($C$134=$F$134,AC$110*Data!$E$164*Data!AB$71,0)*(1+AC131)*(1+Data!$E$92)</f>
        <v>0</v>
      </c>
      <c r="AD134" s="177">
        <f>IF($C$134=$F$134,AD$110*Data!$E$164*Data!AC$71,0)*(1+AD131)*(1+Data!$E$92)</f>
        <v>0</v>
      </c>
      <c r="AE134" s="177">
        <f>IF($C$134=$F$134,AE$110*Data!$E$164*Data!AD$71,0)*(1+AE131)*(1+Data!$E$92)</f>
        <v>0</v>
      </c>
      <c r="AF134" s="177">
        <f>IF($C$134=$F$134,AF$110*Data!$E$164*Data!AE$71,0)*(1+AF131)*(1+Data!$E$92)</f>
        <v>0</v>
      </c>
      <c r="AG134" s="177">
        <f>IF($C$134=$F$134,AG$110*Data!$E$164*Data!AF$71,0)*(1+AG131)*(1+Data!$E$92)</f>
        <v>0</v>
      </c>
      <c r="AH134" s="177">
        <f>IF($C$134=$F$134,AH$110*Data!$E$164*Data!AG$71,0)*(1+AH131)*(1+Data!$E$92)</f>
        <v>0</v>
      </c>
      <c r="AI134" s="177">
        <f>IF($C$134=$F$134,AI$110*Data!$E$164*Data!AH$71,0)*(1+AI131)*(1+Data!$E$92)</f>
        <v>0</v>
      </c>
      <c r="AJ134" s="177">
        <f>IF($C$134=$F$134,AJ$110*Data!$E$164*Data!AI$71,0)*(1+AJ131)*(1+Data!$E$92)</f>
        <v>0</v>
      </c>
      <c r="AK134" s="177">
        <f>IF($C$134=$F$134,AK$110*Data!$E$164*Data!AJ$71,0)*(1+AK131)*(1+Data!$E$92)</f>
        <v>0</v>
      </c>
      <c r="AL134" s="177">
        <f>IF($C$134=$F$134,AL$110*Data!$E$164*Data!AK$71,0)*(1+AL131)*(1+Data!$E$92)</f>
        <v>0</v>
      </c>
      <c r="AM134" s="177">
        <f>IF($C$134=$F$134,AM$110*Data!$E$164*Data!AL$71,0)*(1+AM131)*(1+Data!$E$92)</f>
        <v>0</v>
      </c>
      <c r="AN134" s="177">
        <f>IF($C$134=$F$134,AN$110*Data!$E$164*Data!AM$71,0)*(1+AN131)*(1+Data!$E$92)</f>
        <v>0</v>
      </c>
      <c r="AO134" s="177">
        <f>IF($C$134=$F$134,AO$110*Data!$E$164*Data!AN$71,0)*(1+AO131)*(1+Data!$E$92)</f>
        <v>0</v>
      </c>
      <c r="AP134" s="17"/>
    </row>
    <row r="135" spans="1:42" x14ac:dyDescent="0.25">
      <c r="A135" s="12"/>
      <c r="B135" s="13"/>
      <c r="C135" s="44"/>
      <c r="D135" s="44"/>
      <c r="E135" s="15"/>
      <c r="F135" s="16"/>
      <c r="G135" s="14"/>
      <c r="H135" s="46"/>
      <c r="I135" s="96"/>
      <c r="J135" s="96"/>
      <c r="K135" s="96"/>
      <c r="L135" s="96"/>
      <c r="M135" s="96"/>
      <c r="N135" s="96"/>
      <c r="O135" s="96"/>
      <c r="P135" s="96"/>
      <c r="Q135" s="96"/>
      <c r="R135" s="96"/>
      <c r="S135" s="96"/>
      <c r="T135" s="96"/>
      <c r="U135" s="96"/>
      <c r="V135" s="96"/>
      <c r="W135" s="96"/>
      <c r="X135" s="96"/>
      <c r="Y135" s="96"/>
      <c r="Z135" s="96"/>
      <c r="AA135" s="96"/>
      <c r="AB135" s="96"/>
      <c r="AC135" s="46"/>
      <c r="AD135" s="46"/>
      <c r="AE135" s="46"/>
      <c r="AF135" s="46"/>
      <c r="AG135" s="46"/>
      <c r="AH135" s="46"/>
      <c r="AI135" s="46"/>
      <c r="AJ135" s="46"/>
      <c r="AK135" s="46"/>
      <c r="AL135" s="46"/>
      <c r="AM135" s="46"/>
      <c r="AN135" s="46"/>
      <c r="AO135" s="46"/>
      <c r="AP135" s="17"/>
    </row>
    <row r="136" spans="1:42" x14ac:dyDescent="0.25">
      <c r="A136" s="12"/>
      <c r="B136" s="13"/>
      <c r="C136" s="19" t="s">
        <v>512</v>
      </c>
      <c r="D136" s="45"/>
      <c r="E136" s="15" t="s">
        <v>54</v>
      </c>
      <c r="F136" s="158"/>
      <c r="G136" s="14"/>
      <c r="H136" s="28"/>
      <c r="I136" s="182">
        <f>SUM(I123:I125)+I127+I128+SUM(I132:I134)</f>
        <v>429016.73388985556</v>
      </c>
      <c r="J136" s="182">
        <f t="shared" ref="J136:AO136" si="18">SUM(J123:J125)+J127+J128+SUM(J132:J134)</f>
        <v>357395.63129990443</v>
      </c>
      <c r="K136" s="182">
        <f t="shared" si="18"/>
        <v>347007.32919682632</v>
      </c>
      <c r="L136" s="182">
        <f t="shared" si="18"/>
        <v>336619.0270937481</v>
      </c>
      <c r="M136" s="182">
        <f t="shared" si="18"/>
        <v>331424.87604220898</v>
      </c>
      <c r="N136" s="182">
        <f t="shared" si="18"/>
        <v>326230.72499066999</v>
      </c>
      <c r="O136" s="182">
        <f t="shared" si="18"/>
        <v>321036.57393913093</v>
      </c>
      <c r="P136" s="182">
        <f t="shared" si="18"/>
        <v>315842.42288759188</v>
      </c>
      <c r="Q136" s="182">
        <f t="shared" si="18"/>
        <v>315842.42288759188</v>
      </c>
      <c r="R136" s="182">
        <f t="shared" si="18"/>
        <v>315842.42288759188</v>
      </c>
      <c r="S136" s="182">
        <f t="shared" si="18"/>
        <v>315842.42288759188</v>
      </c>
      <c r="T136" s="182">
        <f t="shared" si="18"/>
        <v>315842.42288759188</v>
      </c>
      <c r="U136" s="182">
        <f t="shared" si="18"/>
        <v>0</v>
      </c>
      <c r="V136" s="182">
        <f t="shared" si="18"/>
        <v>0</v>
      </c>
      <c r="W136" s="182">
        <f t="shared" si="18"/>
        <v>0</v>
      </c>
      <c r="X136" s="182">
        <f t="shared" si="18"/>
        <v>0</v>
      </c>
      <c r="Y136" s="182">
        <f t="shared" si="18"/>
        <v>0</v>
      </c>
      <c r="Z136" s="182">
        <f t="shared" si="18"/>
        <v>0</v>
      </c>
      <c r="AA136" s="182">
        <f t="shared" si="18"/>
        <v>0</v>
      </c>
      <c r="AB136" s="182">
        <f t="shared" si="18"/>
        <v>0</v>
      </c>
      <c r="AC136" s="182">
        <f t="shared" si="18"/>
        <v>0</v>
      </c>
      <c r="AD136" s="182">
        <f t="shared" si="18"/>
        <v>0</v>
      </c>
      <c r="AE136" s="182">
        <f t="shared" si="18"/>
        <v>0</v>
      </c>
      <c r="AF136" s="182">
        <f t="shared" si="18"/>
        <v>0</v>
      </c>
      <c r="AG136" s="182">
        <f t="shared" si="18"/>
        <v>0</v>
      </c>
      <c r="AH136" s="182">
        <f t="shared" si="18"/>
        <v>0</v>
      </c>
      <c r="AI136" s="182">
        <f t="shared" si="18"/>
        <v>0</v>
      </c>
      <c r="AJ136" s="182">
        <f t="shared" si="18"/>
        <v>0</v>
      </c>
      <c r="AK136" s="182">
        <f t="shared" si="18"/>
        <v>0</v>
      </c>
      <c r="AL136" s="182">
        <f t="shared" si="18"/>
        <v>0</v>
      </c>
      <c r="AM136" s="182">
        <f t="shared" si="18"/>
        <v>0</v>
      </c>
      <c r="AN136" s="182">
        <f t="shared" si="18"/>
        <v>0</v>
      </c>
      <c r="AO136" s="182">
        <f t="shared" si="18"/>
        <v>0</v>
      </c>
      <c r="AP136" s="29"/>
    </row>
    <row r="137" spans="1:42" x14ac:dyDescent="0.25">
      <c r="A137" s="12"/>
      <c r="B137" s="13"/>
      <c r="C137" s="45"/>
      <c r="D137" s="45"/>
      <c r="E137" s="15"/>
      <c r="F137" s="16"/>
      <c r="G137" s="14"/>
      <c r="H137" s="28"/>
      <c r="I137" s="177"/>
      <c r="J137" s="177"/>
      <c r="K137" s="177"/>
      <c r="L137" s="177"/>
      <c r="M137" s="177"/>
      <c r="N137" s="177"/>
      <c r="O137" s="177"/>
      <c r="P137" s="177"/>
      <c r="Q137" s="177"/>
      <c r="R137" s="177"/>
      <c r="S137" s="177"/>
      <c r="T137" s="177"/>
      <c r="U137" s="177"/>
      <c r="V137" s="177"/>
      <c r="W137" s="177"/>
      <c r="X137" s="28"/>
      <c r="Y137" s="28"/>
      <c r="Z137" s="28"/>
      <c r="AA137" s="28"/>
      <c r="AB137" s="28"/>
      <c r="AC137" s="28"/>
      <c r="AD137" s="28"/>
      <c r="AE137" s="28"/>
      <c r="AF137" s="28"/>
      <c r="AG137" s="28"/>
      <c r="AH137" s="28"/>
      <c r="AI137" s="28"/>
      <c r="AJ137" s="28"/>
      <c r="AK137" s="28"/>
      <c r="AL137" s="28"/>
      <c r="AM137" s="28"/>
      <c r="AN137" s="28"/>
      <c r="AO137" s="28"/>
      <c r="AP137" s="29"/>
    </row>
    <row r="138" spans="1:42" x14ac:dyDescent="0.25">
      <c r="A138" s="12"/>
      <c r="B138" s="13"/>
      <c r="C138" s="37" t="s">
        <v>513</v>
      </c>
      <c r="D138" s="37"/>
      <c r="E138" s="38"/>
      <c r="F138" s="39"/>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17"/>
    </row>
    <row r="139" spans="1:42" s="140" customFormat="1" x14ac:dyDescent="0.25">
      <c r="A139" s="78"/>
      <c r="B139" s="19"/>
      <c r="C139" s="44" t="s">
        <v>249</v>
      </c>
      <c r="D139" s="44"/>
      <c r="E139" s="21" t="s">
        <v>142</v>
      </c>
      <c r="F139" s="375" t="str">
        <f>Dashboard!I53</f>
        <v>3 Axle rigid</v>
      </c>
      <c r="G139" s="20"/>
      <c r="H139" s="49"/>
      <c r="I139" s="182">
        <f>-IF(COUNT($I$3:I$3)=(Dashboard!$I$31+1),INDEX(Data!$E$99:$E$101,MATCH($F$139,Data!$B$99:$B$101,0)),0)</f>
        <v>0</v>
      </c>
      <c r="J139" s="182">
        <f>-IF(COUNT($I$3:J$3)=(Dashboard!$I$31+1),INDEX(Data!$E$99:$E$101,MATCH($F$139,Data!$B$99:$B$101,0)),0)</f>
        <v>0</v>
      </c>
      <c r="K139" s="182">
        <f>-IF(COUNT($I$3:K$3)=(Dashboard!$I$31+1),INDEX(Data!$E$99:$E$101,MATCH($F$139,Data!$B$99:$B$101,0)),0)</f>
        <v>0</v>
      </c>
      <c r="L139" s="182">
        <f>-IF(COUNT($I$3:L$3)=(Dashboard!$I$31+1),INDEX(Data!$E$99:$E$101,MATCH($F$139,Data!$B$99:$B$101,0)),0)</f>
        <v>0</v>
      </c>
      <c r="M139" s="182">
        <f>-IF(COUNT($I$3:M$3)=(Dashboard!$I$31+1),INDEX(Data!$E$99:$E$101,MATCH($F$139,Data!$B$99:$B$101,0)),0)</f>
        <v>0</v>
      </c>
      <c r="N139" s="182">
        <f>-IF(COUNT($I$3:N$3)=(Dashboard!$I$31+1),INDEX(Data!$E$99:$E$101,MATCH($F$139,Data!$B$99:$B$101,0)),0)</f>
        <v>0</v>
      </c>
      <c r="O139" s="182">
        <f>-IF(COUNT($I$3:O$3)=(Dashboard!$I$31+1),INDEX(Data!$E$99:$E$101,MATCH($F$139,Data!$B$99:$B$101,0)),0)</f>
        <v>0</v>
      </c>
      <c r="P139" s="182">
        <f>-IF(COUNT($I$3:P$3)=(Dashboard!$I$31+1),INDEX(Data!$E$99:$E$101,MATCH($F$139,Data!$B$99:$B$101,0)),0)</f>
        <v>0</v>
      </c>
      <c r="Q139" s="182">
        <f>-IF(COUNT($I$3:Q$3)=(Dashboard!$I$31+1),INDEX(Data!$E$99:$E$101,MATCH($F$139,Data!$B$99:$B$101,0)),0)</f>
        <v>0</v>
      </c>
      <c r="R139" s="182">
        <f>-IF(COUNT($I$3:R$3)=(Dashboard!$I$31+1),INDEX(Data!$E$99:$E$101,MATCH($F$139,Data!$B$99:$B$101,0)),0)</f>
        <v>0</v>
      </c>
      <c r="S139" s="182">
        <f>-IF(COUNT($I$3:S$3)=(Dashboard!$I$31+1),INDEX(Data!$E$99:$E$101,MATCH($F$139,Data!$B$99:$B$101,0)),0)</f>
        <v>0</v>
      </c>
      <c r="T139" s="182">
        <f>-IF(COUNT($I$3:T$3)=(Dashboard!$I$31+1),INDEX(Data!$E$99:$E$101,MATCH($F$139,Data!$B$99:$B$101,0)),0)</f>
        <v>0</v>
      </c>
      <c r="U139" s="182">
        <f>-IF(COUNT($I$3:U$3)=(Dashboard!$I$31+1),INDEX(Data!$E$99:$E$101,MATCH($F$139,Data!$B$99:$B$101,0)),0)</f>
        <v>-60000</v>
      </c>
      <c r="V139" s="182">
        <f>-IF(COUNT($I$3:V$3)=(Dashboard!$I$31+1),INDEX(Data!$E$99:$E$101,MATCH($F$139,Data!$B$99:$B$101,0)),0)</f>
        <v>0</v>
      </c>
      <c r="W139" s="182">
        <f>-IF(COUNT($I$3:W$3)=(Dashboard!$I$31+1),INDEX(Data!$E$99:$E$101,MATCH($F$139,Data!$B$99:$B$101,0)),0)</f>
        <v>0</v>
      </c>
      <c r="X139" s="182">
        <f>-IF(COUNT($I$3:X$3)=(Dashboard!$I$31+1),INDEX(Data!$E$99:$E$101,MATCH($F$139,Data!$B$99:$B$101,0)),0)</f>
        <v>0</v>
      </c>
      <c r="Y139" s="182">
        <f>-IF(COUNT($I$3:Y$3)=(Dashboard!$I$31+1),INDEX(Data!$E$99:$E$101,MATCH($F$139,Data!$B$99:$B$101,0)),0)</f>
        <v>0</v>
      </c>
      <c r="Z139" s="182">
        <f>-IF(COUNT($I$3:Z$3)=(Dashboard!$I$31+1),INDEX(Data!$E$99:$E$101,MATCH($F$139,Data!$B$99:$B$101,0)),0)</f>
        <v>0</v>
      </c>
      <c r="AA139" s="182">
        <f>-IF(COUNT($I$3:AA$3)=(Dashboard!$I$31+1),INDEX(Data!$E$99:$E$101,MATCH($F$139,Data!$B$99:$B$101,0)),0)</f>
        <v>0</v>
      </c>
      <c r="AB139" s="182">
        <f>-IF(COUNT($I$3:AB$3)=(Dashboard!$I$31+1),INDEX(Data!$E$99:$E$101,MATCH($F$139,Data!$B$99:$B$101,0)),0)</f>
        <v>0</v>
      </c>
      <c r="AC139" s="182">
        <f>-IF(COUNT($I$3:AC$3)=(Dashboard!$I$31+1),INDEX(Data!$E$99:$E$101,MATCH($F$139,Data!$B$99:$B$101,0)),0)</f>
        <v>0</v>
      </c>
      <c r="AD139" s="182">
        <f>-IF(COUNT($I$3:AD$3)=(Dashboard!$I$31+1),INDEX(Data!$E$99:$E$101,MATCH($F$139,Data!$B$99:$B$101,0)),0)</f>
        <v>0</v>
      </c>
      <c r="AE139" s="182">
        <f>-IF(COUNT($I$3:AE$3)=(Dashboard!$I$31+1),INDEX(Data!$E$99:$E$101,MATCH($F$139,Data!$B$99:$B$101,0)),0)</f>
        <v>0</v>
      </c>
      <c r="AF139" s="182">
        <f>-IF(COUNT($I$3:AF$3)=(Dashboard!$I$31+1),INDEX(Data!$E$99:$E$101,MATCH($F$139,Data!$B$99:$B$101,0)),0)</f>
        <v>0</v>
      </c>
      <c r="AG139" s="182">
        <f>-IF(COUNT($I$3:AG$3)=(Dashboard!$I$31+1),INDEX(Data!$E$99:$E$101,MATCH($F$139,Data!$B$99:$B$101,0)),0)</f>
        <v>0</v>
      </c>
      <c r="AH139" s="182">
        <f>-IF(COUNT($I$3:AH$3)=(Dashboard!$I$31+1),INDEX(Data!$E$99:$E$101,MATCH($F$139,Data!$B$99:$B$101,0)),0)</f>
        <v>0</v>
      </c>
      <c r="AI139" s="182">
        <f>-IF(COUNT($I$3:AI$3)=(Dashboard!$I$31+1),INDEX(Data!$E$99:$E$101,MATCH($F$139,Data!$B$99:$B$101,0)),0)</f>
        <v>0</v>
      </c>
      <c r="AJ139" s="182">
        <f>-IF(COUNT($I$3:AJ$3)=(Dashboard!$I$31+1),INDEX(Data!$E$99:$E$101,MATCH($F$139,Data!$B$99:$B$101,0)),0)</f>
        <v>0</v>
      </c>
      <c r="AK139" s="182">
        <f>-IF(COUNT($I$3:AK$3)=(Dashboard!$I$31+1),INDEX(Data!$E$99:$E$101,MATCH($F$139,Data!$B$99:$B$101,0)),0)</f>
        <v>0</v>
      </c>
      <c r="AL139" s="182">
        <f>-IF(COUNT($I$3:AL$3)=(Dashboard!$I$31+1),INDEX(Data!$E$99:$E$101,MATCH($F$139,Data!$B$99:$B$101,0)),0)</f>
        <v>0</v>
      </c>
      <c r="AM139" s="182">
        <f>-IF(COUNT($I$3:AM$3)=(Dashboard!$I$31+1),INDEX(Data!$E$99:$E$101,MATCH($F$139,Data!$B$99:$B$101,0)),0)</f>
        <v>0</v>
      </c>
      <c r="AN139" s="182">
        <f>-IF(COUNT($I$3:AN$3)=(Dashboard!$I$31+1),INDEX(Data!$E$99:$E$101,MATCH($F$139,Data!$B$99:$B$101,0)),0)</f>
        <v>0</v>
      </c>
      <c r="AO139" s="182">
        <f>-IF(COUNT($I$3:AO$3)=(Dashboard!$I$31+1),INDEX(Data!$E$99:$E$101,MATCH($F$139,Data!$B$99:$B$101,0)),0)</f>
        <v>0</v>
      </c>
      <c r="AP139" s="50"/>
    </row>
    <row r="140" spans="1:42" x14ac:dyDescent="0.25">
      <c r="A140" s="12"/>
      <c r="B140" s="13"/>
      <c r="C140" s="45"/>
      <c r="D140" s="45"/>
      <c r="E140" s="15"/>
      <c r="F140" s="16"/>
      <c r="G140" s="14"/>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9"/>
    </row>
    <row r="141" spans="1:42" x14ac:dyDescent="0.25">
      <c r="A141" s="12"/>
      <c r="B141" s="13"/>
      <c r="C141" s="14"/>
      <c r="D141" s="14"/>
      <c r="E141" s="15"/>
      <c r="F141" s="16"/>
      <c r="G141" s="14"/>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17"/>
    </row>
    <row r="142" spans="1:42" x14ac:dyDescent="0.25">
      <c r="A142" s="12"/>
      <c r="B142" s="13"/>
      <c r="C142" s="14"/>
      <c r="D142" s="14"/>
      <c r="E142" s="15"/>
      <c r="F142" s="16"/>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7"/>
    </row>
    <row r="143" spans="1:42" x14ac:dyDescent="0.25">
      <c r="A143" s="12"/>
      <c r="B143" s="13"/>
      <c r="C143" s="37" t="s">
        <v>479</v>
      </c>
      <c r="D143" s="37"/>
      <c r="E143" s="38" t="s">
        <v>54</v>
      </c>
      <c r="F143" s="39"/>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17"/>
    </row>
    <row r="144" spans="1:42" x14ac:dyDescent="0.25">
      <c r="A144" s="12"/>
      <c r="B144" s="13"/>
      <c r="C144" s="14" t="s">
        <v>479</v>
      </c>
      <c r="D144" s="14"/>
      <c r="E144" s="15" t="s">
        <v>54</v>
      </c>
      <c r="F144" s="16"/>
      <c r="G144" s="96"/>
      <c r="H144" s="165">
        <f>H119</f>
        <v>0</v>
      </c>
      <c r="I144" s="165">
        <f>I136+I139</f>
        <v>429016.73388985556</v>
      </c>
      <c r="J144" s="165">
        <f t="shared" ref="J144:AO144" si="19">J136+J139</f>
        <v>357395.63129990443</v>
      </c>
      <c r="K144" s="165">
        <f t="shared" si="19"/>
        <v>347007.32919682632</v>
      </c>
      <c r="L144" s="165">
        <f t="shared" si="19"/>
        <v>336619.0270937481</v>
      </c>
      <c r="M144" s="165">
        <f t="shared" si="19"/>
        <v>331424.87604220898</v>
      </c>
      <c r="N144" s="165">
        <f t="shared" si="19"/>
        <v>326230.72499066999</v>
      </c>
      <c r="O144" s="165">
        <f t="shared" si="19"/>
        <v>321036.57393913093</v>
      </c>
      <c r="P144" s="165">
        <f t="shared" si="19"/>
        <v>315842.42288759188</v>
      </c>
      <c r="Q144" s="165">
        <f t="shared" si="19"/>
        <v>315842.42288759188</v>
      </c>
      <c r="R144" s="165">
        <f t="shared" si="19"/>
        <v>315842.42288759188</v>
      </c>
      <c r="S144" s="165">
        <f t="shared" si="19"/>
        <v>315842.42288759188</v>
      </c>
      <c r="T144" s="165">
        <f t="shared" si="19"/>
        <v>315842.42288759188</v>
      </c>
      <c r="U144" s="165">
        <f t="shared" si="19"/>
        <v>-60000</v>
      </c>
      <c r="V144" s="165">
        <f t="shared" si="19"/>
        <v>0</v>
      </c>
      <c r="W144" s="165">
        <f t="shared" si="19"/>
        <v>0</v>
      </c>
      <c r="X144" s="165">
        <f t="shared" si="19"/>
        <v>0</v>
      </c>
      <c r="Y144" s="165">
        <f t="shared" si="19"/>
        <v>0</v>
      </c>
      <c r="Z144" s="165">
        <f t="shared" si="19"/>
        <v>0</v>
      </c>
      <c r="AA144" s="165">
        <f t="shared" si="19"/>
        <v>0</v>
      </c>
      <c r="AB144" s="165">
        <f t="shared" si="19"/>
        <v>0</v>
      </c>
      <c r="AC144" s="165">
        <f t="shared" si="19"/>
        <v>0</v>
      </c>
      <c r="AD144" s="165">
        <f t="shared" si="19"/>
        <v>0</v>
      </c>
      <c r="AE144" s="165">
        <f t="shared" si="19"/>
        <v>0</v>
      </c>
      <c r="AF144" s="165">
        <f t="shared" si="19"/>
        <v>0</v>
      </c>
      <c r="AG144" s="165">
        <f t="shared" si="19"/>
        <v>0</v>
      </c>
      <c r="AH144" s="165">
        <f t="shared" si="19"/>
        <v>0</v>
      </c>
      <c r="AI144" s="165">
        <f t="shared" si="19"/>
        <v>0</v>
      </c>
      <c r="AJ144" s="165">
        <f t="shared" si="19"/>
        <v>0</v>
      </c>
      <c r="AK144" s="165">
        <f t="shared" si="19"/>
        <v>0</v>
      </c>
      <c r="AL144" s="165">
        <f t="shared" si="19"/>
        <v>0</v>
      </c>
      <c r="AM144" s="165">
        <f t="shared" si="19"/>
        <v>0</v>
      </c>
      <c r="AN144" s="165">
        <f t="shared" si="19"/>
        <v>0</v>
      </c>
      <c r="AO144" s="165">
        <f t="shared" si="19"/>
        <v>0</v>
      </c>
      <c r="AP144" s="29"/>
    </row>
    <row r="145" spans="1:42" s="140" customFormat="1" x14ac:dyDescent="0.25">
      <c r="A145" s="78"/>
      <c r="B145" s="19"/>
      <c r="C145" s="20" t="s">
        <v>480</v>
      </c>
      <c r="D145" s="20"/>
      <c r="E145" s="21" t="s">
        <v>54</v>
      </c>
      <c r="F145" s="48"/>
      <c r="G145" s="95"/>
      <c r="H145" s="182">
        <f>H144*Data!G$9</f>
        <v>0</v>
      </c>
      <c r="I145" s="182">
        <f>I144*Data!H$9</f>
        <v>412516.09027870721</v>
      </c>
      <c r="J145" s="182">
        <f>J144*Data!I$9</f>
        <v>330432.35142372816</v>
      </c>
      <c r="K145" s="182">
        <f>K144*Data!J$9</f>
        <v>308488.25208809803</v>
      </c>
      <c r="L145" s="182">
        <f>L144*Data!K$9</f>
        <v>287743.35514008469</v>
      </c>
      <c r="M145" s="182">
        <f>M144*Data!L$9</f>
        <v>272407.08947344957</v>
      </c>
      <c r="N145" s="182">
        <f>N144*Data!M$9</f>
        <v>257824.88069960295</v>
      </c>
      <c r="O145" s="182">
        <f>O144*Data!N$9</f>
        <v>243961.41122570689</v>
      </c>
      <c r="P145" s="182">
        <f>P144*Data!O$9</f>
        <v>230782.96472805776</v>
      </c>
      <c r="Q145" s="182">
        <f>Q144*Data!P$9</f>
        <v>221906.69685390167</v>
      </c>
      <c r="R145" s="182">
        <f>R144*Data!Q$9</f>
        <v>213371.82389798237</v>
      </c>
      <c r="S145" s="182">
        <f>S144*Data!R$9</f>
        <v>205165.21528652153</v>
      </c>
      <c r="T145" s="182">
        <f>T144*Data!S$9</f>
        <v>197274.24546780912</v>
      </c>
      <c r="U145" s="182">
        <f>U144*Data!T$9</f>
        <v>-36034.445168080681</v>
      </c>
      <c r="V145" s="182">
        <f>V144*Data!U$9</f>
        <v>0</v>
      </c>
      <c r="W145" s="182">
        <f>W144*Data!V$9</f>
        <v>0</v>
      </c>
      <c r="X145" s="182">
        <f>X144*Data!W$9</f>
        <v>0</v>
      </c>
      <c r="Y145" s="182">
        <f>Y144*Data!X$9</f>
        <v>0</v>
      </c>
      <c r="Z145" s="182">
        <f>Z144*Data!Y$9</f>
        <v>0</v>
      </c>
      <c r="AA145" s="182">
        <f>AA144*Data!Z$9</f>
        <v>0</v>
      </c>
      <c r="AB145" s="182">
        <f>AB144*Data!AA$9</f>
        <v>0</v>
      </c>
      <c r="AC145" s="182">
        <f>AC144*Data!AB$9</f>
        <v>0</v>
      </c>
      <c r="AD145" s="182">
        <f>AD144*Data!AC$9</f>
        <v>0</v>
      </c>
      <c r="AE145" s="182">
        <f>AE144*Data!AD$9</f>
        <v>0</v>
      </c>
      <c r="AF145" s="182">
        <f>AF144*Data!AE$9</f>
        <v>0</v>
      </c>
      <c r="AG145" s="182">
        <f>AG144*Data!AF$9</f>
        <v>0</v>
      </c>
      <c r="AH145" s="182">
        <f>AH144*Data!AG$9</f>
        <v>0</v>
      </c>
      <c r="AI145" s="182">
        <f>AI144*Data!AH$9</f>
        <v>0</v>
      </c>
      <c r="AJ145" s="182">
        <f>AJ144*Data!AI$9</f>
        <v>0</v>
      </c>
      <c r="AK145" s="182">
        <f>AK144*Data!AJ$9</f>
        <v>0</v>
      </c>
      <c r="AL145" s="182">
        <f>AL144*Data!AK$9</f>
        <v>0</v>
      </c>
      <c r="AM145" s="182">
        <f>AM144*Data!AL$9</f>
        <v>0</v>
      </c>
      <c r="AN145" s="182">
        <f>AN144*Data!AM$9</f>
        <v>0</v>
      </c>
      <c r="AO145" s="182">
        <f>AO144*Data!AN$9</f>
        <v>0</v>
      </c>
      <c r="AP145" s="50"/>
    </row>
    <row r="146" spans="1:42" x14ac:dyDescent="0.25">
      <c r="A146" s="12"/>
      <c r="B146" s="13"/>
      <c r="C146" s="14" t="s">
        <v>479</v>
      </c>
      <c r="D146" s="14"/>
      <c r="E146" s="15" t="s">
        <v>142</v>
      </c>
      <c r="F146" s="16"/>
      <c r="G146" s="182">
        <f>SUM(H145:AO145)</f>
        <v>3145839.9313955694</v>
      </c>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9"/>
    </row>
    <row r="147" spans="1:42" x14ac:dyDescent="0.25">
      <c r="A147" s="12"/>
      <c r="B147" s="13"/>
      <c r="C147" s="44" t="s">
        <v>514</v>
      </c>
      <c r="D147" s="44"/>
      <c r="E147" s="15" t="s">
        <v>261</v>
      </c>
      <c r="F147" s="16"/>
      <c r="G147" s="183">
        <f>G146/SUM(I110:AO110)</f>
        <v>5.0923334812800594</v>
      </c>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7"/>
    </row>
    <row r="148" spans="1:42" x14ac:dyDescent="0.25">
      <c r="A148" s="12"/>
      <c r="B148" s="13"/>
      <c r="C148" s="14"/>
      <c r="D148" s="14"/>
      <c r="E148" s="15"/>
      <c r="F148" s="16"/>
      <c r="G148" s="14"/>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17"/>
    </row>
    <row r="149" spans="1:42" x14ac:dyDescent="0.25">
      <c r="A149" s="12"/>
      <c r="B149" s="13"/>
      <c r="C149" s="19"/>
      <c r="D149" s="19"/>
      <c r="E149" s="15"/>
      <c r="F149" s="16"/>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row>
    <row r="150" spans="1:42" x14ac:dyDescent="0.25">
      <c r="A150" s="12"/>
      <c r="B150" s="13"/>
      <c r="C150" s="37" t="s">
        <v>515</v>
      </c>
      <c r="D150" s="37"/>
      <c r="E150" s="38"/>
      <c r="F150" s="39"/>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17"/>
    </row>
    <row r="151" spans="1:42" x14ac:dyDescent="0.25">
      <c r="A151" s="12"/>
      <c r="B151" s="13"/>
      <c r="C151" s="20" t="s">
        <v>516</v>
      </c>
      <c r="D151" s="45"/>
      <c r="E151" s="15"/>
      <c r="F151" s="16"/>
      <c r="G151" s="165"/>
      <c r="H151" s="165"/>
      <c r="I151" s="165"/>
      <c r="J151" s="165"/>
      <c r="K151" s="165"/>
      <c r="L151" s="165"/>
      <c r="M151" s="165"/>
      <c r="N151" s="165"/>
      <c r="O151" s="165"/>
      <c r="P151" s="165"/>
      <c r="Q151" s="165"/>
      <c r="R151" s="165"/>
      <c r="S151" s="165"/>
      <c r="T151" s="165"/>
      <c r="U151" s="28"/>
      <c r="V151" s="28"/>
      <c r="W151" s="28"/>
      <c r="X151" s="28"/>
      <c r="Y151" s="28"/>
      <c r="Z151" s="28"/>
      <c r="AA151" s="28"/>
      <c r="AB151" s="28"/>
      <c r="AC151" s="28"/>
      <c r="AD151" s="28"/>
      <c r="AE151" s="28"/>
      <c r="AF151" s="28"/>
      <c r="AG151" s="28"/>
      <c r="AH151" s="28"/>
      <c r="AI151" s="28"/>
      <c r="AJ151" s="28"/>
      <c r="AK151" s="28"/>
      <c r="AL151" s="28"/>
      <c r="AM151" s="28"/>
      <c r="AN151" s="28"/>
      <c r="AO151" s="28"/>
      <c r="AP151" s="29"/>
    </row>
    <row r="152" spans="1:42" x14ac:dyDescent="0.25">
      <c r="A152" s="12"/>
      <c r="B152" s="13"/>
      <c r="C152" s="45" t="s">
        <v>517</v>
      </c>
      <c r="D152" s="45"/>
      <c r="E152" s="15" t="s">
        <v>342</v>
      </c>
      <c r="F152" s="179">
        <f>Data!$E$169</f>
        <v>0</v>
      </c>
      <c r="G152" s="165"/>
      <c r="H152" s="165"/>
      <c r="I152" s="165"/>
      <c r="J152" s="165"/>
      <c r="K152" s="165"/>
      <c r="L152" s="165"/>
      <c r="M152" s="165"/>
      <c r="N152" s="165"/>
      <c r="O152" s="165"/>
      <c r="P152" s="165"/>
      <c r="Q152" s="165"/>
      <c r="R152" s="165"/>
      <c r="S152" s="165"/>
      <c r="T152" s="165"/>
      <c r="U152" s="28"/>
      <c r="V152" s="28"/>
      <c r="W152" s="28"/>
      <c r="X152" s="28"/>
      <c r="Y152" s="28"/>
      <c r="Z152" s="28"/>
      <c r="AA152" s="28"/>
      <c r="AB152" s="28"/>
      <c r="AC152" s="28"/>
      <c r="AD152" s="28"/>
      <c r="AE152" s="28"/>
      <c r="AF152" s="28"/>
      <c r="AG152" s="28"/>
      <c r="AH152" s="28"/>
      <c r="AI152" s="28"/>
      <c r="AJ152" s="28"/>
      <c r="AK152" s="28"/>
      <c r="AL152" s="28"/>
      <c r="AM152" s="28"/>
      <c r="AN152" s="28"/>
      <c r="AO152" s="28"/>
      <c r="AP152" s="29"/>
    </row>
    <row r="153" spans="1:42" x14ac:dyDescent="0.25">
      <c r="A153" s="12"/>
      <c r="B153" s="13"/>
      <c r="C153" s="45" t="s">
        <v>518</v>
      </c>
      <c r="D153" s="45"/>
      <c r="E153" s="15" t="s">
        <v>142</v>
      </c>
      <c r="F153" s="179"/>
      <c r="G153" s="186">
        <f>F152*Data!G16/1000</f>
        <v>0</v>
      </c>
      <c r="H153" s="165"/>
      <c r="I153" s="165"/>
      <c r="J153" s="165"/>
      <c r="K153" s="165"/>
      <c r="L153" s="165"/>
      <c r="M153" s="165"/>
      <c r="N153" s="165"/>
      <c r="O153" s="165"/>
      <c r="P153" s="165"/>
      <c r="Q153" s="165"/>
      <c r="R153" s="165"/>
      <c r="S153" s="165"/>
      <c r="T153" s="165"/>
      <c r="U153" s="28"/>
      <c r="V153" s="28"/>
      <c r="W153" s="28"/>
      <c r="X153" s="28"/>
      <c r="Y153" s="28"/>
      <c r="Z153" s="28"/>
      <c r="AA153" s="28"/>
      <c r="AB153" s="28"/>
      <c r="AC153" s="28"/>
      <c r="AD153" s="28"/>
      <c r="AE153" s="28"/>
      <c r="AF153" s="28"/>
      <c r="AG153" s="28"/>
      <c r="AH153" s="28"/>
      <c r="AI153" s="28"/>
      <c r="AJ153" s="28"/>
      <c r="AK153" s="28"/>
      <c r="AL153" s="28"/>
      <c r="AM153" s="28"/>
      <c r="AN153" s="28"/>
      <c r="AO153" s="28"/>
      <c r="AP153" s="29"/>
    </row>
    <row r="154" spans="1:42" x14ac:dyDescent="0.25">
      <c r="A154" s="12"/>
      <c r="B154" s="13"/>
      <c r="C154" s="45" t="s">
        <v>518</v>
      </c>
      <c r="D154" s="45"/>
      <c r="E154" s="15" t="s">
        <v>261</v>
      </c>
      <c r="F154" s="179"/>
      <c r="G154" s="184">
        <f>G153/(SUM(H110:AN110))</f>
        <v>0</v>
      </c>
      <c r="H154" s="165"/>
      <c r="I154" s="165"/>
      <c r="J154" s="165"/>
      <c r="K154" s="165"/>
      <c r="L154" s="165"/>
      <c r="M154" s="165"/>
      <c r="N154" s="165"/>
      <c r="O154" s="165"/>
      <c r="P154" s="165"/>
      <c r="Q154" s="165"/>
      <c r="R154" s="165"/>
      <c r="S154" s="165"/>
      <c r="T154" s="165"/>
      <c r="U154" s="28"/>
      <c r="V154" s="28"/>
      <c r="W154" s="28"/>
      <c r="X154" s="28"/>
      <c r="Y154" s="28"/>
      <c r="Z154" s="28"/>
      <c r="AA154" s="28"/>
      <c r="AB154" s="28"/>
      <c r="AC154" s="28"/>
      <c r="AD154" s="28"/>
      <c r="AE154" s="28"/>
      <c r="AF154" s="28"/>
      <c r="AG154" s="28"/>
      <c r="AH154" s="28"/>
      <c r="AI154" s="28"/>
      <c r="AJ154" s="28"/>
      <c r="AK154" s="28"/>
      <c r="AL154" s="28"/>
      <c r="AM154" s="28"/>
      <c r="AN154" s="28"/>
      <c r="AO154" s="28"/>
      <c r="AP154" s="29"/>
    </row>
    <row r="155" spans="1:42" x14ac:dyDescent="0.25">
      <c r="A155" s="12"/>
      <c r="B155" s="13"/>
      <c r="C155" s="20" t="s">
        <v>519</v>
      </c>
      <c r="D155" s="19"/>
      <c r="E155" s="15"/>
      <c r="F155" s="16"/>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7"/>
    </row>
    <row r="156" spans="1:42" x14ac:dyDescent="0.25">
      <c r="A156" s="12"/>
      <c r="B156" s="13"/>
      <c r="C156" t="s">
        <v>520</v>
      </c>
      <c r="D156" s="14"/>
      <c r="E156" s="15" t="s">
        <v>521</v>
      </c>
      <c r="F156" s="16"/>
      <c r="G156" s="20" t="s">
        <v>522</v>
      </c>
      <c r="H156" s="141"/>
      <c r="I156" s="141">
        <f>I110</f>
        <v>51480</v>
      </c>
      <c r="J156" s="141">
        <f t="shared" ref="J156:AO156" si="20">J110</f>
        <v>51480</v>
      </c>
      <c r="K156" s="141">
        <f t="shared" si="20"/>
        <v>51480</v>
      </c>
      <c r="L156" s="141">
        <f t="shared" si="20"/>
        <v>51480</v>
      </c>
      <c r="M156" s="141">
        <f t="shared" si="20"/>
        <v>51480</v>
      </c>
      <c r="N156" s="141">
        <f t="shared" si="20"/>
        <v>51480</v>
      </c>
      <c r="O156" s="141">
        <f t="shared" si="20"/>
        <v>51480</v>
      </c>
      <c r="P156" s="141">
        <f t="shared" si="20"/>
        <v>51480</v>
      </c>
      <c r="Q156" s="141">
        <f t="shared" si="20"/>
        <v>51480</v>
      </c>
      <c r="R156" s="141">
        <f t="shared" si="20"/>
        <v>51480</v>
      </c>
      <c r="S156" s="141">
        <f t="shared" si="20"/>
        <v>51480</v>
      </c>
      <c r="T156" s="141">
        <f t="shared" si="20"/>
        <v>51480</v>
      </c>
      <c r="U156" s="141">
        <f t="shared" si="20"/>
        <v>0</v>
      </c>
      <c r="V156" s="141">
        <f t="shared" si="20"/>
        <v>0</v>
      </c>
      <c r="W156" s="141">
        <f t="shared" si="20"/>
        <v>0</v>
      </c>
      <c r="X156" s="141">
        <f t="shared" si="20"/>
        <v>0</v>
      </c>
      <c r="Y156" s="141">
        <f t="shared" si="20"/>
        <v>0</v>
      </c>
      <c r="Z156" s="141">
        <f t="shared" si="20"/>
        <v>0</v>
      </c>
      <c r="AA156" s="141">
        <f t="shared" si="20"/>
        <v>0</v>
      </c>
      <c r="AB156" s="141">
        <f t="shared" si="20"/>
        <v>0</v>
      </c>
      <c r="AC156" s="141">
        <f t="shared" si="20"/>
        <v>0</v>
      </c>
      <c r="AD156" s="141">
        <f t="shared" si="20"/>
        <v>0</v>
      </c>
      <c r="AE156" s="141">
        <f t="shared" si="20"/>
        <v>0</v>
      </c>
      <c r="AF156" s="141">
        <f t="shared" si="20"/>
        <v>0</v>
      </c>
      <c r="AG156" s="141">
        <f t="shared" si="20"/>
        <v>0</v>
      </c>
      <c r="AH156" s="141">
        <f t="shared" si="20"/>
        <v>0</v>
      </c>
      <c r="AI156" s="141">
        <f t="shared" si="20"/>
        <v>0</v>
      </c>
      <c r="AJ156" s="141">
        <f t="shared" si="20"/>
        <v>0</v>
      </c>
      <c r="AK156" s="141">
        <f t="shared" si="20"/>
        <v>0</v>
      </c>
      <c r="AL156" s="141">
        <f t="shared" si="20"/>
        <v>0</v>
      </c>
      <c r="AM156" s="141">
        <f t="shared" si="20"/>
        <v>0</v>
      </c>
      <c r="AN156" s="141">
        <f t="shared" si="20"/>
        <v>0</v>
      </c>
      <c r="AO156" s="141">
        <f t="shared" si="20"/>
        <v>0</v>
      </c>
      <c r="AP156" s="14"/>
    </row>
    <row r="157" spans="1:42" x14ac:dyDescent="0.25">
      <c r="A157" s="12"/>
      <c r="B157" s="13"/>
      <c r="C157" s="14" t="s">
        <v>535</v>
      </c>
      <c r="D157" s="14"/>
      <c r="E157" s="15"/>
      <c r="F157" s="16"/>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4"/>
      <c r="AH157" s="14"/>
      <c r="AI157" s="14"/>
      <c r="AJ157" s="14"/>
      <c r="AK157" s="14"/>
      <c r="AL157" s="14"/>
      <c r="AM157" s="14"/>
      <c r="AN157" s="14"/>
      <c r="AO157" s="14"/>
      <c r="AP157" s="14"/>
    </row>
    <row r="158" spans="1:42" ht="14.25" customHeight="1" x14ac:dyDescent="0.25">
      <c r="A158" s="54"/>
      <c r="B158" s="13"/>
      <c r="C158" s="14" t="s">
        <v>205</v>
      </c>
      <c r="D158" s="14"/>
      <c r="E158" s="70" t="s">
        <v>352</v>
      </c>
      <c r="F158" s="201">
        <f>Data!E495/1000</f>
        <v>4.3953694163207466E-3</v>
      </c>
      <c r="G158" s="231">
        <f>SUM(I158:AO158)</f>
        <v>2715.2834106263044</v>
      </c>
      <c r="H158" s="56"/>
      <c r="I158" s="56">
        <f>I$156*$F158</f>
        <v>226.27361755219204</v>
      </c>
      <c r="J158" s="56">
        <f t="shared" ref="J158:AO164" si="21">J$156*$F158</f>
        <v>226.27361755219204</v>
      </c>
      <c r="K158" s="56">
        <f t="shared" si="21"/>
        <v>226.27361755219204</v>
      </c>
      <c r="L158" s="56">
        <f t="shared" si="21"/>
        <v>226.27361755219204</v>
      </c>
      <c r="M158" s="56">
        <f t="shared" si="21"/>
        <v>226.27361755219204</v>
      </c>
      <c r="N158" s="56">
        <f t="shared" si="21"/>
        <v>226.27361755219204</v>
      </c>
      <c r="O158" s="56">
        <f t="shared" si="21"/>
        <v>226.27361755219204</v>
      </c>
      <c r="P158" s="56">
        <f t="shared" si="21"/>
        <v>226.27361755219204</v>
      </c>
      <c r="Q158" s="56">
        <f t="shared" si="21"/>
        <v>226.27361755219204</v>
      </c>
      <c r="R158" s="56">
        <f t="shared" si="21"/>
        <v>226.27361755219204</v>
      </c>
      <c r="S158" s="56">
        <f t="shared" si="21"/>
        <v>226.27361755219204</v>
      </c>
      <c r="T158" s="56">
        <f t="shared" si="21"/>
        <v>226.27361755219204</v>
      </c>
      <c r="U158" s="56">
        <f t="shared" si="21"/>
        <v>0</v>
      </c>
      <c r="V158" s="56">
        <f t="shared" si="21"/>
        <v>0</v>
      </c>
      <c r="W158" s="56">
        <f t="shared" si="21"/>
        <v>0</v>
      </c>
      <c r="X158" s="56">
        <f t="shared" si="21"/>
        <v>0</v>
      </c>
      <c r="Y158" s="56">
        <f t="shared" si="21"/>
        <v>0</v>
      </c>
      <c r="Z158" s="56">
        <f t="shared" si="21"/>
        <v>0</v>
      </c>
      <c r="AA158" s="56">
        <f t="shared" si="21"/>
        <v>0</v>
      </c>
      <c r="AB158" s="56">
        <f t="shared" si="21"/>
        <v>0</v>
      </c>
      <c r="AC158" s="56">
        <f t="shared" si="21"/>
        <v>0</v>
      </c>
      <c r="AD158" s="56">
        <f t="shared" si="21"/>
        <v>0</v>
      </c>
      <c r="AE158" s="56">
        <f t="shared" si="21"/>
        <v>0</v>
      </c>
      <c r="AF158" s="56">
        <f t="shared" si="21"/>
        <v>0</v>
      </c>
      <c r="AG158" s="56">
        <f t="shared" si="21"/>
        <v>0</v>
      </c>
      <c r="AH158" s="56">
        <f t="shared" si="21"/>
        <v>0</v>
      </c>
      <c r="AI158" s="56">
        <f t="shared" si="21"/>
        <v>0</v>
      </c>
      <c r="AJ158" s="56">
        <f t="shared" si="21"/>
        <v>0</v>
      </c>
      <c r="AK158" s="56">
        <f t="shared" si="21"/>
        <v>0</v>
      </c>
      <c r="AL158" s="56">
        <f t="shared" si="21"/>
        <v>0</v>
      </c>
      <c r="AM158" s="56">
        <f t="shared" si="21"/>
        <v>0</v>
      </c>
      <c r="AN158" s="56">
        <f t="shared" si="21"/>
        <v>0</v>
      </c>
      <c r="AO158" s="56">
        <f t="shared" si="21"/>
        <v>0</v>
      </c>
      <c r="AP158" s="29"/>
    </row>
    <row r="159" spans="1:42" ht="14.25" customHeight="1" x14ac:dyDescent="0.25">
      <c r="A159" s="54"/>
      <c r="B159" s="13"/>
      <c r="C159" s="14" t="s">
        <v>484</v>
      </c>
      <c r="D159" s="14"/>
      <c r="E159" s="70" t="s">
        <v>352</v>
      </c>
      <c r="F159" s="201">
        <f>Data!E496/1000</f>
        <v>1.0257706042677175</v>
      </c>
      <c r="G159" s="231">
        <f t="shared" ref="G159:G171" si="22">SUM(I159:AO159)</f>
        <v>633680.04849242512</v>
      </c>
      <c r="H159" s="56"/>
      <c r="I159" s="56">
        <f>I$156*$F159</f>
        <v>52806.670707702098</v>
      </c>
      <c r="J159" s="56">
        <f t="shared" ref="I159:X163" si="23">J$156*$F159</f>
        <v>52806.670707702098</v>
      </c>
      <c r="K159" s="56">
        <f t="shared" si="23"/>
        <v>52806.670707702098</v>
      </c>
      <c r="L159" s="56">
        <f t="shared" si="23"/>
        <v>52806.670707702098</v>
      </c>
      <c r="M159" s="56">
        <f t="shared" si="23"/>
        <v>52806.670707702098</v>
      </c>
      <c r="N159" s="56">
        <f t="shared" si="23"/>
        <v>52806.670707702098</v>
      </c>
      <c r="O159" s="56">
        <f t="shared" si="23"/>
        <v>52806.670707702098</v>
      </c>
      <c r="P159" s="56">
        <f t="shared" si="23"/>
        <v>52806.670707702098</v>
      </c>
      <c r="Q159" s="56">
        <f t="shared" si="23"/>
        <v>52806.670707702098</v>
      </c>
      <c r="R159" s="56">
        <f t="shared" si="23"/>
        <v>52806.670707702098</v>
      </c>
      <c r="S159" s="56">
        <f t="shared" si="23"/>
        <v>52806.670707702098</v>
      </c>
      <c r="T159" s="56">
        <f t="shared" si="23"/>
        <v>52806.670707702098</v>
      </c>
      <c r="U159" s="56">
        <f t="shared" si="23"/>
        <v>0</v>
      </c>
      <c r="V159" s="56">
        <f t="shared" si="23"/>
        <v>0</v>
      </c>
      <c r="W159" s="56">
        <f t="shared" si="23"/>
        <v>0</v>
      </c>
      <c r="X159" s="56">
        <f t="shared" si="23"/>
        <v>0</v>
      </c>
      <c r="Y159" s="56">
        <f t="shared" si="21"/>
        <v>0</v>
      </c>
      <c r="Z159" s="56">
        <f t="shared" si="21"/>
        <v>0</v>
      </c>
      <c r="AA159" s="56">
        <f t="shared" si="21"/>
        <v>0</v>
      </c>
      <c r="AB159" s="56">
        <f t="shared" si="21"/>
        <v>0</v>
      </c>
      <c r="AC159" s="56">
        <f t="shared" si="21"/>
        <v>0</v>
      </c>
      <c r="AD159" s="56">
        <f t="shared" si="21"/>
        <v>0</v>
      </c>
      <c r="AE159" s="56">
        <f t="shared" si="21"/>
        <v>0</v>
      </c>
      <c r="AF159" s="56">
        <f t="shared" si="21"/>
        <v>0</v>
      </c>
      <c r="AG159" s="56">
        <f t="shared" si="21"/>
        <v>0</v>
      </c>
      <c r="AH159" s="56">
        <f t="shared" si="21"/>
        <v>0</v>
      </c>
      <c r="AI159" s="56">
        <f t="shared" si="21"/>
        <v>0</v>
      </c>
      <c r="AJ159" s="56">
        <f t="shared" si="21"/>
        <v>0</v>
      </c>
      <c r="AK159" s="56">
        <f t="shared" si="21"/>
        <v>0</v>
      </c>
      <c r="AL159" s="56">
        <f t="shared" si="21"/>
        <v>0</v>
      </c>
      <c r="AM159" s="56">
        <f t="shared" si="21"/>
        <v>0</v>
      </c>
      <c r="AN159" s="56">
        <f t="shared" si="21"/>
        <v>0</v>
      </c>
      <c r="AO159" s="56">
        <f t="shared" si="21"/>
        <v>0</v>
      </c>
      <c r="AP159" s="29"/>
    </row>
    <row r="160" spans="1:42" x14ac:dyDescent="0.25">
      <c r="A160" s="54"/>
      <c r="B160" s="13"/>
      <c r="C160" s="14" t="s">
        <v>285</v>
      </c>
      <c r="D160" s="14"/>
      <c r="E160" s="70" t="s">
        <v>352</v>
      </c>
      <c r="F160" s="201">
        <f>Data!E497/1000</f>
        <v>3.4917477856892727E-4</v>
      </c>
      <c r="G160" s="231">
        <f t="shared" si="22"/>
        <v>215.70621120874054</v>
      </c>
      <c r="H160" s="56"/>
      <c r="I160" s="56">
        <f t="shared" si="23"/>
        <v>17.975517600728377</v>
      </c>
      <c r="J160" s="56">
        <f t="shared" si="21"/>
        <v>17.975517600728377</v>
      </c>
      <c r="K160" s="56">
        <f t="shared" si="21"/>
        <v>17.975517600728377</v>
      </c>
      <c r="L160" s="56">
        <f t="shared" si="21"/>
        <v>17.975517600728377</v>
      </c>
      <c r="M160" s="56">
        <f t="shared" si="21"/>
        <v>17.975517600728377</v>
      </c>
      <c r="N160" s="56">
        <f t="shared" si="21"/>
        <v>17.975517600728377</v>
      </c>
      <c r="O160" s="56">
        <f t="shared" si="21"/>
        <v>17.975517600728377</v>
      </c>
      <c r="P160" s="56">
        <f t="shared" si="21"/>
        <v>17.975517600728377</v>
      </c>
      <c r="Q160" s="56">
        <f t="shared" si="21"/>
        <v>17.975517600728377</v>
      </c>
      <c r="R160" s="56">
        <f t="shared" si="21"/>
        <v>17.975517600728377</v>
      </c>
      <c r="S160" s="56">
        <f t="shared" si="21"/>
        <v>17.975517600728377</v>
      </c>
      <c r="T160" s="56">
        <f t="shared" si="21"/>
        <v>17.975517600728377</v>
      </c>
      <c r="U160" s="56">
        <f t="shared" si="21"/>
        <v>0</v>
      </c>
      <c r="V160" s="56">
        <f t="shared" si="21"/>
        <v>0</v>
      </c>
      <c r="W160" s="56">
        <f t="shared" si="21"/>
        <v>0</v>
      </c>
      <c r="X160" s="56">
        <f t="shared" si="21"/>
        <v>0</v>
      </c>
      <c r="Y160" s="56">
        <f t="shared" si="21"/>
        <v>0</v>
      </c>
      <c r="Z160" s="56">
        <f t="shared" si="21"/>
        <v>0</v>
      </c>
      <c r="AA160" s="56">
        <f t="shared" si="21"/>
        <v>0</v>
      </c>
      <c r="AB160" s="56">
        <f t="shared" si="21"/>
        <v>0</v>
      </c>
      <c r="AC160" s="56">
        <f t="shared" si="21"/>
        <v>0</v>
      </c>
      <c r="AD160" s="56">
        <f t="shared" si="21"/>
        <v>0</v>
      </c>
      <c r="AE160" s="56">
        <f t="shared" si="21"/>
        <v>0</v>
      </c>
      <c r="AF160" s="56">
        <f t="shared" si="21"/>
        <v>0</v>
      </c>
      <c r="AG160" s="56">
        <f t="shared" si="21"/>
        <v>0</v>
      </c>
      <c r="AH160" s="56">
        <f t="shared" si="21"/>
        <v>0</v>
      </c>
      <c r="AI160" s="56">
        <f t="shared" si="21"/>
        <v>0</v>
      </c>
      <c r="AJ160" s="56">
        <f t="shared" si="21"/>
        <v>0</v>
      </c>
      <c r="AK160" s="56">
        <f t="shared" si="21"/>
        <v>0</v>
      </c>
      <c r="AL160" s="56">
        <f t="shared" si="21"/>
        <v>0</v>
      </c>
      <c r="AM160" s="56">
        <f t="shared" si="21"/>
        <v>0</v>
      </c>
      <c r="AN160" s="56">
        <f t="shared" si="21"/>
        <v>0</v>
      </c>
      <c r="AO160" s="56">
        <f t="shared" si="21"/>
        <v>0</v>
      </c>
      <c r="AP160" s="29"/>
    </row>
    <row r="161" spans="1:42" x14ac:dyDescent="0.25">
      <c r="A161" s="54"/>
      <c r="B161" s="13"/>
      <c r="C161" s="14" t="s">
        <v>220</v>
      </c>
      <c r="D161" s="14"/>
      <c r="E161" s="70" t="s">
        <v>352</v>
      </c>
      <c r="F161" s="201">
        <f>Data!E498/1000</f>
        <v>1.5499642131509336E-2</v>
      </c>
      <c r="G161" s="231">
        <f t="shared" si="22"/>
        <v>9575.0589231612084</v>
      </c>
      <c r="H161" s="56"/>
      <c r="I161" s="56">
        <f t="shared" si="23"/>
        <v>797.92157693010063</v>
      </c>
      <c r="J161" s="56">
        <f t="shared" si="21"/>
        <v>797.92157693010063</v>
      </c>
      <c r="K161" s="56">
        <f t="shared" si="21"/>
        <v>797.92157693010063</v>
      </c>
      <c r="L161" s="56">
        <f t="shared" si="21"/>
        <v>797.92157693010063</v>
      </c>
      <c r="M161" s="56">
        <f t="shared" si="21"/>
        <v>797.92157693010063</v>
      </c>
      <c r="N161" s="56">
        <f t="shared" si="21"/>
        <v>797.92157693010063</v>
      </c>
      <c r="O161" s="56">
        <f t="shared" si="21"/>
        <v>797.92157693010063</v>
      </c>
      <c r="P161" s="56">
        <f t="shared" si="21"/>
        <v>797.92157693010063</v>
      </c>
      <c r="Q161" s="56">
        <f t="shared" si="21"/>
        <v>797.92157693010063</v>
      </c>
      <c r="R161" s="56">
        <f t="shared" si="21"/>
        <v>797.92157693010063</v>
      </c>
      <c r="S161" s="56">
        <f t="shared" si="21"/>
        <v>797.92157693010063</v>
      </c>
      <c r="T161" s="56">
        <f t="shared" si="21"/>
        <v>797.92157693010063</v>
      </c>
      <c r="U161" s="56">
        <f t="shared" si="21"/>
        <v>0</v>
      </c>
      <c r="V161" s="56">
        <f t="shared" si="21"/>
        <v>0</v>
      </c>
      <c r="W161" s="56">
        <f t="shared" si="21"/>
        <v>0</v>
      </c>
      <c r="X161" s="56">
        <f t="shared" si="21"/>
        <v>0</v>
      </c>
      <c r="Y161" s="56">
        <f t="shared" si="21"/>
        <v>0</v>
      </c>
      <c r="Z161" s="56">
        <f t="shared" si="21"/>
        <v>0</v>
      </c>
      <c r="AA161" s="56">
        <f t="shared" si="21"/>
        <v>0</v>
      </c>
      <c r="AB161" s="56">
        <f t="shared" si="21"/>
        <v>0</v>
      </c>
      <c r="AC161" s="56">
        <f t="shared" si="21"/>
        <v>0</v>
      </c>
      <c r="AD161" s="56">
        <f t="shared" si="21"/>
        <v>0</v>
      </c>
      <c r="AE161" s="56">
        <f t="shared" si="21"/>
        <v>0</v>
      </c>
      <c r="AF161" s="56">
        <f t="shared" si="21"/>
        <v>0</v>
      </c>
      <c r="AG161" s="56">
        <f t="shared" si="21"/>
        <v>0</v>
      </c>
      <c r="AH161" s="56">
        <f t="shared" si="21"/>
        <v>0</v>
      </c>
      <c r="AI161" s="56">
        <f t="shared" si="21"/>
        <v>0</v>
      </c>
      <c r="AJ161" s="56">
        <f t="shared" si="21"/>
        <v>0</v>
      </c>
      <c r="AK161" s="56">
        <f t="shared" si="21"/>
        <v>0</v>
      </c>
      <c r="AL161" s="56">
        <f t="shared" si="21"/>
        <v>0</v>
      </c>
      <c r="AM161" s="56">
        <f t="shared" si="21"/>
        <v>0</v>
      </c>
      <c r="AN161" s="56">
        <f t="shared" si="21"/>
        <v>0</v>
      </c>
      <c r="AO161" s="56">
        <f t="shared" si="21"/>
        <v>0</v>
      </c>
      <c r="AP161" s="29"/>
    </row>
    <row r="162" spans="1:42" x14ac:dyDescent="0.25">
      <c r="A162" s="54"/>
      <c r="B162" s="13"/>
      <c r="C162" s="14" t="s">
        <v>212</v>
      </c>
      <c r="D162" s="14"/>
      <c r="E162" s="70" t="s">
        <v>352</v>
      </c>
      <c r="F162" s="201">
        <f>Data!E499/1000</f>
        <v>1.7773516852597467E-3</v>
      </c>
      <c r="G162" s="231">
        <f t="shared" si="22"/>
        <v>1097.976777086061</v>
      </c>
      <c r="H162" s="56"/>
      <c r="I162" s="56">
        <f>I$156*$F162</f>
        <v>91.498064757171761</v>
      </c>
      <c r="J162" s="56">
        <f t="shared" si="21"/>
        <v>91.498064757171761</v>
      </c>
      <c r="K162" s="56">
        <f t="shared" si="21"/>
        <v>91.498064757171761</v>
      </c>
      <c r="L162" s="56">
        <f t="shared" si="21"/>
        <v>91.498064757171761</v>
      </c>
      <c r="M162" s="56">
        <f t="shared" si="21"/>
        <v>91.498064757171761</v>
      </c>
      <c r="N162" s="56">
        <f t="shared" si="21"/>
        <v>91.498064757171761</v>
      </c>
      <c r="O162" s="56">
        <f t="shared" si="21"/>
        <v>91.498064757171761</v>
      </c>
      <c r="P162" s="56">
        <f t="shared" si="21"/>
        <v>91.498064757171761</v>
      </c>
      <c r="Q162" s="56">
        <f t="shared" si="21"/>
        <v>91.498064757171761</v>
      </c>
      <c r="R162" s="56">
        <f t="shared" si="21"/>
        <v>91.498064757171761</v>
      </c>
      <c r="S162" s="56">
        <f t="shared" si="21"/>
        <v>91.498064757171761</v>
      </c>
      <c r="T162" s="56">
        <f t="shared" si="21"/>
        <v>91.498064757171761</v>
      </c>
      <c r="U162" s="56">
        <f t="shared" si="21"/>
        <v>0</v>
      </c>
      <c r="V162" s="56">
        <f t="shared" si="21"/>
        <v>0</v>
      </c>
      <c r="W162" s="56">
        <f t="shared" si="21"/>
        <v>0</v>
      </c>
      <c r="X162" s="56">
        <f t="shared" si="21"/>
        <v>0</v>
      </c>
      <c r="Y162" s="56">
        <f t="shared" si="21"/>
        <v>0</v>
      </c>
      <c r="Z162" s="56">
        <f t="shared" si="21"/>
        <v>0</v>
      </c>
      <c r="AA162" s="56">
        <f t="shared" si="21"/>
        <v>0</v>
      </c>
      <c r="AB162" s="56">
        <f t="shared" si="21"/>
        <v>0</v>
      </c>
      <c r="AC162" s="56">
        <f t="shared" si="21"/>
        <v>0</v>
      </c>
      <c r="AD162" s="56">
        <f t="shared" si="21"/>
        <v>0</v>
      </c>
      <c r="AE162" s="56">
        <f t="shared" si="21"/>
        <v>0</v>
      </c>
      <c r="AF162" s="56">
        <f t="shared" si="21"/>
        <v>0</v>
      </c>
      <c r="AG162" s="56">
        <f t="shared" si="21"/>
        <v>0</v>
      </c>
      <c r="AH162" s="56">
        <f t="shared" si="21"/>
        <v>0</v>
      </c>
      <c r="AI162" s="56">
        <f t="shared" si="21"/>
        <v>0</v>
      </c>
      <c r="AJ162" s="56">
        <f t="shared" si="21"/>
        <v>0</v>
      </c>
      <c r="AK162" s="56">
        <f t="shared" si="21"/>
        <v>0</v>
      </c>
      <c r="AL162" s="56">
        <f t="shared" si="21"/>
        <v>0</v>
      </c>
      <c r="AM162" s="56">
        <f t="shared" si="21"/>
        <v>0</v>
      </c>
      <c r="AN162" s="56">
        <f t="shared" si="21"/>
        <v>0</v>
      </c>
      <c r="AO162" s="56">
        <f t="shared" si="21"/>
        <v>0</v>
      </c>
      <c r="AP162" s="29"/>
    </row>
    <row r="163" spans="1:42" x14ac:dyDescent="0.25">
      <c r="A163" s="54"/>
      <c r="B163" s="13"/>
      <c r="C163" s="14" t="s">
        <v>485</v>
      </c>
      <c r="D163" s="14"/>
      <c r="E163" s="70" t="s">
        <v>352</v>
      </c>
      <c r="F163" s="201">
        <f>Data!E500/1000</f>
        <v>3.8228686252612731E-4</v>
      </c>
      <c r="G163" s="231">
        <f t="shared" si="22"/>
        <v>236.16153219414045</v>
      </c>
      <c r="H163" s="56"/>
      <c r="I163" s="56">
        <f t="shared" si="23"/>
        <v>19.680127682845033</v>
      </c>
      <c r="J163" s="56">
        <f t="shared" si="21"/>
        <v>19.680127682845033</v>
      </c>
      <c r="K163" s="56">
        <f t="shared" si="21"/>
        <v>19.680127682845033</v>
      </c>
      <c r="L163" s="56">
        <f t="shared" si="21"/>
        <v>19.680127682845033</v>
      </c>
      <c r="M163" s="56">
        <f t="shared" si="21"/>
        <v>19.680127682845033</v>
      </c>
      <c r="N163" s="56">
        <f t="shared" si="21"/>
        <v>19.680127682845033</v>
      </c>
      <c r="O163" s="56">
        <f t="shared" si="21"/>
        <v>19.680127682845033</v>
      </c>
      <c r="P163" s="56">
        <f t="shared" si="21"/>
        <v>19.680127682845033</v>
      </c>
      <c r="Q163" s="56">
        <f t="shared" si="21"/>
        <v>19.680127682845033</v>
      </c>
      <c r="R163" s="56">
        <f t="shared" si="21"/>
        <v>19.680127682845033</v>
      </c>
      <c r="S163" s="56">
        <f t="shared" si="21"/>
        <v>19.680127682845033</v>
      </c>
      <c r="T163" s="56">
        <f t="shared" si="21"/>
        <v>19.680127682845033</v>
      </c>
      <c r="U163" s="56">
        <f t="shared" si="21"/>
        <v>0</v>
      </c>
      <c r="V163" s="56">
        <f t="shared" si="21"/>
        <v>0</v>
      </c>
      <c r="W163" s="56">
        <f t="shared" si="21"/>
        <v>0</v>
      </c>
      <c r="X163" s="56">
        <f t="shared" si="21"/>
        <v>0</v>
      </c>
      <c r="Y163" s="56">
        <f t="shared" si="21"/>
        <v>0</v>
      </c>
      <c r="Z163" s="56">
        <f t="shared" si="21"/>
        <v>0</v>
      </c>
      <c r="AA163" s="56">
        <f t="shared" si="21"/>
        <v>0</v>
      </c>
      <c r="AB163" s="56">
        <f t="shared" si="21"/>
        <v>0</v>
      </c>
      <c r="AC163" s="56">
        <f t="shared" si="21"/>
        <v>0</v>
      </c>
      <c r="AD163" s="56">
        <f t="shared" si="21"/>
        <v>0</v>
      </c>
      <c r="AE163" s="56">
        <f t="shared" si="21"/>
        <v>0</v>
      </c>
      <c r="AF163" s="56">
        <f t="shared" si="21"/>
        <v>0</v>
      </c>
      <c r="AG163" s="56">
        <f t="shared" si="21"/>
        <v>0</v>
      </c>
      <c r="AH163" s="56">
        <f t="shared" si="21"/>
        <v>0</v>
      </c>
      <c r="AI163" s="56">
        <f t="shared" si="21"/>
        <v>0</v>
      </c>
      <c r="AJ163" s="56">
        <f t="shared" si="21"/>
        <v>0</v>
      </c>
      <c r="AK163" s="56">
        <f t="shared" si="21"/>
        <v>0</v>
      </c>
      <c r="AL163" s="56">
        <f t="shared" si="21"/>
        <v>0</v>
      </c>
      <c r="AM163" s="56">
        <f t="shared" si="21"/>
        <v>0</v>
      </c>
      <c r="AN163" s="56">
        <f t="shared" si="21"/>
        <v>0</v>
      </c>
      <c r="AO163" s="56">
        <f t="shared" si="21"/>
        <v>0</v>
      </c>
      <c r="AP163" s="29"/>
    </row>
    <row r="164" spans="1:42" x14ac:dyDescent="0.25">
      <c r="A164" s="54"/>
      <c r="B164" s="13"/>
      <c r="C164" s="14" t="s">
        <v>214</v>
      </c>
      <c r="D164" s="14"/>
      <c r="E164" s="70" t="s">
        <v>352</v>
      </c>
      <c r="F164" s="201">
        <f>Data!E501/1000</f>
        <v>4.1005175397632309E-5</v>
      </c>
      <c r="G164" s="231">
        <f t="shared" si="22"/>
        <v>25.331357153641335</v>
      </c>
      <c r="H164" s="56"/>
      <c r="I164" s="56">
        <f>I$156*$F164</f>
        <v>2.1109464294701112</v>
      </c>
      <c r="J164" s="56">
        <f t="shared" si="21"/>
        <v>2.1109464294701112</v>
      </c>
      <c r="K164" s="56">
        <f t="shared" si="21"/>
        <v>2.1109464294701112</v>
      </c>
      <c r="L164" s="56">
        <f t="shared" si="21"/>
        <v>2.1109464294701112</v>
      </c>
      <c r="M164" s="56">
        <f t="shared" si="21"/>
        <v>2.1109464294701112</v>
      </c>
      <c r="N164" s="56">
        <f t="shared" si="21"/>
        <v>2.1109464294701112</v>
      </c>
      <c r="O164" s="56">
        <f t="shared" si="21"/>
        <v>2.1109464294701112</v>
      </c>
      <c r="P164" s="56">
        <f t="shared" si="21"/>
        <v>2.1109464294701112</v>
      </c>
      <c r="Q164" s="56">
        <f t="shared" si="21"/>
        <v>2.1109464294701112</v>
      </c>
      <c r="R164" s="56">
        <f t="shared" si="21"/>
        <v>2.1109464294701112</v>
      </c>
      <c r="S164" s="56">
        <f t="shared" si="21"/>
        <v>2.1109464294701112</v>
      </c>
      <c r="T164" s="56">
        <f t="shared" si="21"/>
        <v>2.1109464294701112</v>
      </c>
      <c r="U164" s="56">
        <f t="shared" si="21"/>
        <v>0</v>
      </c>
      <c r="V164" s="56">
        <f t="shared" si="21"/>
        <v>0</v>
      </c>
      <c r="W164" s="56">
        <f t="shared" si="21"/>
        <v>0</v>
      </c>
      <c r="X164" s="56">
        <f t="shared" si="21"/>
        <v>0</v>
      </c>
      <c r="Y164" s="56">
        <f t="shared" si="21"/>
        <v>0</v>
      </c>
      <c r="Z164" s="56">
        <f t="shared" si="21"/>
        <v>0</v>
      </c>
      <c r="AA164" s="56">
        <f t="shared" si="21"/>
        <v>0</v>
      </c>
      <c r="AB164" s="56">
        <f t="shared" si="21"/>
        <v>0</v>
      </c>
      <c r="AC164" s="56">
        <f t="shared" si="21"/>
        <v>0</v>
      </c>
      <c r="AD164" s="56">
        <f t="shared" si="21"/>
        <v>0</v>
      </c>
      <c r="AE164" s="56">
        <f t="shared" si="21"/>
        <v>0</v>
      </c>
      <c r="AF164" s="56">
        <f t="shared" si="21"/>
        <v>0</v>
      </c>
      <c r="AG164" s="56">
        <f t="shared" si="21"/>
        <v>0</v>
      </c>
      <c r="AH164" s="56">
        <f t="shared" si="21"/>
        <v>0</v>
      </c>
      <c r="AI164" s="56">
        <f t="shared" si="21"/>
        <v>0</v>
      </c>
      <c r="AJ164" s="56">
        <f t="shared" si="21"/>
        <v>0</v>
      </c>
      <c r="AK164" s="56">
        <f t="shared" si="21"/>
        <v>0</v>
      </c>
      <c r="AL164" s="56">
        <f t="shared" si="21"/>
        <v>0</v>
      </c>
      <c r="AM164" s="56">
        <f t="shared" si="21"/>
        <v>0</v>
      </c>
      <c r="AN164" s="56">
        <f t="shared" si="21"/>
        <v>0</v>
      </c>
      <c r="AO164" s="56">
        <f t="shared" si="21"/>
        <v>0</v>
      </c>
      <c r="AP164" s="29"/>
    </row>
    <row r="165" spans="1:42" x14ac:dyDescent="0.25">
      <c r="A165" s="12"/>
      <c r="B165" s="13"/>
      <c r="C165" s="14"/>
      <c r="D165" s="14"/>
      <c r="E165" s="15"/>
      <c r="F165" s="16"/>
      <c r="G165" s="231">
        <f t="shared" si="22"/>
        <v>0</v>
      </c>
      <c r="H165" s="159"/>
      <c r="I165" s="56"/>
      <c r="J165" s="56"/>
      <c r="K165" s="56"/>
      <c r="L165" s="56"/>
      <c r="M165" s="56"/>
      <c r="N165" s="56"/>
      <c r="O165" s="56"/>
      <c r="P165" s="56"/>
      <c r="Q165" s="56"/>
      <c r="R165" s="56"/>
      <c r="S165" s="56"/>
      <c r="T165" s="56"/>
      <c r="U165" s="56"/>
      <c r="V165" s="56"/>
      <c r="W165" s="56"/>
      <c r="X165" s="56"/>
      <c r="Y165" s="56"/>
      <c r="Z165" s="56"/>
      <c r="AA165" s="56"/>
      <c r="AB165" s="56"/>
      <c r="AC165" s="14"/>
      <c r="AD165" s="14"/>
      <c r="AE165" s="14"/>
      <c r="AF165" s="14"/>
      <c r="AG165" s="14"/>
      <c r="AH165" s="14"/>
      <c r="AI165" s="14"/>
      <c r="AJ165" s="14"/>
      <c r="AK165" s="14"/>
      <c r="AL165" s="14"/>
      <c r="AM165" s="14"/>
      <c r="AN165" s="14"/>
      <c r="AO165" s="14"/>
      <c r="AP165" s="14"/>
    </row>
    <row r="166" spans="1:42" x14ac:dyDescent="0.25">
      <c r="A166" s="54"/>
      <c r="B166" s="13"/>
      <c r="C166" s="14" t="s">
        <v>205</v>
      </c>
      <c r="D166" s="14"/>
      <c r="E166" s="70" t="s">
        <v>474</v>
      </c>
      <c r="F166" s="200">
        <f>Data!$E$35/1000</f>
        <v>3.4099438202247192E-3</v>
      </c>
      <c r="G166" s="231">
        <f t="shared" si="22"/>
        <v>9.2589638862238655</v>
      </c>
      <c r="H166" s="56"/>
      <c r="I166" s="56">
        <f>I$158*$F166</f>
        <v>0.77158032385198883</v>
      </c>
      <c r="J166" s="56">
        <f t="shared" ref="J166:AO166" si="24">J$158*$F166</f>
        <v>0.77158032385198883</v>
      </c>
      <c r="K166" s="56">
        <f t="shared" si="24"/>
        <v>0.77158032385198883</v>
      </c>
      <c r="L166" s="56">
        <f t="shared" si="24"/>
        <v>0.77158032385198883</v>
      </c>
      <c r="M166" s="56">
        <f t="shared" si="24"/>
        <v>0.77158032385198883</v>
      </c>
      <c r="N166" s="56">
        <f t="shared" si="24"/>
        <v>0.77158032385198883</v>
      </c>
      <c r="O166" s="56">
        <f t="shared" si="24"/>
        <v>0.77158032385198883</v>
      </c>
      <c r="P166" s="56">
        <f t="shared" si="24"/>
        <v>0.77158032385198883</v>
      </c>
      <c r="Q166" s="56">
        <f t="shared" si="24"/>
        <v>0.77158032385198883</v>
      </c>
      <c r="R166" s="56">
        <f t="shared" si="24"/>
        <v>0.77158032385198883</v>
      </c>
      <c r="S166" s="56">
        <f t="shared" si="24"/>
        <v>0.77158032385198883</v>
      </c>
      <c r="T166" s="56">
        <f t="shared" si="24"/>
        <v>0.77158032385198883</v>
      </c>
      <c r="U166" s="56">
        <f t="shared" si="24"/>
        <v>0</v>
      </c>
      <c r="V166" s="56">
        <f t="shared" si="24"/>
        <v>0</v>
      </c>
      <c r="W166" s="56">
        <f t="shared" si="24"/>
        <v>0</v>
      </c>
      <c r="X166" s="56">
        <f t="shared" si="24"/>
        <v>0</v>
      </c>
      <c r="Y166" s="56">
        <f t="shared" si="24"/>
        <v>0</v>
      </c>
      <c r="Z166" s="56">
        <f t="shared" si="24"/>
        <v>0</v>
      </c>
      <c r="AA166" s="56">
        <f t="shared" si="24"/>
        <v>0</v>
      </c>
      <c r="AB166" s="56">
        <f t="shared" si="24"/>
        <v>0</v>
      </c>
      <c r="AC166" s="56">
        <f t="shared" si="24"/>
        <v>0</v>
      </c>
      <c r="AD166" s="56">
        <f t="shared" si="24"/>
        <v>0</v>
      </c>
      <c r="AE166" s="56">
        <f t="shared" si="24"/>
        <v>0</v>
      </c>
      <c r="AF166" s="56">
        <f t="shared" si="24"/>
        <v>0</v>
      </c>
      <c r="AG166" s="56">
        <f t="shared" si="24"/>
        <v>0</v>
      </c>
      <c r="AH166" s="56">
        <f t="shared" si="24"/>
        <v>0</v>
      </c>
      <c r="AI166" s="56">
        <f t="shared" si="24"/>
        <v>0</v>
      </c>
      <c r="AJ166" s="56">
        <f t="shared" si="24"/>
        <v>0</v>
      </c>
      <c r="AK166" s="56">
        <f t="shared" si="24"/>
        <v>0</v>
      </c>
      <c r="AL166" s="56">
        <f t="shared" si="24"/>
        <v>0</v>
      </c>
      <c r="AM166" s="56">
        <f t="shared" si="24"/>
        <v>0</v>
      </c>
      <c r="AN166" s="56">
        <f t="shared" si="24"/>
        <v>0</v>
      </c>
      <c r="AO166" s="56">
        <f t="shared" si="24"/>
        <v>0</v>
      </c>
      <c r="AP166" s="29"/>
    </row>
    <row r="167" spans="1:42" x14ac:dyDescent="0.25">
      <c r="A167" s="54"/>
      <c r="B167" s="13"/>
      <c r="C167" s="14" t="s">
        <v>484</v>
      </c>
      <c r="D167" s="14"/>
      <c r="E167" s="70" t="s">
        <v>474</v>
      </c>
      <c r="F167" s="200"/>
      <c r="G167" s="231">
        <f>SUM(I167:AO167)</f>
        <v>92464.480409186392</v>
      </c>
      <c r="H167" s="56"/>
      <c r="I167" s="56">
        <f>I$159*Data!H$16/1000</f>
        <v>5122.2470586471036</v>
      </c>
      <c r="J167" s="56">
        <f>J$159*Data!I$16/1000</f>
        <v>5650.3137657241241</v>
      </c>
      <c r="K167" s="56">
        <f>K$159*Data!J$16/1000</f>
        <v>6125.5738020934432</v>
      </c>
      <c r="L167" s="56">
        <f>L$159*Data!K$16/1000</f>
        <v>6653.6405091704646</v>
      </c>
      <c r="M167" s="56">
        <f>M$159*Data!L$16/1000</f>
        <v>7181.7072162474851</v>
      </c>
      <c r="N167" s="56">
        <f>N$159*Data!M$16/1000</f>
        <v>7709.7739233245065</v>
      </c>
      <c r="O167" s="56">
        <f>O$159*Data!N$16/1000</f>
        <v>8185.0339596938247</v>
      </c>
      <c r="P167" s="56">
        <f>P$159*Data!O$16/1000</f>
        <v>8501.8739839400369</v>
      </c>
      <c r="Q167" s="56">
        <f>Q$159*Data!P$16/1000</f>
        <v>8818.7140081862508</v>
      </c>
      <c r="R167" s="56">
        <f>R$159*Data!Q$16/1000</f>
        <v>9188.3607031401662</v>
      </c>
      <c r="S167" s="56">
        <f>S$159*Data!R$16/1000</f>
        <v>9505.2007273863783</v>
      </c>
      <c r="T167" s="56">
        <f>T$159*Data!S$16/1000</f>
        <v>9822.0407516325904</v>
      </c>
      <c r="U167" s="56">
        <f>U$159*Data!T$16/1000</f>
        <v>0</v>
      </c>
      <c r="V167" s="56">
        <f>V$159*Data!U$16/1000</f>
        <v>0</v>
      </c>
      <c r="W167" s="56">
        <f>W$159*Data!V$16/1000</f>
        <v>0</v>
      </c>
      <c r="X167" s="56">
        <f>X$159*Data!W$16/1000</f>
        <v>0</v>
      </c>
      <c r="Y167" s="56">
        <f>Y$159*Data!X$16/1000</f>
        <v>0</v>
      </c>
      <c r="Z167" s="56">
        <f>Z$159*Data!Y$16/1000</f>
        <v>0</v>
      </c>
      <c r="AA167" s="56">
        <f>AA$159*Data!Z$16/1000</f>
        <v>0</v>
      </c>
      <c r="AB167" s="56">
        <f>AB$159*Data!AA$16/1000</f>
        <v>0</v>
      </c>
      <c r="AC167" s="56">
        <f>AC$159*Data!AB$16/1000</f>
        <v>0</v>
      </c>
      <c r="AD167" s="56">
        <f>AD$159*Data!AC$16/1000</f>
        <v>0</v>
      </c>
      <c r="AE167" s="56">
        <f>AE$159*Data!AD$16/1000</f>
        <v>0</v>
      </c>
      <c r="AF167" s="56">
        <f>AF$159*Data!AE$16/1000</f>
        <v>0</v>
      </c>
      <c r="AG167" s="56">
        <f>AG$159*Data!AF$16/1000</f>
        <v>0</v>
      </c>
      <c r="AH167" s="56">
        <f>AH$159*Data!AG$16/1000</f>
        <v>0</v>
      </c>
      <c r="AI167" s="56">
        <f>AI$159*Data!AH$16/1000</f>
        <v>0</v>
      </c>
      <c r="AJ167" s="56">
        <f>AJ$159*Data!AI$16/1000</f>
        <v>0</v>
      </c>
      <c r="AK167" s="56">
        <f>AK$159*Data!AJ$16/1000</f>
        <v>0</v>
      </c>
      <c r="AL167" s="56">
        <f>AL$159*Data!AK$16/1000</f>
        <v>0</v>
      </c>
      <c r="AM167" s="56">
        <f>AM$159*Data!AL$16/1000</f>
        <v>0</v>
      </c>
      <c r="AN167" s="56">
        <f>AN$159*Data!AM$16/1000</f>
        <v>0</v>
      </c>
      <c r="AO167" s="56">
        <f>AO$159*Data!AN$16/1000</f>
        <v>0</v>
      </c>
      <c r="AP167" s="29"/>
    </row>
    <row r="168" spans="1:42" x14ac:dyDescent="0.25">
      <c r="A168" s="54"/>
      <c r="B168" s="13"/>
      <c r="C168" s="14" t="s">
        <v>285</v>
      </c>
      <c r="D168" s="14"/>
      <c r="E168" s="70" t="s">
        <v>474</v>
      </c>
      <c r="F168" s="200">
        <f>Data!$E$36/1000</f>
        <v>1.0822865168539326</v>
      </c>
      <c r="G168" s="231">
        <f t="shared" si="22"/>
        <v>233.45592399286656</v>
      </c>
      <c r="H168" s="56"/>
      <c r="I168" s="56">
        <f>I$160*$F168</f>
        <v>19.454660332738875</v>
      </c>
      <c r="J168" s="56">
        <f t="shared" ref="J168:AO168" si="25">J$160*$F168</f>
        <v>19.454660332738875</v>
      </c>
      <c r="K168" s="56">
        <f t="shared" si="25"/>
        <v>19.454660332738875</v>
      </c>
      <c r="L168" s="56">
        <f t="shared" si="25"/>
        <v>19.454660332738875</v>
      </c>
      <c r="M168" s="56">
        <f t="shared" si="25"/>
        <v>19.454660332738875</v>
      </c>
      <c r="N168" s="56">
        <f t="shared" si="25"/>
        <v>19.454660332738875</v>
      </c>
      <c r="O168" s="56">
        <f t="shared" si="25"/>
        <v>19.454660332738875</v>
      </c>
      <c r="P168" s="56">
        <f t="shared" si="25"/>
        <v>19.454660332738875</v>
      </c>
      <c r="Q168" s="56">
        <f t="shared" si="25"/>
        <v>19.454660332738875</v>
      </c>
      <c r="R168" s="56">
        <f t="shared" si="25"/>
        <v>19.454660332738875</v>
      </c>
      <c r="S168" s="56">
        <f t="shared" si="25"/>
        <v>19.454660332738875</v>
      </c>
      <c r="T168" s="56">
        <f t="shared" si="25"/>
        <v>19.454660332738875</v>
      </c>
      <c r="U168" s="56">
        <f t="shared" si="25"/>
        <v>0</v>
      </c>
      <c r="V168" s="56">
        <f t="shared" si="25"/>
        <v>0</v>
      </c>
      <c r="W168" s="56">
        <f t="shared" si="25"/>
        <v>0</v>
      </c>
      <c r="X168" s="56">
        <f t="shared" si="25"/>
        <v>0</v>
      </c>
      <c r="Y168" s="56">
        <f t="shared" si="25"/>
        <v>0</v>
      </c>
      <c r="Z168" s="56">
        <f t="shared" si="25"/>
        <v>0</v>
      </c>
      <c r="AA168" s="56">
        <f t="shared" si="25"/>
        <v>0</v>
      </c>
      <c r="AB168" s="56">
        <f t="shared" si="25"/>
        <v>0</v>
      </c>
      <c r="AC168" s="56">
        <f t="shared" si="25"/>
        <v>0</v>
      </c>
      <c r="AD168" s="56">
        <f t="shared" si="25"/>
        <v>0</v>
      </c>
      <c r="AE168" s="56">
        <f t="shared" si="25"/>
        <v>0</v>
      </c>
      <c r="AF168" s="56">
        <f t="shared" si="25"/>
        <v>0</v>
      </c>
      <c r="AG168" s="56">
        <f t="shared" si="25"/>
        <v>0</v>
      </c>
      <c r="AH168" s="56">
        <f t="shared" si="25"/>
        <v>0</v>
      </c>
      <c r="AI168" s="56">
        <f t="shared" si="25"/>
        <v>0</v>
      </c>
      <c r="AJ168" s="56">
        <f t="shared" si="25"/>
        <v>0</v>
      </c>
      <c r="AK168" s="56">
        <f t="shared" si="25"/>
        <v>0</v>
      </c>
      <c r="AL168" s="56">
        <f t="shared" si="25"/>
        <v>0</v>
      </c>
      <c r="AM168" s="56">
        <f t="shared" si="25"/>
        <v>0</v>
      </c>
      <c r="AN168" s="56">
        <f t="shared" si="25"/>
        <v>0</v>
      </c>
      <c r="AO168" s="56">
        <f t="shared" si="25"/>
        <v>0</v>
      </c>
      <c r="AP168" s="29"/>
    </row>
    <row r="169" spans="1:42" x14ac:dyDescent="0.25">
      <c r="A169" s="54"/>
      <c r="B169" s="13"/>
      <c r="C169" s="14" t="s">
        <v>220</v>
      </c>
      <c r="D169" s="14"/>
      <c r="E169" s="70" t="s">
        <v>474</v>
      </c>
      <c r="F169" s="200">
        <f>Data!$E$37/1000</f>
        <v>371.00188764044947</v>
      </c>
      <c r="G169" s="231">
        <f t="shared" si="22"/>
        <v>3552364.9347613375</v>
      </c>
      <c r="H169" s="56"/>
      <c r="I169" s="56">
        <f>I$161*$F169</f>
        <v>296030.41123011144</v>
      </c>
      <c r="J169" s="56">
        <f t="shared" ref="J169:AO169" si="26">J$161*$F169</f>
        <v>296030.41123011144</v>
      </c>
      <c r="K169" s="56">
        <f t="shared" si="26"/>
        <v>296030.41123011144</v>
      </c>
      <c r="L169" s="56">
        <f t="shared" si="26"/>
        <v>296030.41123011144</v>
      </c>
      <c r="M169" s="56">
        <f t="shared" si="26"/>
        <v>296030.41123011144</v>
      </c>
      <c r="N169" s="56">
        <f t="shared" si="26"/>
        <v>296030.41123011144</v>
      </c>
      <c r="O169" s="56">
        <f t="shared" si="26"/>
        <v>296030.41123011144</v>
      </c>
      <c r="P169" s="56">
        <f t="shared" si="26"/>
        <v>296030.41123011144</v>
      </c>
      <c r="Q169" s="56">
        <f t="shared" si="26"/>
        <v>296030.41123011144</v>
      </c>
      <c r="R169" s="56">
        <f t="shared" si="26"/>
        <v>296030.41123011144</v>
      </c>
      <c r="S169" s="56">
        <f t="shared" si="26"/>
        <v>296030.41123011144</v>
      </c>
      <c r="T169" s="56">
        <f t="shared" si="26"/>
        <v>296030.41123011144</v>
      </c>
      <c r="U169" s="56">
        <f t="shared" si="26"/>
        <v>0</v>
      </c>
      <c r="V169" s="56">
        <f t="shared" si="26"/>
        <v>0</v>
      </c>
      <c r="W169" s="56">
        <f t="shared" si="26"/>
        <v>0</v>
      </c>
      <c r="X169" s="56">
        <f t="shared" si="26"/>
        <v>0</v>
      </c>
      <c r="Y169" s="56">
        <f t="shared" si="26"/>
        <v>0</v>
      </c>
      <c r="Z169" s="56">
        <f t="shared" si="26"/>
        <v>0</v>
      </c>
      <c r="AA169" s="56">
        <f t="shared" si="26"/>
        <v>0</v>
      </c>
      <c r="AB169" s="56">
        <f t="shared" si="26"/>
        <v>0</v>
      </c>
      <c r="AC169" s="56">
        <f t="shared" si="26"/>
        <v>0</v>
      </c>
      <c r="AD169" s="56">
        <f t="shared" si="26"/>
        <v>0</v>
      </c>
      <c r="AE169" s="56">
        <f t="shared" si="26"/>
        <v>0</v>
      </c>
      <c r="AF169" s="56">
        <f t="shared" si="26"/>
        <v>0</v>
      </c>
      <c r="AG169" s="56">
        <f t="shared" si="26"/>
        <v>0</v>
      </c>
      <c r="AH169" s="56">
        <f t="shared" si="26"/>
        <v>0</v>
      </c>
      <c r="AI169" s="56">
        <f t="shared" si="26"/>
        <v>0</v>
      </c>
      <c r="AJ169" s="56">
        <f t="shared" si="26"/>
        <v>0</v>
      </c>
      <c r="AK169" s="56">
        <f t="shared" si="26"/>
        <v>0</v>
      </c>
      <c r="AL169" s="56">
        <f t="shared" si="26"/>
        <v>0</v>
      </c>
      <c r="AM169" s="56">
        <f t="shared" si="26"/>
        <v>0</v>
      </c>
      <c r="AN169" s="56">
        <f t="shared" si="26"/>
        <v>0</v>
      </c>
      <c r="AO169" s="56">
        <f t="shared" si="26"/>
        <v>0</v>
      </c>
      <c r="AP169" s="29"/>
    </row>
    <row r="170" spans="1:42" x14ac:dyDescent="0.25">
      <c r="A170" s="54"/>
      <c r="B170" s="13"/>
      <c r="C170" s="14" t="s">
        <v>212</v>
      </c>
      <c r="D170" s="14"/>
      <c r="E170" s="70" t="s">
        <v>474</v>
      </c>
      <c r="F170" s="200">
        <f>Data!$E$39/1000</f>
        <v>0</v>
      </c>
      <c r="G170" s="231">
        <f t="shared" si="22"/>
        <v>0</v>
      </c>
      <c r="H170" s="56"/>
      <c r="I170" s="56">
        <f>I$162*$F170</f>
        <v>0</v>
      </c>
      <c r="J170" s="56">
        <f t="shared" ref="J170:AO170" si="27">J$162*$F170</f>
        <v>0</v>
      </c>
      <c r="K170" s="56">
        <f t="shared" si="27"/>
        <v>0</v>
      </c>
      <c r="L170" s="56">
        <f t="shared" si="27"/>
        <v>0</v>
      </c>
      <c r="M170" s="56">
        <f t="shared" si="27"/>
        <v>0</v>
      </c>
      <c r="N170" s="56">
        <f t="shared" si="27"/>
        <v>0</v>
      </c>
      <c r="O170" s="56">
        <f t="shared" si="27"/>
        <v>0</v>
      </c>
      <c r="P170" s="56">
        <f t="shared" si="27"/>
        <v>0</v>
      </c>
      <c r="Q170" s="56">
        <f t="shared" si="27"/>
        <v>0</v>
      </c>
      <c r="R170" s="56">
        <f t="shared" si="27"/>
        <v>0</v>
      </c>
      <c r="S170" s="56">
        <f t="shared" si="27"/>
        <v>0</v>
      </c>
      <c r="T170" s="56">
        <f t="shared" si="27"/>
        <v>0</v>
      </c>
      <c r="U170" s="56">
        <f t="shared" si="27"/>
        <v>0</v>
      </c>
      <c r="V170" s="56">
        <f t="shared" si="27"/>
        <v>0</v>
      </c>
      <c r="W170" s="56">
        <f t="shared" si="27"/>
        <v>0</v>
      </c>
      <c r="X170" s="56">
        <f t="shared" si="27"/>
        <v>0</v>
      </c>
      <c r="Y170" s="56">
        <f t="shared" si="27"/>
        <v>0</v>
      </c>
      <c r="Z170" s="56">
        <f t="shared" si="27"/>
        <v>0</v>
      </c>
      <c r="AA170" s="56">
        <f t="shared" si="27"/>
        <v>0</v>
      </c>
      <c r="AB170" s="56">
        <f t="shared" si="27"/>
        <v>0</v>
      </c>
      <c r="AC170" s="56">
        <f t="shared" si="27"/>
        <v>0</v>
      </c>
      <c r="AD170" s="56">
        <f t="shared" si="27"/>
        <v>0</v>
      </c>
      <c r="AE170" s="56">
        <f t="shared" si="27"/>
        <v>0</v>
      </c>
      <c r="AF170" s="56">
        <f t="shared" si="27"/>
        <v>0</v>
      </c>
      <c r="AG170" s="56">
        <f t="shared" si="27"/>
        <v>0</v>
      </c>
      <c r="AH170" s="56">
        <f t="shared" si="27"/>
        <v>0</v>
      </c>
      <c r="AI170" s="56">
        <f t="shared" si="27"/>
        <v>0</v>
      </c>
      <c r="AJ170" s="56">
        <f t="shared" si="27"/>
        <v>0</v>
      </c>
      <c r="AK170" s="56">
        <f t="shared" si="27"/>
        <v>0</v>
      </c>
      <c r="AL170" s="56">
        <f t="shared" si="27"/>
        <v>0</v>
      </c>
      <c r="AM170" s="56">
        <f t="shared" si="27"/>
        <v>0</v>
      </c>
      <c r="AN170" s="56">
        <f t="shared" si="27"/>
        <v>0</v>
      </c>
      <c r="AO170" s="56">
        <f t="shared" si="27"/>
        <v>0</v>
      </c>
      <c r="AP170" s="29"/>
    </row>
    <row r="171" spans="1:42" x14ac:dyDescent="0.25">
      <c r="A171" s="54"/>
      <c r="B171" s="13"/>
      <c r="C171" s="14" t="s">
        <v>485</v>
      </c>
      <c r="D171" s="14"/>
      <c r="E171" s="70" t="s">
        <v>474</v>
      </c>
      <c r="F171" s="200">
        <f>Data!$E$40/1000</f>
        <v>605.20914606741576</v>
      </c>
      <c r="G171" s="231">
        <f t="shared" si="22"/>
        <v>142927.11923318825</v>
      </c>
      <c r="H171" s="56"/>
      <c r="I171" s="56">
        <f>I$163*$F171</f>
        <v>11910.593269432351</v>
      </c>
      <c r="J171" s="56">
        <f t="shared" ref="J171:AO171" si="28">J$163*$F171</f>
        <v>11910.593269432351</v>
      </c>
      <c r="K171" s="56">
        <f t="shared" si="28"/>
        <v>11910.593269432351</v>
      </c>
      <c r="L171" s="56">
        <f t="shared" si="28"/>
        <v>11910.593269432351</v>
      </c>
      <c r="M171" s="56">
        <f t="shared" si="28"/>
        <v>11910.593269432351</v>
      </c>
      <c r="N171" s="56">
        <f t="shared" si="28"/>
        <v>11910.593269432351</v>
      </c>
      <c r="O171" s="56">
        <f t="shared" si="28"/>
        <v>11910.593269432351</v>
      </c>
      <c r="P171" s="56">
        <f t="shared" si="28"/>
        <v>11910.593269432351</v>
      </c>
      <c r="Q171" s="56">
        <f t="shared" si="28"/>
        <v>11910.593269432351</v>
      </c>
      <c r="R171" s="56">
        <f t="shared" si="28"/>
        <v>11910.593269432351</v>
      </c>
      <c r="S171" s="56">
        <f t="shared" si="28"/>
        <v>11910.593269432351</v>
      </c>
      <c r="T171" s="56">
        <f t="shared" si="28"/>
        <v>11910.593269432351</v>
      </c>
      <c r="U171" s="56">
        <f t="shared" si="28"/>
        <v>0</v>
      </c>
      <c r="V171" s="56">
        <f t="shared" si="28"/>
        <v>0</v>
      </c>
      <c r="W171" s="56">
        <f t="shared" si="28"/>
        <v>0</v>
      </c>
      <c r="X171" s="56">
        <f t="shared" si="28"/>
        <v>0</v>
      </c>
      <c r="Y171" s="56">
        <f t="shared" si="28"/>
        <v>0</v>
      </c>
      <c r="Z171" s="56">
        <f t="shared" si="28"/>
        <v>0</v>
      </c>
      <c r="AA171" s="56">
        <f t="shared" si="28"/>
        <v>0</v>
      </c>
      <c r="AB171" s="56">
        <f t="shared" si="28"/>
        <v>0</v>
      </c>
      <c r="AC171" s="56">
        <f t="shared" si="28"/>
        <v>0</v>
      </c>
      <c r="AD171" s="56">
        <f t="shared" si="28"/>
        <v>0</v>
      </c>
      <c r="AE171" s="56">
        <f t="shared" si="28"/>
        <v>0</v>
      </c>
      <c r="AF171" s="56">
        <f t="shared" si="28"/>
        <v>0</v>
      </c>
      <c r="AG171" s="56">
        <f t="shared" si="28"/>
        <v>0</v>
      </c>
      <c r="AH171" s="56">
        <f t="shared" si="28"/>
        <v>0</v>
      </c>
      <c r="AI171" s="56">
        <f t="shared" si="28"/>
        <v>0</v>
      </c>
      <c r="AJ171" s="56">
        <f t="shared" si="28"/>
        <v>0</v>
      </c>
      <c r="AK171" s="56">
        <f t="shared" si="28"/>
        <v>0</v>
      </c>
      <c r="AL171" s="56">
        <f t="shared" si="28"/>
        <v>0</v>
      </c>
      <c r="AM171" s="56">
        <f t="shared" si="28"/>
        <v>0</v>
      </c>
      <c r="AN171" s="56">
        <f t="shared" si="28"/>
        <v>0</v>
      </c>
      <c r="AO171" s="56">
        <f t="shared" si="28"/>
        <v>0</v>
      </c>
      <c r="AP171" s="29"/>
    </row>
    <row r="172" spans="1:42" x14ac:dyDescent="0.25">
      <c r="A172" s="54"/>
      <c r="B172" s="13"/>
      <c r="C172" s="14" t="s">
        <v>214</v>
      </c>
      <c r="D172" s="14"/>
      <c r="E172" s="70" t="s">
        <v>474</v>
      </c>
      <c r="F172" s="200">
        <f>Data!$E$41/1000</f>
        <v>0</v>
      </c>
      <c r="G172" s="231">
        <f>SUM(I172:AO172)</f>
        <v>0</v>
      </c>
      <c r="H172" s="56"/>
      <c r="I172" s="56">
        <f>I$164*$F172</f>
        <v>0</v>
      </c>
      <c r="J172" s="56">
        <f t="shared" ref="J172:AO172" si="29">J$164*$F172</f>
        <v>0</v>
      </c>
      <c r="K172" s="56">
        <f t="shared" si="29"/>
        <v>0</v>
      </c>
      <c r="L172" s="56">
        <f t="shared" si="29"/>
        <v>0</v>
      </c>
      <c r="M172" s="56">
        <f t="shared" si="29"/>
        <v>0</v>
      </c>
      <c r="N172" s="56">
        <f t="shared" si="29"/>
        <v>0</v>
      </c>
      <c r="O172" s="56">
        <f t="shared" si="29"/>
        <v>0</v>
      </c>
      <c r="P172" s="56">
        <f t="shared" si="29"/>
        <v>0</v>
      </c>
      <c r="Q172" s="56">
        <f t="shared" si="29"/>
        <v>0</v>
      </c>
      <c r="R172" s="56">
        <f t="shared" si="29"/>
        <v>0</v>
      </c>
      <c r="S172" s="56">
        <f t="shared" si="29"/>
        <v>0</v>
      </c>
      <c r="T172" s="56">
        <f t="shared" si="29"/>
        <v>0</v>
      </c>
      <c r="U172" s="56">
        <f t="shared" si="29"/>
        <v>0</v>
      </c>
      <c r="V172" s="56">
        <f t="shared" si="29"/>
        <v>0</v>
      </c>
      <c r="W172" s="56">
        <f t="shared" si="29"/>
        <v>0</v>
      </c>
      <c r="X172" s="56">
        <f t="shared" si="29"/>
        <v>0</v>
      </c>
      <c r="Y172" s="56">
        <f t="shared" si="29"/>
        <v>0</v>
      </c>
      <c r="Z172" s="56">
        <f t="shared" si="29"/>
        <v>0</v>
      </c>
      <c r="AA172" s="56">
        <f t="shared" si="29"/>
        <v>0</v>
      </c>
      <c r="AB172" s="56">
        <f t="shared" si="29"/>
        <v>0</v>
      </c>
      <c r="AC172" s="56">
        <f t="shared" si="29"/>
        <v>0</v>
      </c>
      <c r="AD172" s="56">
        <f t="shared" si="29"/>
        <v>0</v>
      </c>
      <c r="AE172" s="56">
        <f t="shared" si="29"/>
        <v>0</v>
      </c>
      <c r="AF172" s="56">
        <f t="shared" si="29"/>
        <v>0</v>
      </c>
      <c r="AG172" s="56">
        <f t="shared" si="29"/>
        <v>0</v>
      </c>
      <c r="AH172" s="56">
        <f t="shared" si="29"/>
        <v>0</v>
      </c>
      <c r="AI172" s="56">
        <f t="shared" si="29"/>
        <v>0</v>
      </c>
      <c r="AJ172" s="56">
        <f t="shared" si="29"/>
        <v>0</v>
      </c>
      <c r="AK172" s="56">
        <f t="shared" si="29"/>
        <v>0</v>
      </c>
      <c r="AL172" s="56">
        <f t="shared" si="29"/>
        <v>0</v>
      </c>
      <c r="AM172" s="56">
        <f t="shared" si="29"/>
        <v>0</v>
      </c>
      <c r="AN172" s="56">
        <f t="shared" si="29"/>
        <v>0</v>
      </c>
      <c r="AO172" s="56">
        <f t="shared" si="29"/>
        <v>0</v>
      </c>
      <c r="AP172" s="29"/>
    </row>
    <row r="173" spans="1:42" x14ac:dyDescent="0.25">
      <c r="A173" s="12"/>
      <c r="B173" s="13"/>
      <c r="C173" s="20" t="s">
        <v>536</v>
      </c>
      <c r="D173" s="14"/>
      <c r="E173" s="70" t="s">
        <v>474</v>
      </c>
      <c r="F173" s="16"/>
      <c r="G173" s="159"/>
      <c r="H173" s="185"/>
      <c r="I173" s="185">
        <f>SUM(I166:I172)</f>
        <v>313083.47779884748</v>
      </c>
      <c r="J173" s="185">
        <f t="shared" ref="J173:AO173" si="30">SUM(J166:J172)</f>
        <v>313611.54450592451</v>
      </c>
      <c r="K173" s="185">
        <f t="shared" si="30"/>
        <v>314086.80454229383</v>
      </c>
      <c r="L173" s="185">
        <f t="shared" si="30"/>
        <v>314614.87124937086</v>
      </c>
      <c r="M173" s="185">
        <f t="shared" si="30"/>
        <v>315142.93795644789</v>
      </c>
      <c r="N173" s="185">
        <f t="shared" si="30"/>
        <v>315671.00466352492</v>
      </c>
      <c r="O173" s="185">
        <f t="shared" si="30"/>
        <v>316146.26469989424</v>
      </c>
      <c r="P173" s="185">
        <f t="shared" si="30"/>
        <v>316463.10472414043</v>
      </c>
      <c r="Q173" s="185">
        <f t="shared" si="30"/>
        <v>316779.94474838662</v>
      </c>
      <c r="R173" s="185">
        <f t="shared" si="30"/>
        <v>317149.59144334059</v>
      </c>
      <c r="S173" s="185">
        <f t="shared" si="30"/>
        <v>317466.43146758678</v>
      </c>
      <c r="T173" s="185">
        <f t="shared" si="30"/>
        <v>317783.27149183297</v>
      </c>
      <c r="U173" s="185">
        <f t="shared" si="30"/>
        <v>0</v>
      </c>
      <c r="V173" s="185">
        <f t="shared" si="30"/>
        <v>0</v>
      </c>
      <c r="W173" s="185">
        <f t="shared" si="30"/>
        <v>0</v>
      </c>
      <c r="X173" s="185">
        <f t="shared" si="30"/>
        <v>0</v>
      </c>
      <c r="Y173" s="185">
        <f t="shared" si="30"/>
        <v>0</v>
      </c>
      <c r="Z173" s="185">
        <f t="shared" si="30"/>
        <v>0</v>
      </c>
      <c r="AA173" s="185">
        <f t="shared" si="30"/>
        <v>0</v>
      </c>
      <c r="AB173" s="185">
        <f t="shared" si="30"/>
        <v>0</v>
      </c>
      <c r="AC173" s="185">
        <f t="shared" si="30"/>
        <v>0</v>
      </c>
      <c r="AD173" s="185">
        <f t="shared" si="30"/>
        <v>0</v>
      </c>
      <c r="AE173" s="185">
        <f t="shared" si="30"/>
        <v>0</v>
      </c>
      <c r="AF173" s="185">
        <f t="shared" si="30"/>
        <v>0</v>
      </c>
      <c r="AG173" s="185">
        <f t="shared" si="30"/>
        <v>0</v>
      </c>
      <c r="AH173" s="185">
        <f t="shared" si="30"/>
        <v>0</v>
      </c>
      <c r="AI173" s="185">
        <f t="shared" si="30"/>
        <v>0</v>
      </c>
      <c r="AJ173" s="185">
        <f t="shared" si="30"/>
        <v>0</v>
      </c>
      <c r="AK173" s="185">
        <f t="shared" si="30"/>
        <v>0</v>
      </c>
      <c r="AL173" s="185">
        <f t="shared" si="30"/>
        <v>0</v>
      </c>
      <c r="AM173" s="185">
        <f t="shared" si="30"/>
        <v>0</v>
      </c>
      <c r="AN173" s="185">
        <f t="shared" si="30"/>
        <v>0</v>
      </c>
      <c r="AO173" s="185">
        <f t="shared" si="30"/>
        <v>0</v>
      </c>
      <c r="AP173" s="14"/>
    </row>
    <row r="174" spans="1:42" x14ac:dyDescent="0.25">
      <c r="A174" s="12"/>
      <c r="B174" s="13"/>
      <c r="C174" s="14"/>
      <c r="D174" s="14"/>
      <c r="E174" s="15"/>
      <c r="F174" s="16"/>
      <c r="G174" s="159"/>
      <c r="H174" s="159"/>
      <c r="I174" s="159"/>
      <c r="J174" s="159"/>
      <c r="K174" s="159"/>
      <c r="L174" s="159"/>
      <c r="M174" s="159"/>
      <c r="N174" s="159"/>
      <c r="O174" s="159"/>
      <c r="P174" s="159"/>
      <c r="Q174" s="159"/>
      <c r="R174" s="159"/>
      <c r="S174" s="159"/>
      <c r="T174" s="159"/>
      <c r="U174" s="159"/>
      <c r="V174" s="159"/>
      <c r="W174" s="159"/>
      <c r="X174" s="14"/>
      <c r="Y174" s="14"/>
      <c r="Z174" s="14"/>
      <c r="AA174" s="14"/>
      <c r="AB174" s="14"/>
      <c r="AC174" s="14"/>
      <c r="AD174" s="14"/>
      <c r="AE174" s="14"/>
      <c r="AF174" s="14"/>
      <c r="AG174" s="14"/>
      <c r="AH174" s="14"/>
      <c r="AI174" s="14"/>
      <c r="AJ174" s="14"/>
      <c r="AK174" s="14"/>
      <c r="AL174" s="14"/>
      <c r="AM174" s="14"/>
      <c r="AN174" s="14"/>
      <c r="AO174" s="14"/>
      <c r="AP174" s="14"/>
    </row>
    <row r="175" spans="1:42" x14ac:dyDescent="0.25">
      <c r="A175" s="12"/>
      <c r="B175" s="13"/>
      <c r="C175" s="14" t="s">
        <v>523</v>
      </c>
      <c r="D175" s="14"/>
      <c r="E175" s="15" t="s">
        <v>474</v>
      </c>
      <c r="F175" s="48"/>
      <c r="G175" s="185"/>
      <c r="H175" s="185"/>
      <c r="I175" s="185">
        <f>I173*Data!H$9</f>
        <v>301041.80557581485</v>
      </c>
      <c r="J175" s="185">
        <f>J173*Data!I$9</f>
        <v>289951.50194704556</v>
      </c>
      <c r="K175" s="185">
        <f>K173*Data!J$9</f>
        <v>279222.02554468258</v>
      </c>
      <c r="L175" s="185">
        <f>L173*Data!K$9</f>
        <v>268934.11050423974</v>
      </c>
      <c r="M175" s="185">
        <f>M173*Data!L$9</f>
        <v>259024.52321018506</v>
      </c>
      <c r="N175" s="185">
        <f>N173*Data!M$9</f>
        <v>249479.38033741232</v>
      </c>
      <c r="O175" s="185">
        <f>O173*Data!N$9</f>
        <v>240245.17812274428</v>
      </c>
      <c r="P175" s="185">
        <f>P173*Data!O$9</f>
        <v>231236.49086644643</v>
      </c>
      <c r="Q175" s="185">
        <f>Q173*Data!P$9</f>
        <v>222565.38727761124</v>
      </c>
      <c r="R175" s="185">
        <f>R173*Data!Q$9</f>
        <v>214254.90013686195</v>
      </c>
      <c r="S175" s="185">
        <f>S173*Data!R$9</f>
        <v>206220.14029278138</v>
      </c>
      <c r="T175" s="185">
        <f>T173*Data!S$9</f>
        <v>198486.4937796997</v>
      </c>
      <c r="U175" s="185">
        <f>U173*Data!T$9</f>
        <v>0</v>
      </c>
      <c r="V175" s="185">
        <f>V173*Data!U$9</f>
        <v>0</v>
      </c>
      <c r="W175" s="185">
        <f>W173*Data!V$9</f>
        <v>0</v>
      </c>
      <c r="X175" s="185">
        <f>X173*Data!W$9</f>
        <v>0</v>
      </c>
      <c r="Y175" s="185">
        <f>Y173*Data!X$9</f>
        <v>0</v>
      </c>
      <c r="Z175" s="185">
        <f>Z173*Data!Y$9</f>
        <v>0</v>
      </c>
      <c r="AA175" s="185">
        <f>AA173*Data!Z$9</f>
        <v>0</v>
      </c>
      <c r="AB175" s="185">
        <f>AB173*Data!AA$9</f>
        <v>0</v>
      </c>
      <c r="AC175" s="185">
        <f>AC173*Data!AB$9</f>
        <v>0</v>
      </c>
      <c r="AD175" s="185">
        <f>AD173*Data!AC$9</f>
        <v>0</v>
      </c>
      <c r="AE175" s="185">
        <f>AE173*Data!AD$9</f>
        <v>0</v>
      </c>
      <c r="AF175" s="185">
        <f>AF173*Data!AE$9</f>
        <v>0</v>
      </c>
      <c r="AG175" s="185">
        <f>AG173*Data!AF$9</f>
        <v>0</v>
      </c>
      <c r="AH175" s="185">
        <f>AH173*Data!AG$9</f>
        <v>0</v>
      </c>
      <c r="AI175" s="185">
        <f>AI173*Data!AH$9</f>
        <v>0</v>
      </c>
      <c r="AJ175" s="185">
        <f>AJ173*Data!AI$9</f>
        <v>0</v>
      </c>
      <c r="AK175" s="185">
        <f>AK173*Data!AJ$9</f>
        <v>0</v>
      </c>
      <c r="AL175" s="185">
        <f>AL173*Data!AK$9</f>
        <v>0</v>
      </c>
      <c r="AM175" s="185">
        <f>AM173*Data!AL$9</f>
        <v>0</v>
      </c>
      <c r="AN175" s="185">
        <f>AN173*Data!AM$9</f>
        <v>0</v>
      </c>
      <c r="AO175" s="185">
        <f>AO173*Data!AN$9</f>
        <v>0</v>
      </c>
      <c r="AP175" s="14"/>
    </row>
    <row r="176" spans="1:42" x14ac:dyDescent="0.25">
      <c r="A176" s="12"/>
      <c r="B176" s="13"/>
      <c r="C176" s="14" t="s">
        <v>489</v>
      </c>
      <c r="D176" s="13"/>
      <c r="E176" s="15" t="s">
        <v>142</v>
      </c>
      <c r="F176" s="16"/>
      <c r="G176" s="159">
        <f>SUM(H175:AO175)</f>
        <v>2960661.9375955248</v>
      </c>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row>
    <row r="177" spans="1:42" x14ac:dyDescent="0.25">
      <c r="A177" s="12"/>
      <c r="B177" s="13"/>
      <c r="C177" s="41" t="s">
        <v>62</v>
      </c>
      <c r="D177" s="41"/>
      <c r="E177" s="15" t="s">
        <v>261</v>
      </c>
      <c r="F177" s="16"/>
      <c r="G177" s="184">
        <f>G176/(SUM(H156:AO156))</f>
        <v>4.7925763040590601</v>
      </c>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7"/>
    </row>
    <row r="178" spans="1:42" x14ac:dyDescent="0.25">
      <c r="A178" s="12"/>
      <c r="B178" s="13"/>
      <c r="C178" s="14"/>
      <c r="D178" s="14"/>
      <c r="E178" s="15"/>
      <c r="F178" s="16"/>
      <c r="G178" s="14"/>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17"/>
    </row>
    <row r="179" spans="1:42" ht="18.75" x14ac:dyDescent="0.3">
      <c r="A179" s="12"/>
      <c r="B179" s="13"/>
      <c r="C179" s="205" t="s">
        <v>524</v>
      </c>
      <c r="D179" s="14"/>
      <c r="E179" s="15" t="s">
        <v>261</v>
      </c>
      <c r="F179" s="16"/>
      <c r="G179" s="204">
        <f>G147+G154+G177</f>
        <v>9.8849097853391186</v>
      </c>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17"/>
    </row>
    <row r="180" spans="1:42" x14ac:dyDescent="0.25">
      <c r="A180" s="12"/>
      <c r="B180" s="13"/>
      <c r="C180" s="14"/>
      <c r="D180" s="14"/>
      <c r="E180" s="15"/>
      <c r="F180" s="16"/>
      <c r="G180" s="14"/>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17"/>
    </row>
    <row r="181" spans="1:42" x14ac:dyDescent="0.25">
      <c r="A181" s="23"/>
      <c r="B181" s="23"/>
      <c r="C181" s="24" t="s">
        <v>525</v>
      </c>
      <c r="D181" s="24"/>
      <c r="E181" s="25"/>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7"/>
    </row>
    <row r="182" spans="1:42" x14ac:dyDescent="0.25">
      <c r="A182" s="12"/>
      <c r="B182" s="13"/>
      <c r="C182" s="13"/>
      <c r="D182" s="14"/>
      <c r="E182" s="15"/>
      <c r="F182" s="16"/>
      <c r="G182" s="14"/>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17"/>
    </row>
    <row r="183" spans="1:42" x14ac:dyDescent="0.25">
      <c r="A183" s="12"/>
      <c r="B183" s="13"/>
      <c r="C183" s="37" t="s">
        <v>537</v>
      </c>
      <c r="D183" s="37"/>
      <c r="E183" s="38"/>
      <c r="F183" s="39"/>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17"/>
    </row>
    <row r="184" spans="1:42" x14ac:dyDescent="0.25">
      <c r="A184" s="12"/>
      <c r="B184" s="13"/>
      <c r="C184" s="96" t="s">
        <v>526</v>
      </c>
      <c r="D184" s="14"/>
      <c r="E184" s="15" t="s">
        <v>142</v>
      </c>
      <c r="F184" s="16"/>
      <c r="G184" s="141">
        <f>G146</f>
        <v>3145839.9313955694</v>
      </c>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17"/>
    </row>
    <row r="185" spans="1:42" x14ac:dyDescent="0.25">
      <c r="A185" s="12"/>
      <c r="B185" s="13"/>
      <c r="C185" s="96" t="s">
        <v>527</v>
      </c>
      <c r="D185" s="14"/>
      <c r="E185" s="15" t="s">
        <v>474</v>
      </c>
      <c r="F185" s="16"/>
      <c r="G185" s="151">
        <f>G184/Dashboard!$I$31</f>
        <v>262153.32761629747</v>
      </c>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17"/>
    </row>
    <row r="186" spans="1:42" x14ac:dyDescent="0.25">
      <c r="A186" s="12"/>
      <c r="B186" s="13"/>
      <c r="C186" s="96" t="s">
        <v>528</v>
      </c>
      <c r="D186" s="14"/>
      <c r="E186" s="15" t="s">
        <v>529</v>
      </c>
      <c r="F186" s="16"/>
      <c r="G186" s="151">
        <f>SUM(I159:AO159)</f>
        <v>633680.04849242512</v>
      </c>
      <c r="H186" s="14"/>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17"/>
    </row>
    <row r="187" spans="1:42" x14ac:dyDescent="0.25">
      <c r="A187" s="12"/>
      <c r="B187" s="13"/>
      <c r="C187" s="96" t="s">
        <v>530</v>
      </c>
      <c r="D187" s="14"/>
      <c r="E187" s="15" t="s">
        <v>531</v>
      </c>
      <c r="F187" s="16"/>
      <c r="G187" s="151">
        <f>G186/Dashboard!$I$31</f>
        <v>52806.670707702091</v>
      </c>
      <c r="H187" s="14"/>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17"/>
    </row>
    <row r="188" spans="1:42" x14ac:dyDescent="0.25">
      <c r="A188" s="12"/>
      <c r="B188" s="13"/>
      <c r="C188" s="14"/>
      <c r="D188" s="14"/>
      <c r="E188" s="15"/>
      <c r="F188" s="16"/>
      <c r="G188" s="23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29"/>
    </row>
    <row r="189" spans="1:42" x14ac:dyDescent="0.25">
      <c r="A189" s="12"/>
      <c r="B189" s="13"/>
      <c r="C189" s="37" t="s">
        <v>538</v>
      </c>
      <c r="D189" s="37"/>
      <c r="E189" s="38"/>
      <c r="F189" s="39"/>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17"/>
    </row>
    <row r="190" spans="1:42" x14ac:dyDescent="0.25">
      <c r="A190" s="12"/>
      <c r="B190" s="13"/>
      <c r="C190" s="14" t="s">
        <v>539</v>
      </c>
      <c r="D190" s="14"/>
      <c r="E190" s="15" t="s">
        <v>142</v>
      </c>
      <c r="F190" s="16"/>
      <c r="G190" s="231">
        <f>'RE Diesel'!G185-'Diesel (BAU)'!$G$181</f>
        <v>125913.60902731199</v>
      </c>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17"/>
    </row>
    <row r="191" spans="1:42" x14ac:dyDescent="0.25">
      <c r="A191" s="12"/>
      <c r="B191" s="13"/>
      <c r="C191" s="14" t="s">
        <v>540</v>
      </c>
      <c r="D191" s="44"/>
      <c r="E191" s="15" t="s">
        <v>541</v>
      </c>
      <c r="F191" s="16"/>
      <c r="G191" s="231">
        <f>'Diesel (BAU)'!$G183-'RE Diesel'!G187</f>
        <v>89914.060934736015</v>
      </c>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17"/>
    </row>
    <row r="192" spans="1:42" ht="18.75" x14ac:dyDescent="0.3">
      <c r="A192" s="12"/>
      <c r="B192" s="13"/>
      <c r="C192" s="221" t="s">
        <v>542</v>
      </c>
      <c r="D192" s="45"/>
      <c r="E192" s="15"/>
      <c r="F192" s="16"/>
      <c r="G192" s="220">
        <f>G190/G191</f>
        <v>1.4003772904741361</v>
      </c>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29"/>
    </row>
    <row r="193" spans="1:42" x14ac:dyDescent="0.25">
      <c r="A193" s="12"/>
      <c r="B193" s="13"/>
      <c r="C193" s="45"/>
      <c r="D193" s="45"/>
      <c r="E193" s="15"/>
      <c r="F193" s="16"/>
      <c r="G193" s="219"/>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29"/>
    </row>
    <row r="194" spans="1:42" x14ac:dyDescent="0.25">
      <c r="A194" s="89"/>
      <c r="B194" s="89"/>
      <c r="C194" s="90" t="s">
        <v>174</v>
      </c>
      <c r="D194" s="91"/>
      <c r="E194" s="92"/>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3"/>
    </row>
    <row r="195" spans="1:42" x14ac:dyDescent="0.25">
      <c r="A195" s="23"/>
      <c r="B195" s="23"/>
      <c r="C195" s="24" t="s">
        <v>505</v>
      </c>
      <c r="D195" s="24"/>
      <c r="E195" s="25"/>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7"/>
    </row>
    <row r="196" spans="1:42" x14ac:dyDescent="0.25">
      <c r="A196" s="13"/>
      <c r="B196" s="13"/>
      <c r="C196" s="30"/>
      <c r="D196" s="30"/>
      <c r="E196" s="31"/>
      <c r="F196" s="16"/>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3"/>
    </row>
    <row r="197" spans="1:42" x14ac:dyDescent="0.25">
      <c r="A197" s="12"/>
      <c r="B197" s="13"/>
      <c r="C197" s="14"/>
      <c r="D197" s="14"/>
      <c r="E197" s="15"/>
      <c r="F197" s="16"/>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7"/>
    </row>
    <row r="198" spans="1:42" x14ac:dyDescent="0.25">
      <c r="A198" s="12"/>
      <c r="B198" s="13"/>
      <c r="C198" s="37" t="s">
        <v>506</v>
      </c>
      <c r="D198" s="37"/>
      <c r="E198" s="38"/>
      <c r="F198" s="39"/>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17"/>
    </row>
    <row r="199" spans="1:42" x14ac:dyDescent="0.25">
      <c r="A199" s="12"/>
      <c r="B199" s="13"/>
      <c r="C199" s="41" t="s">
        <v>507</v>
      </c>
      <c r="D199" s="41"/>
      <c r="E199" s="15" t="s">
        <v>465</v>
      </c>
      <c r="F199" s="16"/>
      <c r="G199" s="14"/>
      <c r="H199" s="141"/>
      <c r="I199" s="141">
        <f>Route!I25</f>
        <v>93600</v>
      </c>
      <c r="J199" s="141">
        <f>Route!J25</f>
        <v>93600</v>
      </c>
      <c r="K199" s="141">
        <f>Route!K25</f>
        <v>93600</v>
      </c>
      <c r="L199" s="141">
        <f>Route!L25</f>
        <v>93600</v>
      </c>
      <c r="M199" s="141">
        <f>Route!M25</f>
        <v>93600</v>
      </c>
      <c r="N199" s="141">
        <f>Route!N25</f>
        <v>93600</v>
      </c>
      <c r="O199" s="141">
        <f>Route!O25</f>
        <v>93600</v>
      </c>
      <c r="P199" s="141">
        <f>Route!P25</f>
        <v>93600</v>
      </c>
      <c r="Q199" s="141">
        <f>Route!Q25</f>
        <v>93600</v>
      </c>
      <c r="R199" s="141">
        <f>Route!R25</f>
        <v>93600</v>
      </c>
      <c r="S199" s="141">
        <f>Route!S25</f>
        <v>93600</v>
      </c>
      <c r="T199" s="141">
        <f>Route!T25</f>
        <v>93600</v>
      </c>
      <c r="U199" s="141">
        <f>Route!U25</f>
        <v>93600</v>
      </c>
      <c r="V199" s="141">
        <f>Route!V25</f>
        <v>93600</v>
      </c>
      <c r="W199" s="141">
        <f>Route!W25</f>
        <v>93600</v>
      </c>
      <c r="X199" s="141">
        <f>Route!X25</f>
        <v>93600</v>
      </c>
      <c r="Y199" s="141">
        <f>Route!Y25</f>
        <v>93600</v>
      </c>
      <c r="Z199" s="141">
        <f>Route!Z25</f>
        <v>93600</v>
      </c>
      <c r="AA199" s="141">
        <f>Route!AA25</f>
        <v>93600</v>
      </c>
      <c r="AB199" s="141">
        <f>Route!AB25</f>
        <v>93600</v>
      </c>
      <c r="AC199" s="141">
        <f>Route!AC25</f>
        <v>93600</v>
      </c>
      <c r="AD199" s="141">
        <f>Route!AD25</f>
        <v>93600</v>
      </c>
      <c r="AE199" s="141">
        <f>Route!AE25</f>
        <v>93600</v>
      </c>
      <c r="AF199" s="141">
        <f>Route!AF25</f>
        <v>93600</v>
      </c>
      <c r="AG199" s="141">
        <f>Route!AG25</f>
        <v>93600</v>
      </c>
      <c r="AH199" s="141">
        <f>Route!AH25</f>
        <v>93600</v>
      </c>
      <c r="AI199" s="141">
        <f>Route!AI25</f>
        <v>93600</v>
      </c>
      <c r="AJ199" s="141">
        <f>Route!AJ25</f>
        <v>93600</v>
      </c>
      <c r="AK199" s="141">
        <f>Route!AK25</f>
        <v>93600</v>
      </c>
      <c r="AL199" s="141">
        <f>Route!AL25</f>
        <v>93600</v>
      </c>
      <c r="AM199" s="141">
        <f>Route!AM25</f>
        <v>93600</v>
      </c>
      <c r="AN199" s="141">
        <f>Route!AN25</f>
        <v>93600</v>
      </c>
      <c r="AO199" s="141">
        <f>Route!AO25</f>
        <v>93600</v>
      </c>
      <c r="AP199" s="17"/>
    </row>
    <row r="200" spans="1:42" x14ac:dyDescent="0.25">
      <c r="A200" s="12"/>
      <c r="B200" s="13"/>
      <c r="C200" s="41" t="s">
        <v>534</v>
      </c>
      <c r="D200" s="41"/>
      <c r="E200" s="15" t="s">
        <v>465</v>
      </c>
      <c r="F200" s="16"/>
      <c r="G200" s="14"/>
      <c r="H200" s="141"/>
      <c r="I200" s="159">
        <f>IF(COUNT($I$3:I4)&lt;=(Dashboard!$I$31),I199,0)</f>
        <v>93600</v>
      </c>
      <c r="J200" s="159">
        <f>IF(COUNT($I$3:J4)&lt;=(Dashboard!$I$31),J199,0)</f>
        <v>93600</v>
      </c>
      <c r="K200" s="159">
        <f>IF(COUNT($I$3:K4)&lt;=(Dashboard!$I$31),K199,0)</f>
        <v>93600</v>
      </c>
      <c r="L200" s="159">
        <f>IF(COUNT($I$3:L4)&lt;=(Dashboard!$I$31),L199,0)</f>
        <v>93600</v>
      </c>
      <c r="M200" s="159">
        <f>IF(COUNT($I$3:M4)&lt;=(Dashboard!$I$31),M199,0)</f>
        <v>93600</v>
      </c>
      <c r="N200" s="159">
        <f>IF(COUNT($I$3:N4)&lt;=(Dashboard!$I$31),N199,0)</f>
        <v>93600</v>
      </c>
      <c r="O200" s="159">
        <f>IF(COUNT($I$3:O4)&lt;=(Dashboard!$I$31),O199,0)</f>
        <v>93600</v>
      </c>
      <c r="P200" s="159">
        <f>IF(COUNT($I$3:P4)&lt;=(Dashboard!$I$31),P199,0)</f>
        <v>93600</v>
      </c>
      <c r="Q200" s="159">
        <f>IF(COUNT($I$3:Q4)&lt;=(Dashboard!$I$31),Q199,0)</f>
        <v>93600</v>
      </c>
      <c r="R200" s="159">
        <f>IF(COUNT($I$3:R4)&lt;=(Dashboard!$I$31),R199,0)</f>
        <v>93600</v>
      </c>
      <c r="S200" s="159">
        <f>IF(COUNT($I$3:S4)&lt;=(Dashboard!$I$31),S199,0)</f>
        <v>93600</v>
      </c>
      <c r="T200" s="159">
        <f>IF(COUNT($I$3:T4)&lt;=(Dashboard!$I$31),T199,0)</f>
        <v>93600</v>
      </c>
      <c r="U200" s="159">
        <f>IF(COUNT($I$3:U4)&lt;=(Dashboard!$I$31),U199,0)</f>
        <v>0</v>
      </c>
      <c r="V200" s="159">
        <f>IF(COUNT($I$3:V4)&lt;=(Dashboard!$I$31),V199,0)</f>
        <v>0</v>
      </c>
      <c r="W200" s="159">
        <f>IF(COUNT($I$3:W4)&lt;=(Dashboard!$I$31),W199,0)</f>
        <v>0</v>
      </c>
      <c r="X200" s="159">
        <f>IF(COUNT($I$3:X4)&lt;=(Dashboard!$I$31),X199,0)</f>
        <v>0</v>
      </c>
      <c r="Y200" s="159">
        <f>IF(COUNT($I$3:Y4)&lt;=(Dashboard!$I$31),Y199,0)</f>
        <v>0</v>
      </c>
      <c r="Z200" s="159">
        <f>IF(COUNT($I$3:Z4)&lt;=(Dashboard!$I$31),Z199,0)</f>
        <v>0</v>
      </c>
      <c r="AA200" s="159">
        <f>IF(COUNT($I$3:AA4)&lt;=(Dashboard!$I$31),AA199,0)</f>
        <v>0</v>
      </c>
      <c r="AB200" s="159">
        <f>IF(COUNT($I$3:AB4)&lt;=(Dashboard!$I$31),AB199,0)</f>
        <v>0</v>
      </c>
      <c r="AC200" s="159">
        <f>IF(COUNT($I$3:AC4)&lt;=(Dashboard!$I$31),AC199,0)</f>
        <v>0</v>
      </c>
      <c r="AD200" s="159">
        <f>IF(COUNT($I$3:AD4)&lt;=(Dashboard!$I$31),AD199,0)</f>
        <v>0</v>
      </c>
      <c r="AE200" s="159">
        <f>IF(COUNT($I$3:AE4)&lt;=(Dashboard!$I$31),AE199,0)</f>
        <v>0</v>
      </c>
      <c r="AF200" s="159">
        <f>IF(COUNT($I$3:AF4)&lt;=(Dashboard!$I$31),AF199,0)</f>
        <v>0</v>
      </c>
      <c r="AG200" s="159">
        <f>IF(COUNT($I$3:AG4)&lt;=(Dashboard!$I$31),AG199,0)</f>
        <v>0</v>
      </c>
      <c r="AH200" s="159">
        <f>IF(COUNT($I$3:AH4)&lt;=(Dashboard!$I$31),AH199,0)</f>
        <v>0</v>
      </c>
      <c r="AI200" s="159">
        <f>IF(COUNT($I$3:AI4)&lt;=(Dashboard!$I$31),AI199,0)</f>
        <v>0</v>
      </c>
      <c r="AJ200" s="159">
        <f>IF(COUNT($I$3:AJ4)&lt;=(Dashboard!$I$31),AJ199,0)</f>
        <v>0</v>
      </c>
      <c r="AK200" s="159">
        <f>IF(COUNT($I$3:AK4)&lt;=(Dashboard!$I$31),AK199,0)</f>
        <v>0</v>
      </c>
      <c r="AL200" s="159">
        <f>IF(COUNT($I$3:AL4)&lt;=(Dashboard!$I$31),AL199,0)</f>
        <v>0</v>
      </c>
      <c r="AM200" s="159">
        <f>IF(COUNT($I$3:AM4)&lt;=(Dashboard!$I$31),AM199,0)</f>
        <v>0</v>
      </c>
      <c r="AN200" s="159">
        <f>IF(COUNT($I$3:AN4)&lt;=(Dashboard!$I$31),AN199,0)</f>
        <v>0</v>
      </c>
      <c r="AO200" s="159">
        <f>IF(COUNT($I$3:AO4)&lt;=(Dashboard!$I$31),AO199,0)</f>
        <v>0</v>
      </c>
      <c r="AP200" s="17"/>
    </row>
    <row r="201" spans="1:42" x14ac:dyDescent="0.25">
      <c r="A201" s="12"/>
      <c r="B201" s="13"/>
      <c r="C201" s="14"/>
      <c r="D201" s="14"/>
      <c r="E201" s="15"/>
      <c r="F201" s="16"/>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7"/>
    </row>
    <row r="202" spans="1:42" x14ac:dyDescent="0.25">
      <c r="A202" s="12"/>
      <c r="B202" s="13"/>
      <c r="C202" s="37" t="s">
        <v>508</v>
      </c>
      <c r="D202" s="37"/>
      <c r="E202" s="38"/>
      <c r="F202" s="39"/>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17"/>
    </row>
    <row r="203" spans="1:42" x14ac:dyDescent="0.25">
      <c r="A203" s="12"/>
      <c r="B203" s="13"/>
      <c r="C203" s="95" t="s">
        <v>254</v>
      </c>
      <c r="D203" s="14"/>
      <c r="E203" s="15"/>
      <c r="F203" s="16"/>
      <c r="G203" s="14"/>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29"/>
    </row>
    <row r="204" spans="1:42" x14ac:dyDescent="0.25">
      <c r="A204" s="12"/>
      <c r="B204" s="13"/>
      <c r="C204" s="96" t="s">
        <v>120</v>
      </c>
      <c r="D204" s="14"/>
      <c r="E204" s="15" t="s">
        <v>142</v>
      </c>
      <c r="F204" s="158" t="str">
        <f>Dashboard!$I$63</f>
        <v>3 Axle Double Decker Bus</v>
      </c>
      <c r="G204" s="14"/>
      <c r="H204" s="150">
        <f>IF(C204=F204,Data!$E$144,0)</f>
        <v>0</v>
      </c>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29"/>
    </row>
    <row r="205" spans="1:42" x14ac:dyDescent="0.25">
      <c r="A205" s="12"/>
      <c r="B205" s="13"/>
      <c r="C205" s="96" t="s">
        <v>124</v>
      </c>
      <c r="D205" s="14"/>
      <c r="E205" s="15" t="s">
        <v>142</v>
      </c>
      <c r="F205" s="158" t="str">
        <f>Dashboard!$I$63</f>
        <v>3 Axle Double Decker Bus</v>
      </c>
      <c r="G205" s="14"/>
      <c r="H205" s="150">
        <f>IF(C205=F205,Data!$E$145,0)</f>
        <v>0</v>
      </c>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29"/>
    </row>
    <row r="206" spans="1:42" x14ac:dyDescent="0.25">
      <c r="A206" s="12"/>
      <c r="B206" s="13"/>
      <c r="C206" s="96" t="s">
        <v>126</v>
      </c>
      <c r="D206" s="14"/>
      <c r="E206" s="15" t="s">
        <v>142</v>
      </c>
      <c r="F206" s="158" t="str">
        <f>Dashboard!$I$63</f>
        <v>3 Axle Double Decker Bus</v>
      </c>
      <c r="G206" s="14"/>
      <c r="H206" s="150">
        <f>IF(C206=F206,Data!$E$146,0)</f>
        <v>0</v>
      </c>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29"/>
    </row>
    <row r="207" spans="1:42" x14ac:dyDescent="0.25">
      <c r="A207" s="12"/>
      <c r="B207" s="13"/>
      <c r="C207" s="20" t="s">
        <v>509</v>
      </c>
      <c r="D207" s="14"/>
      <c r="E207" s="15" t="s">
        <v>142</v>
      </c>
      <c r="F207" s="16"/>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7"/>
    </row>
    <row r="208" spans="1:42" x14ac:dyDescent="0.25">
      <c r="A208" s="12"/>
      <c r="B208" s="13"/>
      <c r="C208" s="45"/>
      <c r="D208" s="45"/>
      <c r="E208" s="15"/>
      <c r="F208" s="16"/>
      <c r="G208" s="14"/>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9"/>
    </row>
    <row r="209" spans="1:42" x14ac:dyDescent="0.25">
      <c r="A209" s="12"/>
      <c r="B209" s="13"/>
      <c r="C209" s="19" t="s">
        <v>510</v>
      </c>
      <c r="D209" s="45"/>
      <c r="E209" s="15"/>
      <c r="F209" s="16"/>
      <c r="G209" s="14"/>
      <c r="H209" s="182">
        <f>SUM(H204:H208)</f>
        <v>0</v>
      </c>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9"/>
    </row>
    <row r="210" spans="1:42" x14ac:dyDescent="0.25">
      <c r="A210" s="12"/>
      <c r="B210" s="13"/>
      <c r="C210" s="14"/>
      <c r="D210" s="14"/>
      <c r="E210" s="15"/>
      <c r="F210" s="16"/>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7"/>
    </row>
    <row r="211" spans="1:42" x14ac:dyDescent="0.25">
      <c r="A211" s="12"/>
      <c r="B211" s="13"/>
      <c r="C211" s="37" t="s">
        <v>472</v>
      </c>
      <c r="D211" s="37"/>
      <c r="E211" s="38"/>
      <c r="F211" s="39"/>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17"/>
    </row>
    <row r="212" spans="1:42" x14ac:dyDescent="0.25">
      <c r="A212" s="12"/>
      <c r="B212" s="13"/>
      <c r="C212" s="44" t="s">
        <v>258</v>
      </c>
      <c r="D212" s="44"/>
      <c r="E212" s="15"/>
      <c r="F212" s="16"/>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7"/>
    </row>
    <row r="213" spans="1:42" x14ac:dyDescent="0.25">
      <c r="A213" s="12"/>
      <c r="B213" s="13"/>
      <c r="C213" s="45" t="s">
        <v>120</v>
      </c>
      <c r="D213" s="45"/>
      <c r="E213" s="15" t="s">
        <v>474</v>
      </c>
      <c r="F213" s="158" t="str">
        <f>Dashboard!$I$63</f>
        <v>3 Axle Double Decker Bus</v>
      </c>
      <c r="G213" s="14"/>
      <c r="H213" s="177"/>
      <c r="I213" s="177">
        <f>IF($C$213=$F$213,Data!$E$151*I$200,0)</f>
        <v>0</v>
      </c>
      <c r="J213" s="177">
        <f>IF($C$213=$F$213,Data!$E$151*J$200,0)</f>
        <v>0</v>
      </c>
      <c r="K213" s="177">
        <f>IF($C$213=$F$213,Data!$E$151*K$200,0)</f>
        <v>0</v>
      </c>
      <c r="L213" s="177">
        <f>IF($C$213=$F$213,Data!$E$151*L$200,0)</f>
        <v>0</v>
      </c>
      <c r="M213" s="177">
        <f>IF($C$213=$F$213,Data!$E$151*M$200,0)</f>
        <v>0</v>
      </c>
      <c r="N213" s="177">
        <f>IF($C$213=$F$213,Data!$E$151*N$200,0)</f>
        <v>0</v>
      </c>
      <c r="O213" s="177">
        <f>IF($C$213=$F$213,Data!$E$151*O$200,0)</f>
        <v>0</v>
      </c>
      <c r="P213" s="177">
        <f>IF($C$213=$F$213,Data!$E$151*P$200,0)</f>
        <v>0</v>
      </c>
      <c r="Q213" s="177">
        <f>IF($C$213=$F$213,Data!$E$151*Q$200,0)</f>
        <v>0</v>
      </c>
      <c r="R213" s="177">
        <f>IF($C$213=$F$213,Data!$E$151*R$200,0)</f>
        <v>0</v>
      </c>
      <c r="S213" s="177">
        <f>IF($C$213=$F$213,Data!$E$151*S$200,0)</f>
        <v>0</v>
      </c>
      <c r="T213" s="177">
        <f>IF($C$213=$F$213,Data!$E$151*T$200,0)</f>
        <v>0</v>
      </c>
      <c r="U213" s="177">
        <f>IF($C$213=$F$213,Data!$E$151*U$200,0)</f>
        <v>0</v>
      </c>
      <c r="V213" s="177">
        <f>IF($C$213=$F$213,Data!$E$151*V$200,0)</f>
        <v>0</v>
      </c>
      <c r="W213" s="177">
        <f>IF($C$213=$F$213,Data!$E$151*W$200,0)</f>
        <v>0</v>
      </c>
      <c r="X213" s="177">
        <f>IF($C$213=$F$213,Data!$E$151*X$200,0)</f>
        <v>0</v>
      </c>
      <c r="Y213" s="177">
        <f>IF($C$213=$F$213,Data!$E$151*Y$200,0)</f>
        <v>0</v>
      </c>
      <c r="Z213" s="177">
        <f>IF($C$213=$F$213,Data!$E$151*Z$200,0)</f>
        <v>0</v>
      </c>
      <c r="AA213" s="177">
        <f>IF($C$213=$F$213,Data!$E$151*AA$200,0)</f>
        <v>0</v>
      </c>
      <c r="AB213" s="177">
        <f>IF($C$213=$F$213,Data!$E$151*AB$200,0)</f>
        <v>0</v>
      </c>
      <c r="AC213" s="177">
        <f>IF($C$213=$F$213,Data!$E$151*AC$200,0)</f>
        <v>0</v>
      </c>
      <c r="AD213" s="177">
        <f>IF($C$213=$F$213,Data!$E$151*AD$200,0)</f>
        <v>0</v>
      </c>
      <c r="AE213" s="177">
        <f>IF($C$213=$F$213,Data!$E$151*AE$200,0)</f>
        <v>0</v>
      </c>
      <c r="AF213" s="177">
        <f>IF($C$213=$F$213,Data!$E$151*AF$200,0)</f>
        <v>0</v>
      </c>
      <c r="AG213" s="177">
        <f>IF($C$213=$F$213,Data!$E$151*AG$200,0)</f>
        <v>0</v>
      </c>
      <c r="AH213" s="177">
        <f>IF($C$213=$F$213,Data!$E$151*AH$200,0)</f>
        <v>0</v>
      </c>
      <c r="AI213" s="177">
        <f>IF($C$213=$F$213,Data!$E$151*AI$200,0)</f>
        <v>0</v>
      </c>
      <c r="AJ213" s="177">
        <f>IF($C$213=$F$213,Data!$E$151*AJ$200,0)</f>
        <v>0</v>
      </c>
      <c r="AK213" s="177">
        <f>IF($C$213=$F$213,Data!$E$151*AK$200,0)</f>
        <v>0</v>
      </c>
      <c r="AL213" s="177">
        <f>IF($C$213=$F$213,Data!$E$151*AL$200,0)</f>
        <v>0</v>
      </c>
      <c r="AM213" s="177">
        <f>IF($C$213=$F$213,Data!$E$151*AM$200,0)</f>
        <v>0</v>
      </c>
      <c r="AN213" s="177">
        <f>IF($C$213=$F$213,Data!$E$151*AN$200,0)</f>
        <v>0</v>
      </c>
      <c r="AO213" s="177">
        <f>IF($C$213=$F$213,Data!$E$151*AO$200,0)</f>
        <v>0</v>
      </c>
      <c r="AP213" s="29"/>
    </row>
    <row r="214" spans="1:42" x14ac:dyDescent="0.25">
      <c r="A214" s="12"/>
      <c r="B214" s="13"/>
      <c r="C214" s="45" t="s">
        <v>124</v>
      </c>
      <c r="D214" s="45"/>
      <c r="E214" s="15" t="s">
        <v>474</v>
      </c>
      <c r="F214" s="158" t="str">
        <f>Dashboard!$I$63</f>
        <v>3 Axle Double Decker Bus</v>
      </c>
      <c r="G214" s="14"/>
      <c r="H214" s="177"/>
      <c r="I214" s="177">
        <f>IF($C$214=$F$214,Data!$E$152*I$200,0)</f>
        <v>0</v>
      </c>
      <c r="J214" s="177">
        <f>IF($C$214=$F$214,Data!$E$152*J$200,0)</f>
        <v>0</v>
      </c>
      <c r="K214" s="177">
        <f>IF($C$214=$F$214,Data!$E$152*K$200,0)</f>
        <v>0</v>
      </c>
      <c r="L214" s="177">
        <f>IF($C$214=$F$214,Data!$E$152*L$200,0)</f>
        <v>0</v>
      </c>
      <c r="M214" s="177">
        <f>IF($C$214=$F$214,Data!$E$152*M$200,0)</f>
        <v>0</v>
      </c>
      <c r="N214" s="177">
        <f>IF($C$214=$F$214,Data!$E$152*N$200,0)</f>
        <v>0</v>
      </c>
      <c r="O214" s="177">
        <f>IF($C$214=$F$214,Data!$E$152*O$200,0)</f>
        <v>0</v>
      </c>
      <c r="P214" s="177">
        <f>IF($C$214=$F$214,Data!$E$152*P$200,0)</f>
        <v>0</v>
      </c>
      <c r="Q214" s="177">
        <f>IF($C$214=$F$214,Data!$E$152*Q$200,0)</f>
        <v>0</v>
      </c>
      <c r="R214" s="177">
        <f>IF($C$214=$F$214,Data!$E$152*R$200,0)</f>
        <v>0</v>
      </c>
      <c r="S214" s="177">
        <f>IF($C$214=$F$214,Data!$E$152*S$200,0)</f>
        <v>0</v>
      </c>
      <c r="T214" s="177">
        <f>IF($C$214=$F$214,Data!$E$152*T$200,0)</f>
        <v>0</v>
      </c>
      <c r="U214" s="177">
        <f>IF($C$214=$F$214,Data!$E$152*U$200,0)</f>
        <v>0</v>
      </c>
      <c r="V214" s="177">
        <f>IF($C$214=$F$214,Data!$E$152*V$200,0)</f>
        <v>0</v>
      </c>
      <c r="W214" s="177">
        <f>IF($C$214=$F$214,Data!$E$152*W$200,0)</f>
        <v>0</v>
      </c>
      <c r="X214" s="177">
        <f>IF($C$214=$F$214,Data!$E$152*X$200,0)</f>
        <v>0</v>
      </c>
      <c r="Y214" s="177">
        <f>IF($C$214=$F$214,Data!$E$152*Y$200,0)</f>
        <v>0</v>
      </c>
      <c r="Z214" s="177">
        <f>IF($C$214=$F$214,Data!$E$152*Z$200,0)</f>
        <v>0</v>
      </c>
      <c r="AA214" s="177">
        <f>IF($C$214=$F$214,Data!$E$152*AA$200,0)</f>
        <v>0</v>
      </c>
      <c r="AB214" s="177">
        <f>IF($C$214=$F$214,Data!$E$152*AB$200,0)</f>
        <v>0</v>
      </c>
      <c r="AC214" s="177">
        <f>IF($C$214=$F$214,Data!$E$152*AC$200,0)</f>
        <v>0</v>
      </c>
      <c r="AD214" s="177">
        <f>IF($C$214=$F$214,Data!$E$152*AD$200,0)</f>
        <v>0</v>
      </c>
      <c r="AE214" s="177">
        <f>IF($C$214=$F$214,Data!$E$152*AE$200,0)</f>
        <v>0</v>
      </c>
      <c r="AF214" s="177">
        <f>IF($C$214=$F$214,Data!$E$152*AF$200,0)</f>
        <v>0</v>
      </c>
      <c r="AG214" s="177">
        <f>IF($C$214=$F$214,Data!$E$152*AG$200,0)</f>
        <v>0</v>
      </c>
      <c r="AH214" s="177">
        <f>IF($C$214=$F$214,Data!$E$152*AH$200,0)</f>
        <v>0</v>
      </c>
      <c r="AI214" s="177">
        <f>IF($C$214=$F$214,Data!$E$152*AI$200,0)</f>
        <v>0</v>
      </c>
      <c r="AJ214" s="177">
        <f>IF($C$214=$F$214,Data!$E$152*AJ$200,0)</f>
        <v>0</v>
      </c>
      <c r="AK214" s="177">
        <f>IF($C$214=$F$214,Data!$E$152*AK$200,0)</f>
        <v>0</v>
      </c>
      <c r="AL214" s="177">
        <f>IF($C$214=$F$214,Data!$E$152*AL$200,0)</f>
        <v>0</v>
      </c>
      <c r="AM214" s="177">
        <f>IF($C$214=$F$214,Data!$E$152*AM$200,0)</f>
        <v>0</v>
      </c>
      <c r="AN214" s="177">
        <f>IF($C$214=$F$214,Data!$E$152*AN$200,0)</f>
        <v>0</v>
      </c>
      <c r="AO214" s="177">
        <f>IF($C$214=$F$214,Data!$E$152*AO$200,0)</f>
        <v>0</v>
      </c>
      <c r="AP214" s="29"/>
    </row>
    <row r="215" spans="1:42" x14ac:dyDescent="0.25">
      <c r="A215" s="12"/>
      <c r="B215" s="13"/>
      <c r="C215" s="45" t="s">
        <v>126</v>
      </c>
      <c r="D215" s="45"/>
      <c r="E215" s="15" t="s">
        <v>474</v>
      </c>
      <c r="F215" s="158" t="str">
        <f>Dashboard!$I$63</f>
        <v>3 Axle Double Decker Bus</v>
      </c>
      <c r="G215" s="14"/>
      <c r="H215" s="177"/>
      <c r="I215" s="177">
        <f>IF($C$215=$F$215,Data!$E$153*I$200,0)</f>
        <v>160457.14285714284</v>
      </c>
      <c r="J215" s="177">
        <f>IF($C$215=$F$215,Data!$E$153*J$200,0)</f>
        <v>160457.14285714284</v>
      </c>
      <c r="K215" s="177">
        <f>IF($C$215=$F$215,Data!$E$153*K$200,0)</f>
        <v>160457.14285714284</v>
      </c>
      <c r="L215" s="177">
        <f>IF($C$215=$F$215,Data!$E$153*L$200,0)</f>
        <v>160457.14285714284</v>
      </c>
      <c r="M215" s="177">
        <f>IF($C$215=$F$215,Data!$E$153*M$200,0)</f>
        <v>160457.14285714284</v>
      </c>
      <c r="N215" s="177">
        <f>IF($C$215=$F$215,Data!$E$153*N$200,0)</f>
        <v>160457.14285714284</v>
      </c>
      <c r="O215" s="177">
        <f>IF($C$215=$F$215,Data!$E$153*O$200,0)</f>
        <v>160457.14285714284</v>
      </c>
      <c r="P215" s="177">
        <f>IF($C$215=$F$215,Data!$E$153*P$200,0)</f>
        <v>160457.14285714284</v>
      </c>
      <c r="Q215" s="177">
        <f>IF($C$215=$F$215,Data!$E$153*Q$200,0)</f>
        <v>160457.14285714284</v>
      </c>
      <c r="R215" s="177">
        <f>IF($C$215=$F$215,Data!$E$153*R$200,0)</f>
        <v>160457.14285714284</v>
      </c>
      <c r="S215" s="177">
        <f>IF($C$215=$F$215,Data!$E$153*S$200,0)</f>
        <v>160457.14285714284</v>
      </c>
      <c r="T215" s="177">
        <f>IF($C$215=$F$215,Data!$E$153*T$200,0)</f>
        <v>160457.14285714284</v>
      </c>
      <c r="U215" s="177">
        <f>IF($C$215=$F$215,Data!$E$153*U$200,0)</f>
        <v>0</v>
      </c>
      <c r="V215" s="177">
        <f>IF($C$215=$F$215,Data!$E$153*V$200,0)</f>
        <v>0</v>
      </c>
      <c r="W215" s="177">
        <f>IF($C$215=$F$215,Data!$E$153*W$200,0)</f>
        <v>0</v>
      </c>
      <c r="X215" s="177">
        <f>IF($C$215=$F$215,Data!$E$153*X$200,0)</f>
        <v>0</v>
      </c>
      <c r="Y215" s="177">
        <f>IF($C$215=$F$215,Data!$E$153*Y$200,0)</f>
        <v>0</v>
      </c>
      <c r="Z215" s="177">
        <f>IF($C$215=$F$215,Data!$E$153*Z$200,0)</f>
        <v>0</v>
      </c>
      <c r="AA215" s="177">
        <f>IF($C$215=$F$215,Data!$E$153*AA$200,0)</f>
        <v>0</v>
      </c>
      <c r="AB215" s="177">
        <f>IF($C$215=$F$215,Data!$E$153*AB$200,0)</f>
        <v>0</v>
      </c>
      <c r="AC215" s="177">
        <f>IF($C$215=$F$215,Data!$E$153*AC$200,0)</f>
        <v>0</v>
      </c>
      <c r="AD215" s="177">
        <f>IF($C$215=$F$215,Data!$E$153*AD$200,0)</f>
        <v>0</v>
      </c>
      <c r="AE215" s="177">
        <f>IF($C$215=$F$215,Data!$E$153*AE$200,0)</f>
        <v>0</v>
      </c>
      <c r="AF215" s="177">
        <f>IF($C$215=$F$215,Data!$E$153*AF$200,0)</f>
        <v>0</v>
      </c>
      <c r="AG215" s="177">
        <f>IF($C$215=$F$215,Data!$E$153*AG$200,0)</f>
        <v>0</v>
      </c>
      <c r="AH215" s="177">
        <f>IF($C$215=$F$215,Data!$E$153*AH$200,0)</f>
        <v>0</v>
      </c>
      <c r="AI215" s="177">
        <f>IF($C$215=$F$215,Data!$E$153*AI$200,0)</f>
        <v>0</v>
      </c>
      <c r="AJ215" s="177">
        <f>IF($C$215=$F$215,Data!$E$153*AJ$200,0)</f>
        <v>0</v>
      </c>
      <c r="AK215" s="177">
        <f>IF($C$215=$F$215,Data!$E$153*AK$200,0)</f>
        <v>0</v>
      </c>
      <c r="AL215" s="177">
        <f>IF($C$215=$F$215,Data!$E$153*AL$200,0)</f>
        <v>0</v>
      </c>
      <c r="AM215" s="177">
        <f>IF($C$215=$F$215,Data!$E$153*AM$200,0)</f>
        <v>0</v>
      </c>
      <c r="AN215" s="177">
        <f>IF($C$215=$F$215,Data!$E$153*AN$200,0)</f>
        <v>0</v>
      </c>
      <c r="AO215" s="177">
        <f>IF($C$215=$F$215,Data!$E$153*AO$200,0)</f>
        <v>0</v>
      </c>
      <c r="AP215" s="29"/>
    </row>
    <row r="216" spans="1:42" x14ac:dyDescent="0.25">
      <c r="A216" s="12"/>
      <c r="B216" s="13"/>
      <c r="C216" s="45"/>
      <c r="D216" s="45"/>
      <c r="E216" s="15"/>
      <c r="F216" s="16"/>
      <c r="G216" s="14"/>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9"/>
    </row>
    <row r="217" spans="1:42" x14ac:dyDescent="0.25">
      <c r="A217" s="12"/>
      <c r="B217" s="13"/>
      <c r="C217" s="44" t="s">
        <v>532</v>
      </c>
      <c r="D217" s="45"/>
      <c r="E217" s="15" t="s">
        <v>318</v>
      </c>
      <c r="F217" s="16"/>
      <c r="G217" s="14"/>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9"/>
    </row>
    <row r="218" spans="1:42" x14ac:dyDescent="0.25">
      <c r="A218" s="12"/>
      <c r="B218" s="13"/>
      <c r="C218" s="44" t="s">
        <v>260</v>
      </c>
      <c r="D218" s="14"/>
      <c r="E218" s="15" t="s">
        <v>318</v>
      </c>
      <c r="F218" s="16"/>
      <c r="G218" s="14"/>
      <c r="H218" s="151"/>
      <c r="I218" s="151">
        <f>Data!$E$155*I$200</f>
        <v>33733.440000000002</v>
      </c>
      <c r="J218" s="151">
        <f>Data!$E$155*J$200</f>
        <v>33733.440000000002</v>
      </c>
      <c r="K218" s="151">
        <f>Data!$E$155*K$200</f>
        <v>33733.440000000002</v>
      </c>
      <c r="L218" s="151">
        <f>Data!$E$155*L$200</f>
        <v>33733.440000000002</v>
      </c>
      <c r="M218" s="151">
        <f>Data!$E$155*M$200</f>
        <v>33733.440000000002</v>
      </c>
      <c r="N218" s="151">
        <f>Data!$E$155*N$200</f>
        <v>33733.440000000002</v>
      </c>
      <c r="O218" s="151">
        <f>Data!$E$155*O$200</f>
        <v>33733.440000000002</v>
      </c>
      <c r="P218" s="151">
        <f>Data!$E$155*P$200</f>
        <v>33733.440000000002</v>
      </c>
      <c r="Q218" s="151">
        <f>Data!$E$155*Q$200</f>
        <v>33733.440000000002</v>
      </c>
      <c r="R218" s="151">
        <f>Data!$E$155*R$200</f>
        <v>33733.440000000002</v>
      </c>
      <c r="S218" s="151">
        <f>Data!$E$155*S$200</f>
        <v>33733.440000000002</v>
      </c>
      <c r="T218" s="151">
        <f>Data!$E$155*T$200</f>
        <v>33733.440000000002</v>
      </c>
      <c r="U218" s="151">
        <f>Data!$E$155*U$200</f>
        <v>0</v>
      </c>
      <c r="V218" s="151">
        <f>Data!$E$155*V$200</f>
        <v>0</v>
      </c>
      <c r="W218" s="151">
        <f>Data!$E$155*W$200</f>
        <v>0</v>
      </c>
      <c r="X218" s="151">
        <f>Data!$E$155*X$200</f>
        <v>0</v>
      </c>
      <c r="Y218" s="151">
        <f>Data!$E$155*Y$200</f>
        <v>0</v>
      </c>
      <c r="Z218" s="151">
        <f>Data!$E$155*Z$200</f>
        <v>0</v>
      </c>
      <c r="AA218" s="151">
        <f>Data!$E$155*AA$200</f>
        <v>0</v>
      </c>
      <c r="AB218" s="151">
        <f>Data!$E$155*AB$200</f>
        <v>0</v>
      </c>
      <c r="AC218" s="151">
        <f>Data!$E$155*AC$200</f>
        <v>0</v>
      </c>
      <c r="AD218" s="151">
        <f>Data!$E$155*AD$200</f>
        <v>0</v>
      </c>
      <c r="AE218" s="151">
        <f>Data!$E$155*AE$200</f>
        <v>0</v>
      </c>
      <c r="AF218" s="151">
        <f>Data!$E$155*AF$200</f>
        <v>0</v>
      </c>
      <c r="AG218" s="151">
        <f>Data!$E$155*AG$200</f>
        <v>0</v>
      </c>
      <c r="AH218" s="151">
        <f>Data!$E$155*AH$200</f>
        <v>0</v>
      </c>
      <c r="AI218" s="151">
        <f>Data!$E$155*AI$200</f>
        <v>0</v>
      </c>
      <c r="AJ218" s="151">
        <f>Data!$E$155*AJ$200</f>
        <v>0</v>
      </c>
      <c r="AK218" s="151">
        <f>Data!$E$155*AK$200</f>
        <v>0</v>
      </c>
      <c r="AL218" s="151">
        <f>Data!$E$155*AL$200</f>
        <v>0</v>
      </c>
      <c r="AM218" s="151">
        <f>Data!$E$155*AM$200</f>
        <v>0</v>
      </c>
      <c r="AN218" s="151">
        <f>Data!$E$155*AN$200</f>
        <v>0</v>
      </c>
      <c r="AO218" s="151">
        <f>Data!$E$155*AO$200</f>
        <v>0</v>
      </c>
      <c r="AP218" s="17"/>
    </row>
    <row r="219" spans="1:42" ht="15.75" customHeight="1" x14ac:dyDescent="0.25">
      <c r="A219" s="12"/>
      <c r="B219" s="13"/>
      <c r="C219" s="44"/>
      <c r="D219" s="44"/>
      <c r="E219" s="15"/>
      <c r="F219" s="16"/>
      <c r="G219" s="14"/>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17"/>
    </row>
    <row r="220" spans="1:42" x14ac:dyDescent="0.25">
      <c r="A220" s="12"/>
      <c r="B220" s="13"/>
      <c r="C220" s="44" t="s">
        <v>398</v>
      </c>
      <c r="D220" s="45"/>
      <c r="E220" s="15"/>
      <c r="F220" s="16"/>
      <c r="G220" s="14"/>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9"/>
    </row>
    <row r="221" spans="1:42" x14ac:dyDescent="0.25">
      <c r="A221" s="12"/>
      <c r="B221" s="13"/>
      <c r="C221" s="45" t="s">
        <v>127</v>
      </c>
      <c r="D221" s="45"/>
      <c r="E221" s="15" t="s">
        <v>475</v>
      </c>
      <c r="F221" s="158" t="str">
        <f>Dashboard!$I$62</f>
        <v>Hilly (Gradient  6%)</v>
      </c>
      <c r="G221" s="14"/>
      <c r="H221" s="62"/>
      <c r="I221" s="181" cm="1">
        <f t="array" ref="I221">INDEX('Control panel'!$E$17:$E$19,MATCH($F$221,'Control panel'!$C$17:$C$19,0),0)</f>
        <v>2.0035308778415004</v>
      </c>
      <c r="J221" s="181" cm="1">
        <f t="array" ref="J221">INDEX('Control panel'!$E$17:$E$19,MATCH($F$221,'Control panel'!$C$17:$C$19,0),0)</f>
        <v>2.0035308778415004</v>
      </c>
      <c r="K221" s="181" cm="1">
        <f t="array" ref="K221">INDEX('Control panel'!$E$17:$E$19,MATCH($F$221,'Control panel'!$C$17:$C$19,0),0)</f>
        <v>2.0035308778415004</v>
      </c>
      <c r="L221" s="181" cm="1">
        <f t="array" ref="L221">INDEX('Control panel'!$E$17:$E$19,MATCH($F$221,'Control panel'!$C$17:$C$19,0),0)</f>
        <v>2.0035308778415004</v>
      </c>
      <c r="M221" s="181" cm="1">
        <f t="array" ref="M221">INDEX('Control panel'!$E$17:$E$19,MATCH($F$221,'Control panel'!$C$17:$C$19,0),0)</f>
        <v>2.0035308778415004</v>
      </c>
      <c r="N221" s="181" cm="1">
        <f t="array" ref="N221">INDEX('Control panel'!$E$17:$E$19,MATCH($F$221,'Control panel'!$C$17:$C$19,0),0)</f>
        <v>2.0035308778415004</v>
      </c>
      <c r="O221" s="181" cm="1">
        <f t="array" ref="O221">INDEX('Control panel'!$E$17:$E$19,MATCH($F$221,'Control panel'!$C$17:$C$19,0),0)</f>
        <v>2.0035308778415004</v>
      </c>
      <c r="P221" s="181" cm="1">
        <f t="array" ref="P221">INDEX('Control panel'!$E$17:$E$19,MATCH($F$221,'Control panel'!$C$17:$C$19,0),0)</f>
        <v>2.0035308778415004</v>
      </c>
      <c r="Q221" s="181" cm="1">
        <f t="array" ref="Q221">INDEX('Control panel'!$E$17:$E$19,MATCH($F$221,'Control panel'!$C$17:$C$19,0),0)</f>
        <v>2.0035308778415004</v>
      </c>
      <c r="R221" s="181" cm="1">
        <f t="array" ref="R221">INDEX('Control panel'!$E$17:$E$19,MATCH($F$221,'Control panel'!$C$17:$C$19,0),0)</f>
        <v>2.0035308778415004</v>
      </c>
      <c r="S221" s="181" cm="1">
        <f t="array" ref="S221">INDEX('Control panel'!$E$17:$E$19,MATCH($F$221,'Control panel'!$C$17:$C$19,0),0)</f>
        <v>2.0035308778415004</v>
      </c>
      <c r="T221" s="181" cm="1">
        <f t="array" ref="T221">INDEX('Control panel'!$E$17:$E$19,MATCH($F$221,'Control panel'!$C$17:$C$19,0),0)</f>
        <v>2.0035308778415004</v>
      </c>
      <c r="U221" s="181" cm="1">
        <f t="array" ref="U221">INDEX('Control panel'!$E$17:$E$19,MATCH($F$221,'Control panel'!$C$17:$C$19,0),0)</f>
        <v>2.0035308778415004</v>
      </c>
      <c r="V221" s="181" cm="1">
        <f t="array" ref="V221">INDEX('Control panel'!$E$17:$E$19,MATCH($F$221,'Control panel'!$C$17:$C$19,0),0)</f>
        <v>2.0035308778415004</v>
      </c>
      <c r="W221" s="181" cm="1">
        <f t="array" ref="W221">INDEX('Control panel'!$E$17:$E$19,MATCH($F$221,'Control panel'!$C$17:$C$19,0),0)</f>
        <v>2.0035308778415004</v>
      </c>
      <c r="X221" s="181" cm="1">
        <f t="array" ref="X221">INDEX('Control panel'!$E$17:$E$19,MATCH($F$221,'Control panel'!$C$17:$C$19,0),0)</f>
        <v>2.0035308778415004</v>
      </c>
      <c r="Y221" s="181" cm="1">
        <f t="array" ref="Y221">INDEX('Control panel'!$E$17:$E$19,MATCH($F$221,'Control panel'!$C$17:$C$19,0),0)</f>
        <v>2.0035308778415004</v>
      </c>
      <c r="Z221" s="181" cm="1">
        <f t="array" ref="Z221">INDEX('Control panel'!$E$17:$E$19,MATCH($F$221,'Control panel'!$C$17:$C$19,0),0)</f>
        <v>2.0035308778415004</v>
      </c>
      <c r="AA221" s="181" cm="1">
        <f t="array" ref="AA221">INDEX('Control panel'!$E$17:$E$19,MATCH($F$221,'Control panel'!$C$17:$C$19,0),0)</f>
        <v>2.0035308778415004</v>
      </c>
      <c r="AB221" s="181" cm="1">
        <f t="array" ref="AB221">INDEX('Control panel'!$E$17:$E$19,MATCH($F$221,'Control panel'!$C$17:$C$19,0),0)</f>
        <v>2.0035308778415004</v>
      </c>
      <c r="AC221" s="181" cm="1">
        <f t="array" ref="AC221">INDEX('Control panel'!$E$17:$E$19,MATCH($F$221,'Control panel'!$C$17:$C$19,0),0)</f>
        <v>2.0035308778415004</v>
      </c>
      <c r="AD221" s="181" cm="1">
        <f t="array" ref="AD221">INDEX('Control panel'!$E$17:$E$19,MATCH($F$221,'Control panel'!$C$17:$C$19,0),0)</f>
        <v>2.0035308778415004</v>
      </c>
      <c r="AE221" s="181" cm="1">
        <f t="array" ref="AE221">INDEX('Control panel'!$E$17:$E$19,MATCH($F$221,'Control panel'!$C$17:$C$19,0),0)</f>
        <v>2.0035308778415004</v>
      </c>
      <c r="AF221" s="181" cm="1">
        <f t="array" ref="AF221">INDEX('Control panel'!$E$17:$E$19,MATCH($F$221,'Control panel'!$C$17:$C$19,0),0)</f>
        <v>2.0035308778415004</v>
      </c>
      <c r="AG221" s="181" cm="1">
        <f t="array" ref="AG221">INDEX('Control panel'!$E$17:$E$19,MATCH($F$221,'Control panel'!$C$17:$C$19,0),0)</f>
        <v>2.0035308778415004</v>
      </c>
      <c r="AH221" s="181" cm="1">
        <f t="array" ref="AH221">INDEX('Control panel'!$E$17:$E$19,MATCH($F$221,'Control panel'!$C$17:$C$19,0),0)</f>
        <v>2.0035308778415004</v>
      </c>
      <c r="AI221" s="181" cm="1">
        <f t="array" ref="AI221">INDEX('Control panel'!$E$17:$E$19,MATCH($F$221,'Control panel'!$C$17:$C$19,0),0)</f>
        <v>2.0035308778415004</v>
      </c>
      <c r="AJ221" s="181" cm="1">
        <f t="array" ref="AJ221">INDEX('Control panel'!$E$17:$E$19,MATCH($F$221,'Control panel'!$C$17:$C$19,0),0)</f>
        <v>2.0035308778415004</v>
      </c>
      <c r="AK221" s="181" cm="1">
        <f t="array" ref="AK221">INDEX('Control panel'!$E$17:$E$19,MATCH($F$221,'Control panel'!$C$17:$C$19,0),0)</f>
        <v>2.0035308778415004</v>
      </c>
      <c r="AL221" s="181" cm="1">
        <f t="array" ref="AL221">INDEX('Control panel'!$E$17:$E$19,MATCH($F$221,'Control panel'!$C$17:$C$19,0),0)</f>
        <v>2.0035308778415004</v>
      </c>
      <c r="AM221" s="181" cm="1">
        <f t="array" ref="AM221">INDEX('Control panel'!$E$17:$E$19,MATCH($F$221,'Control panel'!$C$17:$C$19,0),0)</f>
        <v>2.0035308778415004</v>
      </c>
      <c r="AN221" s="181" cm="1">
        <f t="array" ref="AN221">INDEX('Control panel'!$E$17:$E$19,MATCH($F$221,'Control panel'!$C$17:$C$19,0),0)</f>
        <v>2.0035308778415004</v>
      </c>
      <c r="AO221" s="181" cm="1">
        <f t="array" ref="AO221">INDEX('Control panel'!$E$17:$E$19,MATCH($F$221,'Control panel'!$C$17:$C$19,0),0)</f>
        <v>2.0035308778415004</v>
      </c>
      <c r="AP221" s="29"/>
    </row>
    <row r="222" spans="1:42" x14ac:dyDescent="0.25">
      <c r="A222" s="12"/>
      <c r="B222" s="13"/>
      <c r="C222" s="45" t="s">
        <v>120</v>
      </c>
      <c r="D222" s="45"/>
      <c r="E222" s="15" t="s">
        <v>318</v>
      </c>
      <c r="F222" s="158" t="str">
        <f>Dashboard!$I$63</f>
        <v>3 Axle Double Decker Bus</v>
      </c>
      <c r="G222" s="14"/>
      <c r="H222" s="62"/>
      <c r="I222" s="177">
        <f>IF($C$222=$F$222,I$200*Data!$E$162*Data!H$71,0)*(1+I221)*(1+Data!$E$93)</f>
        <v>0</v>
      </c>
      <c r="J222" s="177">
        <f>IF($C$222=$F$222,J$200*Data!$E$162*Data!I$71,0)*(1+J221)*(1+Data!$E$93)</f>
        <v>0</v>
      </c>
      <c r="K222" s="177">
        <f>IF($C$222=$F$222,K$200*Data!$E$162*Data!J$71,0)*(1+K221)*(1+Data!$E$93)</f>
        <v>0</v>
      </c>
      <c r="L222" s="177">
        <f>IF($C$222=$F$222,L$200*Data!$E$162*Data!K$71,0)*(1+L221)*(1+Data!$E$93)</f>
        <v>0</v>
      </c>
      <c r="M222" s="177">
        <f>IF($C$222=$F$222,M$200*Data!$E$162*Data!L$71,0)*(1+M221)*(1+Data!$E$93)</f>
        <v>0</v>
      </c>
      <c r="N222" s="177">
        <f>IF($C$222=$F$222,N$200*Data!$E$162*Data!M$71,0)*(1+N221)*(1+Data!$E$93)</f>
        <v>0</v>
      </c>
      <c r="O222" s="177">
        <f>IF($C$222=$F$222,O$200*Data!$E$162*Data!N$71,0)*(1+O221)*(1+Data!$E$93)</f>
        <v>0</v>
      </c>
      <c r="P222" s="177">
        <f>IF($C$222=$F$222,P$200*Data!$E$162*Data!O$71,0)*(1+P221)*(1+Data!$E$93)</f>
        <v>0</v>
      </c>
      <c r="Q222" s="177">
        <f>IF($C$222=$F$222,Q$200*Data!$E$162*Data!P$71,0)*(1+Q221)*(1+Data!$E$93)</f>
        <v>0</v>
      </c>
      <c r="R222" s="177">
        <f>IF($C$222=$F$222,R$200*Data!$E$162*Data!Q$71,0)*(1+R221)*(1+Data!$E$93)</f>
        <v>0</v>
      </c>
      <c r="S222" s="177">
        <f>IF($C$222=$F$222,S$200*Data!$E$162*Data!R$71,0)*(1+S221)*(1+Data!$E$93)</f>
        <v>0</v>
      </c>
      <c r="T222" s="177">
        <f>IF($C$222=$F$222,T$200*Data!$E$162*Data!S$71,0)*(1+T221)*(1+Data!$E$93)</f>
        <v>0</v>
      </c>
      <c r="U222" s="177">
        <f>IF($C$222=$F$222,U$200*Data!$E$162*Data!T$71,0)*(1+U221)*(1+Data!$E$93)</f>
        <v>0</v>
      </c>
      <c r="V222" s="177">
        <f>IF($C$222=$F$222,V$200*Data!$E$162*Data!U$71,0)*(1+V221)*(1+Data!$E$93)</f>
        <v>0</v>
      </c>
      <c r="W222" s="177">
        <f>IF($C$222=$F$222,W$200*Data!$E$162*Data!V$71,0)*(1+W221)*(1+Data!$E$93)</f>
        <v>0</v>
      </c>
      <c r="X222" s="177">
        <f>IF($C$222=$F$222,X$200*Data!$E$162*Data!W$71,0)*(1+X221)*(1+Data!$E$93)</f>
        <v>0</v>
      </c>
      <c r="Y222" s="177">
        <f>IF($C$222=$F$222,Y$200*Data!$E$162*Data!X$71,0)*(1+Y221)*(1+Data!$E$93)</f>
        <v>0</v>
      </c>
      <c r="Z222" s="177">
        <f>IF($C$222=$F$222,Z$200*Data!$E$162*Data!Y$71,0)*(1+Z221)*(1+Data!$E$93)</f>
        <v>0</v>
      </c>
      <c r="AA222" s="177">
        <f>IF($C$222=$F$222,AA$200*Data!$E$162*Data!Z$71,0)*(1+AA221)*(1+Data!$E$93)</f>
        <v>0</v>
      </c>
      <c r="AB222" s="177">
        <f>IF($C$222=$F$222,AB$200*Data!$E$162*Data!AA$71,0)*(1+AB221)*(1+Data!$E$93)</f>
        <v>0</v>
      </c>
      <c r="AC222" s="177">
        <f>IF($C$222=$F$222,AC$200*Data!$E$162*Data!AB$71,0)*(1+AC221)*(1+Data!$E$93)</f>
        <v>0</v>
      </c>
      <c r="AD222" s="177">
        <f>IF($C$222=$F$222,AD$200*Data!$E$162*Data!AC$71,0)*(1+AD221)*(1+Data!$E$93)</f>
        <v>0</v>
      </c>
      <c r="AE222" s="177">
        <f>IF($C$222=$F$222,AE$200*Data!$E$162*Data!AD$71,0)*(1+AE221)*(1+Data!$E$93)</f>
        <v>0</v>
      </c>
      <c r="AF222" s="177">
        <f>IF($C$222=$F$222,AF$200*Data!$E$162*Data!AE$71,0)*(1+AF221)*(1+Data!$E$93)</f>
        <v>0</v>
      </c>
      <c r="AG222" s="177">
        <f>IF($C$222=$F$222,AG$200*Data!$E$162*Data!AF$71,0)*(1+AG221)*(1+Data!$E$93)</f>
        <v>0</v>
      </c>
      <c r="AH222" s="177">
        <f>IF($C$222=$F$222,AH$200*Data!$E$162*Data!AG$71,0)*(1+AH221)*(1+Data!$E$93)</f>
        <v>0</v>
      </c>
      <c r="AI222" s="177">
        <f>IF($C$222=$F$222,AI$200*Data!$E$162*Data!AH$71,0)*(1+AI221)*(1+Data!$E$93)</f>
        <v>0</v>
      </c>
      <c r="AJ222" s="177">
        <f>IF($C$222=$F$222,AJ$200*Data!$E$162*Data!AI$71,0)*(1+AJ221)*(1+Data!$E$93)</f>
        <v>0</v>
      </c>
      <c r="AK222" s="177">
        <f>IF($C$222=$F$222,AK$200*Data!$E$162*Data!AJ$71,0)*(1+AK221)*(1+Data!$E$93)</f>
        <v>0</v>
      </c>
      <c r="AL222" s="177">
        <f>IF($C$222=$F$222,AL$200*Data!$E$162*Data!AK$71,0)*(1+AL221)*(1+Data!$E$93)</f>
        <v>0</v>
      </c>
      <c r="AM222" s="177">
        <f>IF($C$222=$F$222,AM$200*Data!$E$162*Data!AL$71,0)*(1+AM221)*(1+Data!$E$93)</f>
        <v>0</v>
      </c>
      <c r="AN222" s="177">
        <f>IF($C$222=$F$222,AN$200*Data!$E$162*Data!AM$71,0)*(1+AN221)*(1+Data!$E$93)</f>
        <v>0</v>
      </c>
      <c r="AO222" s="177">
        <f>IF($C$222=$F$222,AO$200*Data!$E$162*Data!AN$71,0)*(1+AO221)*(1+Data!$E$93)</f>
        <v>0</v>
      </c>
      <c r="AP222" s="29"/>
    </row>
    <row r="223" spans="1:42" x14ac:dyDescent="0.25">
      <c r="A223" s="12"/>
      <c r="B223" s="13"/>
      <c r="C223" s="45" t="s">
        <v>124</v>
      </c>
      <c r="D223" s="45"/>
      <c r="E223" s="15" t="s">
        <v>318</v>
      </c>
      <c r="F223" s="158" t="str">
        <f>Dashboard!$I$63</f>
        <v>3 Axle Double Decker Bus</v>
      </c>
      <c r="G223" s="14"/>
      <c r="H223" s="62"/>
      <c r="I223" s="177">
        <f>IF($C$223=$F$223,I$200*Data!$E$163*Data!H$71,0)*(1+I221)*(1+Data!$E$93)</f>
        <v>0</v>
      </c>
      <c r="J223" s="177">
        <f>IF($C$223=$F$223,J$200*Data!$E$163*Data!I$71,0)*(1+J221)*(1+Data!$E$93)</f>
        <v>0</v>
      </c>
      <c r="K223" s="177">
        <f>IF($C$223=$F$223,K$200*Data!$E$163*Data!J$71,0)*(1+K221)*(1+Data!$E$93)</f>
        <v>0</v>
      </c>
      <c r="L223" s="177">
        <f>IF($C$223=$F$223,L$200*Data!$E$163*Data!K$71,0)*(1+L221)*(1+Data!$E$93)</f>
        <v>0</v>
      </c>
      <c r="M223" s="177">
        <f>IF($C$223=$F$223,M$200*Data!$E$163*Data!L$71,0)*(1+M221)*(1+Data!$E$93)</f>
        <v>0</v>
      </c>
      <c r="N223" s="177">
        <f>IF($C$223=$F$223,N$200*Data!$E$163*Data!M$71,0)*(1+N221)*(1+Data!$E$93)</f>
        <v>0</v>
      </c>
      <c r="O223" s="177">
        <f>IF($C$223=$F$223,O$200*Data!$E$163*Data!N$71,0)*(1+O221)*(1+Data!$E$93)</f>
        <v>0</v>
      </c>
      <c r="P223" s="177">
        <f>IF($C$223=$F$223,P$200*Data!$E$163*Data!O$71,0)*(1+P221)*(1+Data!$E$93)</f>
        <v>0</v>
      </c>
      <c r="Q223" s="177">
        <f>IF($C$223=$F$223,Q$200*Data!$E$163*Data!P$71,0)*(1+Q221)*(1+Data!$E$93)</f>
        <v>0</v>
      </c>
      <c r="R223" s="177">
        <f>IF($C$223=$F$223,R$200*Data!$E$163*Data!Q$71,0)*(1+R221)*(1+Data!$E$93)</f>
        <v>0</v>
      </c>
      <c r="S223" s="177">
        <f>IF($C$223=$F$223,S$200*Data!$E$163*Data!R$71,0)*(1+S221)*(1+Data!$E$93)</f>
        <v>0</v>
      </c>
      <c r="T223" s="177">
        <f>IF($C$223=$F$223,T$200*Data!$E$163*Data!S$71,0)*(1+T221)*(1+Data!$E$93)</f>
        <v>0</v>
      </c>
      <c r="U223" s="177">
        <f>IF($C$223=$F$223,U$200*Data!$E$163*Data!T$71,0)*(1+U221)*(1+Data!$E$93)</f>
        <v>0</v>
      </c>
      <c r="V223" s="177">
        <f>IF($C$223=$F$223,V$200*Data!$E$163*Data!U$71,0)*(1+V221)*(1+Data!$E$93)</f>
        <v>0</v>
      </c>
      <c r="W223" s="177">
        <f>IF($C$223=$F$223,W$200*Data!$E$163*Data!V$71,0)*(1+W221)*(1+Data!$E$93)</f>
        <v>0</v>
      </c>
      <c r="X223" s="177">
        <f>IF($C$223=$F$223,X$200*Data!$E$163*Data!W$71,0)*(1+X221)*(1+Data!$E$93)</f>
        <v>0</v>
      </c>
      <c r="Y223" s="177">
        <f>IF($C$223=$F$223,Y$200*Data!$E$163*Data!X$71,0)*(1+Y221)*(1+Data!$E$93)</f>
        <v>0</v>
      </c>
      <c r="Z223" s="177">
        <f>IF($C$223=$F$223,Z$200*Data!$E$163*Data!Y$71,0)*(1+Z221)*(1+Data!$E$93)</f>
        <v>0</v>
      </c>
      <c r="AA223" s="177">
        <f>IF($C$223=$F$223,AA$200*Data!$E$163*Data!Z$71,0)*(1+AA221)*(1+Data!$E$93)</f>
        <v>0</v>
      </c>
      <c r="AB223" s="177">
        <f>IF($C$223=$F$223,AB$200*Data!$E$163*Data!AA$71,0)*(1+AB221)*(1+Data!$E$93)</f>
        <v>0</v>
      </c>
      <c r="AC223" s="177">
        <f>IF($C$223=$F$223,AC$200*Data!$E$163*Data!AB$71,0)*(1+AC221)*(1+Data!$E$93)</f>
        <v>0</v>
      </c>
      <c r="AD223" s="177">
        <f>IF($C$223=$F$223,AD$200*Data!$E$163*Data!AC$71,0)*(1+AD221)*(1+Data!$E$93)</f>
        <v>0</v>
      </c>
      <c r="AE223" s="177">
        <f>IF($C$223=$F$223,AE$200*Data!$E$163*Data!AD$71,0)*(1+AE221)*(1+Data!$E$93)</f>
        <v>0</v>
      </c>
      <c r="AF223" s="177">
        <f>IF($C$223=$F$223,AF$200*Data!$E$163*Data!AE$71,0)*(1+AF221)*(1+Data!$E$93)</f>
        <v>0</v>
      </c>
      <c r="AG223" s="177">
        <f>IF($C$223=$F$223,AG$200*Data!$E$163*Data!AF$71,0)*(1+AG221)*(1+Data!$E$93)</f>
        <v>0</v>
      </c>
      <c r="AH223" s="177">
        <f>IF($C$223=$F$223,AH$200*Data!$E$163*Data!AG$71,0)*(1+AH221)*(1+Data!$E$93)</f>
        <v>0</v>
      </c>
      <c r="AI223" s="177">
        <f>IF($C$223=$F$223,AI$200*Data!$E$163*Data!AH$71,0)*(1+AI221)*(1+Data!$E$93)</f>
        <v>0</v>
      </c>
      <c r="AJ223" s="177">
        <f>IF($C$223=$F$223,AJ$200*Data!$E$163*Data!AI$71,0)*(1+AJ221)*(1+Data!$E$93)</f>
        <v>0</v>
      </c>
      <c r="AK223" s="177">
        <f>IF($C$223=$F$223,AK$200*Data!$E$163*Data!AJ$71,0)*(1+AK221)*(1+Data!$E$93)</f>
        <v>0</v>
      </c>
      <c r="AL223" s="177">
        <f>IF($C$223=$F$223,AL$200*Data!$E$163*Data!AK$71,0)*(1+AL221)*(1+Data!$E$93)</f>
        <v>0</v>
      </c>
      <c r="AM223" s="177">
        <f>IF($C$223=$F$223,AM$200*Data!$E$163*Data!AL$71,0)*(1+AM221)*(1+Data!$E$93)</f>
        <v>0</v>
      </c>
      <c r="AN223" s="177">
        <f>IF($C$223=$F$223,AN$200*Data!$E$163*Data!AM$71,0)*(1+AN221)*(1+Data!$E$93)</f>
        <v>0</v>
      </c>
      <c r="AO223" s="177">
        <f>IF($C$223=$F$223,AO$200*Data!$E$163*Data!AN$71,0)*(1+AO221)*(1+Data!$E$93)</f>
        <v>0</v>
      </c>
      <c r="AP223" s="29"/>
    </row>
    <row r="224" spans="1:42" x14ac:dyDescent="0.25">
      <c r="A224" s="12"/>
      <c r="B224" s="13"/>
      <c r="C224" s="45" t="s">
        <v>126</v>
      </c>
      <c r="D224" s="45"/>
      <c r="E224" s="15" t="s">
        <v>318</v>
      </c>
      <c r="F224" s="158" t="str">
        <f>Dashboard!$I$63</f>
        <v>3 Axle Double Decker Bus</v>
      </c>
      <c r="G224" s="14"/>
      <c r="H224" s="62"/>
      <c r="I224" s="177">
        <f>IF($C$224=$F$224,I$200*Data!$E$164*Data!H$71,0)*(1+I221)*(1+Data!$E$93)</f>
        <v>840559.15950461663</v>
      </c>
      <c r="J224" s="177">
        <f>IF($C$224=$F$224,J$200*Data!$E$164*Data!I$71,0)*(1+J221)*(1+Data!$E$93)</f>
        <v>676225.03366140323</v>
      </c>
      <c r="K224" s="177">
        <f>IF($C$224=$F$224,K$200*Data!$E$164*Data!J$71,0)*(1+K221)*(1+Data!$E$93)</f>
        <v>652389.14614542283</v>
      </c>
      <c r="L224" s="177">
        <f>IF($C$224=$F$224,L$200*Data!$E$164*Data!K$71,0)*(1+L221)*(1+Data!$E$93)</f>
        <v>628553.25862944254</v>
      </c>
      <c r="M224" s="177">
        <f>IF($C$224=$F$224,M$200*Data!$E$164*Data!L$71,0)*(1+M221)*(1+Data!$E$93)</f>
        <v>616635.3148714524</v>
      </c>
      <c r="N224" s="177">
        <f>IF($C$224=$F$224,N$200*Data!$E$164*Data!M$71,0)*(1+N221)*(1+Data!$E$93)</f>
        <v>604717.37111346214</v>
      </c>
      <c r="O224" s="177">
        <f>IF($C$224=$F$224,O$200*Data!$E$164*Data!N$71,0)*(1+O221)*(1+Data!$E$93)</f>
        <v>592799.42735547211</v>
      </c>
      <c r="P224" s="177">
        <f>IF($C$224=$F$224,P$200*Data!$E$164*Data!O$71,0)*(1+P221)*(1+Data!$E$93)</f>
        <v>580881.48359748186</v>
      </c>
      <c r="Q224" s="177">
        <f>IF($C$224=$F$224,Q$200*Data!$E$164*Data!P$71,0)*(1+Q221)*(1+Data!$E$93)</f>
        <v>580881.48359748186</v>
      </c>
      <c r="R224" s="177">
        <f>IF($C$224=$F$224,R$200*Data!$E$164*Data!Q$71,0)*(1+R221)*(1+Data!$E$93)</f>
        <v>580881.48359748186</v>
      </c>
      <c r="S224" s="177">
        <f>IF($C$224=$F$224,S$200*Data!$E$164*Data!R$71,0)*(1+S221)*(1+Data!$E$93)</f>
        <v>580881.48359748186</v>
      </c>
      <c r="T224" s="177">
        <f>IF($C$224=$F$224,T$200*Data!$E$164*Data!S$71,0)*(1+T221)*(1+Data!$E$93)</f>
        <v>580881.48359748186</v>
      </c>
      <c r="U224" s="177">
        <f>IF($C$224=$F$224,U$200*Data!$E$164*Data!T$71,0)*(1+U221)*(1+Data!$E$93)</f>
        <v>0</v>
      </c>
      <c r="V224" s="177">
        <f>IF($C$224=$F$224,V$200*Data!$E$164*Data!U$71,0)*(1+V221)*(1+Data!$E$93)</f>
        <v>0</v>
      </c>
      <c r="W224" s="177">
        <f>IF($C$224=$F$224,W$200*Data!$E$164*Data!V$71,0)*(1+W221)*(1+Data!$E$93)</f>
        <v>0</v>
      </c>
      <c r="X224" s="177">
        <f>IF($C$224=$F$224,X$200*Data!$E$164*Data!W$71,0)*(1+X221)*(1+Data!$E$93)</f>
        <v>0</v>
      </c>
      <c r="Y224" s="177">
        <f>IF($C$224=$F$224,Y$200*Data!$E$164*Data!X$71,0)*(1+Y221)*(1+Data!$E$93)</f>
        <v>0</v>
      </c>
      <c r="Z224" s="177">
        <f>IF($C$224=$F$224,Z$200*Data!$E$164*Data!Y$71,0)*(1+Z221)*(1+Data!$E$93)</f>
        <v>0</v>
      </c>
      <c r="AA224" s="177">
        <f>IF($C$224=$F$224,AA$200*Data!$E$164*Data!Z$71,0)*(1+AA221)*(1+Data!$E$93)</f>
        <v>0</v>
      </c>
      <c r="AB224" s="177">
        <f>IF($C$224=$F$224,AB$200*Data!$E$164*Data!AA$71,0)*(1+AB221)*(1+Data!$E$93)</f>
        <v>0</v>
      </c>
      <c r="AC224" s="177">
        <f>IF($C$224=$F$224,AC$200*Data!$E$164*Data!AB$71,0)*(1+AC221)*(1+Data!$E$93)</f>
        <v>0</v>
      </c>
      <c r="AD224" s="177">
        <f>IF($C$224=$F$224,AD$200*Data!$E$164*Data!AC$71,0)*(1+AD221)*(1+Data!$E$93)</f>
        <v>0</v>
      </c>
      <c r="AE224" s="177">
        <f>IF($C$224=$F$224,AE$200*Data!$E$164*Data!AD$71,0)*(1+AE221)*(1+Data!$E$93)</f>
        <v>0</v>
      </c>
      <c r="AF224" s="177">
        <f>IF($C$224=$F$224,AF$200*Data!$E$164*Data!AE$71,0)*(1+AF221)*(1+Data!$E$93)</f>
        <v>0</v>
      </c>
      <c r="AG224" s="177">
        <f>IF($C$224=$F$224,AG$200*Data!$E$164*Data!AF$71,0)*(1+AG221)*(1+Data!$E$93)</f>
        <v>0</v>
      </c>
      <c r="AH224" s="177">
        <f>IF($C$224=$F$224,AH$200*Data!$E$164*Data!AG$71,0)*(1+AH221)*(1+Data!$E$93)</f>
        <v>0</v>
      </c>
      <c r="AI224" s="177">
        <f>IF($C$224=$F$224,AI$200*Data!$E$164*Data!AH$71,0)*(1+AI221)*(1+Data!$E$93)</f>
        <v>0</v>
      </c>
      <c r="AJ224" s="177">
        <f>IF($C$224=$F$224,AJ$200*Data!$E$164*Data!AI$71,0)*(1+AJ221)*(1+Data!$E$93)</f>
        <v>0</v>
      </c>
      <c r="AK224" s="177">
        <f>IF($C$224=$F$224,AK$200*Data!$E$164*Data!AJ$71,0)*(1+AK221)*(1+Data!$E$93)</f>
        <v>0</v>
      </c>
      <c r="AL224" s="177">
        <f>IF($C$224=$F$224,AL$200*Data!$E$164*Data!AK$71,0)*(1+AL221)*(1+Data!$E$93)</f>
        <v>0</v>
      </c>
      <c r="AM224" s="177">
        <f>IF($C$224=$F$224,AM$200*Data!$E$164*Data!AL$71,0)*(1+AM221)*(1+Data!$E$93)</f>
        <v>0</v>
      </c>
      <c r="AN224" s="177">
        <f>IF($C$224=$F$224,AN$200*Data!$E$164*Data!AM$71,0)*(1+AN221)*(1+Data!$E$93)</f>
        <v>0</v>
      </c>
      <c r="AO224" s="177">
        <f>IF($C$224=$F$224,AO$200*Data!$E$164*Data!AN$71,0)*(1+AO221)*(1+Data!$E$93)</f>
        <v>0</v>
      </c>
      <c r="AP224" s="17"/>
    </row>
    <row r="225" spans="1:42" x14ac:dyDescent="0.25">
      <c r="A225" s="12"/>
      <c r="B225" s="13"/>
      <c r="C225" s="44"/>
      <c r="D225" s="44"/>
      <c r="E225" s="15"/>
      <c r="F225" s="16"/>
      <c r="G225" s="14"/>
      <c r="H225" s="46"/>
      <c r="I225" s="96"/>
      <c r="J225" s="96"/>
      <c r="K225" s="96"/>
      <c r="L225" s="96"/>
      <c r="M225" s="96"/>
      <c r="N225" s="96"/>
      <c r="O225" s="96"/>
      <c r="P225" s="96"/>
      <c r="Q225" s="96"/>
      <c r="R225" s="96"/>
      <c r="S225" s="96"/>
      <c r="T225" s="96"/>
      <c r="U225" s="96"/>
      <c r="V225" s="96"/>
      <c r="W225" s="96"/>
      <c r="X225" s="96"/>
      <c r="Y225" s="96"/>
      <c r="Z225" s="96"/>
      <c r="AA225" s="96"/>
      <c r="AB225" s="96"/>
      <c r="AC225" s="46"/>
      <c r="AD225" s="46"/>
      <c r="AE225" s="46"/>
      <c r="AF225" s="46"/>
      <c r="AG225" s="46"/>
      <c r="AH225" s="46"/>
      <c r="AI225" s="46"/>
      <c r="AJ225" s="46"/>
      <c r="AK225" s="46"/>
      <c r="AL225" s="46"/>
      <c r="AM225" s="46"/>
      <c r="AN225" s="46"/>
      <c r="AO225" s="46"/>
      <c r="AP225" s="17"/>
    </row>
    <row r="226" spans="1:42" x14ac:dyDescent="0.25">
      <c r="A226" s="12"/>
      <c r="B226" s="13"/>
      <c r="C226" s="19" t="s">
        <v>512</v>
      </c>
      <c r="D226" s="45"/>
      <c r="E226" s="15"/>
      <c r="F226" s="158"/>
      <c r="G226" s="14"/>
      <c r="H226" s="28"/>
      <c r="I226" s="182">
        <f>SUM(I213:I215)+I217+I218+SUM(I222:I224)</f>
        <v>1034749.7423617595</v>
      </c>
      <c r="J226" s="182">
        <f t="shared" ref="J226:AO226" si="31">SUM(J213:J215)+J217+J218+SUM(J222:J224)</f>
        <v>870415.61651854613</v>
      </c>
      <c r="K226" s="182">
        <f t="shared" si="31"/>
        <v>846579.72900256561</v>
      </c>
      <c r="L226" s="182">
        <f t="shared" si="31"/>
        <v>822743.84148658533</v>
      </c>
      <c r="M226" s="182">
        <f t="shared" si="31"/>
        <v>810825.89772859518</v>
      </c>
      <c r="N226" s="182">
        <f t="shared" si="31"/>
        <v>798907.95397060504</v>
      </c>
      <c r="O226" s="182">
        <f t="shared" si="31"/>
        <v>786990.0102126149</v>
      </c>
      <c r="P226" s="182">
        <f t="shared" si="31"/>
        <v>775072.06645462476</v>
      </c>
      <c r="Q226" s="182">
        <f t="shared" si="31"/>
        <v>775072.06645462476</v>
      </c>
      <c r="R226" s="182">
        <f t="shared" si="31"/>
        <v>775072.06645462476</v>
      </c>
      <c r="S226" s="182">
        <f t="shared" si="31"/>
        <v>775072.06645462476</v>
      </c>
      <c r="T226" s="182">
        <f t="shared" si="31"/>
        <v>775072.06645462476</v>
      </c>
      <c r="U226" s="182">
        <f t="shared" si="31"/>
        <v>0</v>
      </c>
      <c r="V226" s="182">
        <f t="shared" si="31"/>
        <v>0</v>
      </c>
      <c r="W226" s="182">
        <f t="shared" si="31"/>
        <v>0</v>
      </c>
      <c r="X226" s="182">
        <f t="shared" si="31"/>
        <v>0</v>
      </c>
      <c r="Y226" s="182">
        <f t="shared" si="31"/>
        <v>0</v>
      </c>
      <c r="Z226" s="182">
        <f t="shared" si="31"/>
        <v>0</v>
      </c>
      <c r="AA226" s="182">
        <f t="shared" si="31"/>
        <v>0</v>
      </c>
      <c r="AB226" s="182">
        <f t="shared" si="31"/>
        <v>0</v>
      </c>
      <c r="AC226" s="182">
        <f t="shared" si="31"/>
        <v>0</v>
      </c>
      <c r="AD226" s="182">
        <f t="shared" si="31"/>
        <v>0</v>
      </c>
      <c r="AE226" s="182">
        <f t="shared" si="31"/>
        <v>0</v>
      </c>
      <c r="AF226" s="182">
        <f t="shared" si="31"/>
        <v>0</v>
      </c>
      <c r="AG226" s="182">
        <f t="shared" si="31"/>
        <v>0</v>
      </c>
      <c r="AH226" s="182">
        <f t="shared" si="31"/>
        <v>0</v>
      </c>
      <c r="AI226" s="182">
        <f t="shared" si="31"/>
        <v>0</v>
      </c>
      <c r="AJ226" s="182">
        <f t="shared" si="31"/>
        <v>0</v>
      </c>
      <c r="AK226" s="182">
        <f t="shared" si="31"/>
        <v>0</v>
      </c>
      <c r="AL226" s="182">
        <f t="shared" si="31"/>
        <v>0</v>
      </c>
      <c r="AM226" s="182">
        <f t="shared" si="31"/>
        <v>0</v>
      </c>
      <c r="AN226" s="182">
        <f t="shared" si="31"/>
        <v>0</v>
      </c>
      <c r="AO226" s="182">
        <f t="shared" si="31"/>
        <v>0</v>
      </c>
      <c r="AP226" s="29"/>
    </row>
    <row r="227" spans="1:42" x14ac:dyDescent="0.25">
      <c r="A227" s="12"/>
      <c r="B227" s="13"/>
      <c r="C227" s="45"/>
      <c r="D227" s="45"/>
      <c r="E227" s="15"/>
      <c r="F227" s="16"/>
      <c r="G227" s="14"/>
      <c r="H227" s="28"/>
      <c r="I227" s="177"/>
      <c r="J227" s="177"/>
      <c r="K227" s="177"/>
      <c r="L227" s="177"/>
      <c r="M227" s="177"/>
      <c r="N227" s="177"/>
      <c r="O227" s="177"/>
      <c r="P227" s="177"/>
      <c r="Q227" s="177"/>
      <c r="R227" s="177"/>
      <c r="S227" s="177"/>
      <c r="T227" s="177"/>
      <c r="U227" s="177"/>
      <c r="V227" s="177"/>
      <c r="W227" s="177"/>
      <c r="X227" s="28"/>
      <c r="Y227" s="28"/>
      <c r="Z227" s="28"/>
      <c r="AA227" s="28"/>
      <c r="AB227" s="28"/>
      <c r="AC227" s="28"/>
      <c r="AD227" s="28"/>
      <c r="AE227" s="28"/>
      <c r="AF227" s="28"/>
      <c r="AG227" s="28"/>
      <c r="AH227" s="28"/>
      <c r="AI227" s="28"/>
      <c r="AJ227" s="28"/>
      <c r="AK227" s="28"/>
      <c r="AL227" s="28"/>
      <c r="AM227" s="28"/>
      <c r="AN227" s="28"/>
      <c r="AO227" s="28"/>
      <c r="AP227" s="29"/>
    </row>
    <row r="228" spans="1:42" x14ac:dyDescent="0.25">
      <c r="A228" s="12"/>
      <c r="B228" s="13"/>
      <c r="C228" s="37" t="s">
        <v>513</v>
      </c>
      <c r="D228" s="37"/>
      <c r="E228" s="38"/>
      <c r="F228" s="39"/>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17"/>
    </row>
    <row r="229" spans="1:42" s="140" customFormat="1" x14ac:dyDescent="0.25">
      <c r="A229" s="78"/>
      <c r="B229" s="19"/>
      <c r="C229" s="44" t="s">
        <v>249</v>
      </c>
      <c r="D229" s="44"/>
      <c r="E229" s="21" t="s">
        <v>142</v>
      </c>
      <c r="F229" s="375" t="str">
        <f>Dashboard!I63</f>
        <v>3 Axle Double Decker Bus</v>
      </c>
      <c r="G229" s="20"/>
      <c r="H229" s="49"/>
      <c r="I229" s="182">
        <f>-IF(COUNT($I$3:I$3)=(Dashboard!$I$31+1),INDEX(Data!$E$99:$E$101,MATCH($F$229,Data!$B$99:$B$101,0)),0)</f>
        <v>0</v>
      </c>
      <c r="J229" s="182">
        <f>-IF(COUNT($I$3:J$3)=(Dashboard!$I$31+1),INDEX(Data!$E$99:$E$101,MATCH($F$229,Data!$B$99:$B$101,0)),0)</f>
        <v>0</v>
      </c>
      <c r="K229" s="182">
        <f>-IF(COUNT($I$3:K$3)=(Dashboard!$I$31+1),INDEX(Data!$E$99:$E$101,MATCH($F$229,Data!$B$99:$B$101,0)),0)</f>
        <v>0</v>
      </c>
      <c r="L229" s="182">
        <f>-IF(COUNT($I$3:L$3)=(Dashboard!$I$31+1),INDEX(Data!$E$99:$E$101,MATCH($F$229,Data!$B$99:$B$101,0)),0)</f>
        <v>0</v>
      </c>
      <c r="M229" s="182">
        <f>-IF(COUNT($I$3:M$3)=(Dashboard!$I$31+1),INDEX(Data!$E$99:$E$101,MATCH($F$229,Data!$B$99:$B$101,0)),0)</f>
        <v>0</v>
      </c>
      <c r="N229" s="182">
        <f>-IF(COUNT($I$3:N$3)=(Dashboard!$I$31+1),INDEX(Data!$E$99:$E$101,MATCH($F$229,Data!$B$99:$B$101,0)),0)</f>
        <v>0</v>
      </c>
      <c r="O229" s="182">
        <f>-IF(COUNT($I$3:O$3)=(Dashboard!$I$31+1),INDEX(Data!$E$99:$E$101,MATCH($F$229,Data!$B$99:$B$101,0)),0)</f>
        <v>0</v>
      </c>
      <c r="P229" s="182">
        <f>-IF(COUNT($I$3:P$3)=(Dashboard!$I$31+1),INDEX(Data!$E$99:$E$101,MATCH($F$229,Data!$B$99:$B$101,0)),0)</f>
        <v>0</v>
      </c>
      <c r="Q229" s="182">
        <f>-IF(COUNT($I$3:Q$3)=(Dashboard!$I$31+1),INDEX(Data!$E$99:$E$101,MATCH($F$229,Data!$B$99:$B$101,0)),0)</f>
        <v>0</v>
      </c>
      <c r="R229" s="182">
        <f>-IF(COUNT($I$3:R$3)=(Dashboard!$I$31+1),INDEX(Data!$E$99:$E$101,MATCH($F$229,Data!$B$99:$B$101,0)),0)</f>
        <v>0</v>
      </c>
      <c r="S229" s="182">
        <f>-IF(COUNT($I$3:S$3)=(Dashboard!$I$31+1),INDEX(Data!$E$99:$E$101,MATCH($F$229,Data!$B$99:$B$101,0)),0)</f>
        <v>0</v>
      </c>
      <c r="T229" s="182">
        <f>-IF(COUNT($I$3:T$3)=(Dashboard!$I$31+1),INDEX(Data!$E$99:$E$101,MATCH($F$229,Data!$B$99:$B$101,0)),0)</f>
        <v>0</v>
      </c>
      <c r="U229" s="182">
        <f>-IF(COUNT($I$3:U$3)=(Dashboard!$I$31+1),INDEX(Data!$E$99:$E$101,MATCH($F$229,Data!$B$99:$B$101,0)),0)</f>
        <v>-105000</v>
      </c>
      <c r="V229" s="182">
        <f>-IF(COUNT($I$3:V$3)=(Dashboard!$I$31+1),INDEX(Data!$E$99:$E$101,MATCH($F$229,Data!$B$99:$B$101,0)),0)</f>
        <v>0</v>
      </c>
      <c r="W229" s="182">
        <f>-IF(COUNT($I$3:W$3)=(Dashboard!$I$31+1),INDEX(Data!$E$99:$E$101,MATCH($F$229,Data!$B$99:$B$101,0)),0)</f>
        <v>0</v>
      </c>
      <c r="X229" s="182">
        <f>-IF(COUNT($I$3:X$3)=(Dashboard!$I$31+1),INDEX(Data!$E$99:$E$101,MATCH($F$229,Data!$B$99:$B$101,0)),0)</f>
        <v>0</v>
      </c>
      <c r="Y229" s="182">
        <f>-IF(COUNT($I$3:Y$3)=(Dashboard!$I$31+1),INDEX(Data!$E$99:$E$101,MATCH($F$229,Data!$B$99:$B$101,0)),0)</f>
        <v>0</v>
      </c>
      <c r="Z229" s="182">
        <f>-IF(COUNT($I$3:Z$3)=(Dashboard!$I$31+1),INDEX(Data!$E$99:$E$101,MATCH($F$229,Data!$B$99:$B$101,0)),0)</f>
        <v>0</v>
      </c>
      <c r="AA229" s="182">
        <f>-IF(COUNT($I$3:AA$3)=(Dashboard!$I$31+1),INDEX(Data!$E$99:$E$101,MATCH($F$229,Data!$B$99:$B$101,0)),0)</f>
        <v>0</v>
      </c>
      <c r="AB229" s="182">
        <f>-IF(COUNT($I$3:AB$3)=(Dashboard!$I$31+1),INDEX(Data!$E$99:$E$101,MATCH($F$229,Data!$B$99:$B$101,0)),0)</f>
        <v>0</v>
      </c>
      <c r="AC229" s="182">
        <f>-IF(COUNT($I$3:AC$3)=(Dashboard!$I$31+1),INDEX(Data!$E$99:$E$101,MATCH($F$229,Data!$B$99:$B$101,0)),0)</f>
        <v>0</v>
      </c>
      <c r="AD229" s="182">
        <f>-IF(COUNT($I$3:AD$3)=(Dashboard!$I$31+1),INDEX(Data!$E$99:$E$101,MATCH($F$229,Data!$B$99:$B$101,0)),0)</f>
        <v>0</v>
      </c>
      <c r="AE229" s="182">
        <f>-IF(COUNT($I$3:AE$3)=(Dashboard!$I$31+1),INDEX(Data!$E$99:$E$101,MATCH($F$229,Data!$B$99:$B$101,0)),0)</f>
        <v>0</v>
      </c>
      <c r="AF229" s="182">
        <f>-IF(COUNT($I$3:AF$3)=(Dashboard!$I$31+1),INDEX(Data!$E$99:$E$101,MATCH($F$229,Data!$B$99:$B$101,0)),0)</f>
        <v>0</v>
      </c>
      <c r="AG229" s="182">
        <f>-IF(COUNT($I$3:AG$3)=(Dashboard!$I$31+1),INDEX(Data!$E$99:$E$101,MATCH($F$229,Data!$B$99:$B$101,0)),0)</f>
        <v>0</v>
      </c>
      <c r="AH229" s="182">
        <f>-IF(COUNT($I$3:AH$3)=(Dashboard!$I$31+1),INDEX(Data!$E$99:$E$101,MATCH($F$229,Data!$B$99:$B$101,0)),0)</f>
        <v>0</v>
      </c>
      <c r="AI229" s="182">
        <f>-IF(COUNT($I$3:AI$3)=(Dashboard!$I$31+1),INDEX(Data!$E$99:$E$101,MATCH($F$229,Data!$B$99:$B$101,0)),0)</f>
        <v>0</v>
      </c>
      <c r="AJ229" s="182">
        <f>-IF(COUNT($I$3:AJ$3)=(Dashboard!$I$31+1),INDEX(Data!$E$99:$E$101,MATCH($F$229,Data!$B$99:$B$101,0)),0)</f>
        <v>0</v>
      </c>
      <c r="AK229" s="182">
        <f>-IF(COUNT($I$3:AK$3)=(Dashboard!$I$31+1),INDEX(Data!$E$99:$E$101,MATCH($F$229,Data!$B$99:$B$101,0)),0)</f>
        <v>0</v>
      </c>
      <c r="AL229" s="182">
        <f>-IF(COUNT($I$3:AL$3)=(Dashboard!$I$31+1),INDEX(Data!$E$99:$E$101,MATCH($F$229,Data!$B$99:$B$101,0)),0)</f>
        <v>0</v>
      </c>
      <c r="AM229" s="182">
        <f>-IF(COUNT($I$3:AM$3)=(Dashboard!$I$31+1),INDEX(Data!$E$99:$E$101,MATCH($F$229,Data!$B$99:$B$101,0)),0)</f>
        <v>0</v>
      </c>
      <c r="AN229" s="182">
        <f>-IF(COUNT($I$3:AN$3)=(Dashboard!$I$31+1),INDEX(Data!$E$99:$E$101,MATCH($F$229,Data!$B$99:$B$101,0)),0)</f>
        <v>0</v>
      </c>
      <c r="AO229" s="182">
        <f>-IF(COUNT($I$3:AO$3)=(Dashboard!$I$31+1),INDEX(Data!$E$99:$E$101,MATCH($F$229,Data!$B$99:$B$101,0)),0)</f>
        <v>0</v>
      </c>
      <c r="AP229" s="50"/>
    </row>
    <row r="230" spans="1:42" x14ac:dyDescent="0.25">
      <c r="A230" s="12"/>
      <c r="B230" s="13"/>
      <c r="C230" s="45"/>
      <c r="D230" s="45"/>
      <c r="E230" s="15"/>
      <c r="F230" s="16"/>
      <c r="G230" s="14"/>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9"/>
    </row>
    <row r="231" spans="1:42" x14ac:dyDescent="0.25">
      <c r="A231" s="12"/>
      <c r="B231" s="13"/>
      <c r="C231" s="14"/>
      <c r="D231" s="14"/>
      <c r="E231" s="15"/>
      <c r="F231" s="16"/>
      <c r="G231" s="14"/>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17"/>
    </row>
    <row r="232" spans="1:42" x14ac:dyDescent="0.25">
      <c r="A232" s="12"/>
      <c r="B232" s="13"/>
      <c r="C232" s="14"/>
      <c r="D232" s="14"/>
      <c r="E232" s="15"/>
      <c r="F232" s="16"/>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7"/>
    </row>
    <row r="233" spans="1:42" x14ac:dyDescent="0.25">
      <c r="A233" s="12"/>
      <c r="B233" s="13"/>
      <c r="C233" s="37" t="s">
        <v>479</v>
      </c>
      <c r="D233" s="37"/>
      <c r="E233" s="38" t="s">
        <v>54</v>
      </c>
      <c r="F233" s="39"/>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17"/>
    </row>
    <row r="234" spans="1:42" x14ac:dyDescent="0.25">
      <c r="A234" s="12"/>
      <c r="B234" s="13"/>
      <c r="C234" s="14" t="s">
        <v>479</v>
      </c>
      <c r="D234" s="14"/>
      <c r="E234" s="15" t="s">
        <v>54</v>
      </c>
      <c r="F234" s="16"/>
      <c r="G234" s="96"/>
      <c r="H234" s="165"/>
      <c r="I234" s="165">
        <f>I226+I229</f>
        <v>1034749.7423617595</v>
      </c>
      <c r="J234" s="165">
        <f t="shared" ref="J234:AO234" si="32">J226+J229</f>
        <v>870415.61651854613</v>
      </c>
      <c r="K234" s="165">
        <f t="shared" si="32"/>
        <v>846579.72900256561</v>
      </c>
      <c r="L234" s="165">
        <f t="shared" si="32"/>
        <v>822743.84148658533</v>
      </c>
      <c r="M234" s="165">
        <f t="shared" si="32"/>
        <v>810825.89772859518</v>
      </c>
      <c r="N234" s="165">
        <f t="shared" si="32"/>
        <v>798907.95397060504</v>
      </c>
      <c r="O234" s="165">
        <f t="shared" si="32"/>
        <v>786990.0102126149</v>
      </c>
      <c r="P234" s="165">
        <f t="shared" si="32"/>
        <v>775072.06645462476</v>
      </c>
      <c r="Q234" s="165">
        <f t="shared" si="32"/>
        <v>775072.06645462476</v>
      </c>
      <c r="R234" s="165">
        <f t="shared" si="32"/>
        <v>775072.06645462476</v>
      </c>
      <c r="S234" s="165">
        <f t="shared" si="32"/>
        <v>775072.06645462476</v>
      </c>
      <c r="T234" s="165">
        <f t="shared" si="32"/>
        <v>775072.06645462476</v>
      </c>
      <c r="U234" s="165">
        <f t="shared" si="32"/>
        <v>-105000</v>
      </c>
      <c r="V234" s="165">
        <f t="shared" si="32"/>
        <v>0</v>
      </c>
      <c r="W234" s="165">
        <f t="shared" si="32"/>
        <v>0</v>
      </c>
      <c r="X234" s="165">
        <f t="shared" si="32"/>
        <v>0</v>
      </c>
      <c r="Y234" s="165">
        <f t="shared" si="32"/>
        <v>0</v>
      </c>
      <c r="Z234" s="165">
        <f t="shared" si="32"/>
        <v>0</v>
      </c>
      <c r="AA234" s="165">
        <f t="shared" si="32"/>
        <v>0</v>
      </c>
      <c r="AB234" s="165">
        <f t="shared" si="32"/>
        <v>0</v>
      </c>
      <c r="AC234" s="165">
        <f t="shared" si="32"/>
        <v>0</v>
      </c>
      <c r="AD234" s="165">
        <f t="shared" si="32"/>
        <v>0</v>
      </c>
      <c r="AE234" s="165">
        <f t="shared" si="32"/>
        <v>0</v>
      </c>
      <c r="AF234" s="165">
        <f t="shared" si="32"/>
        <v>0</v>
      </c>
      <c r="AG234" s="165">
        <f t="shared" si="32"/>
        <v>0</v>
      </c>
      <c r="AH234" s="165">
        <f t="shared" si="32"/>
        <v>0</v>
      </c>
      <c r="AI234" s="165">
        <f t="shared" si="32"/>
        <v>0</v>
      </c>
      <c r="AJ234" s="165">
        <f t="shared" si="32"/>
        <v>0</v>
      </c>
      <c r="AK234" s="165">
        <f t="shared" si="32"/>
        <v>0</v>
      </c>
      <c r="AL234" s="165">
        <f t="shared" si="32"/>
        <v>0</v>
      </c>
      <c r="AM234" s="165">
        <f t="shared" si="32"/>
        <v>0</v>
      </c>
      <c r="AN234" s="165">
        <f t="shared" si="32"/>
        <v>0</v>
      </c>
      <c r="AO234" s="165">
        <f t="shared" si="32"/>
        <v>0</v>
      </c>
      <c r="AP234" s="29"/>
    </row>
    <row r="235" spans="1:42" s="140" customFormat="1" x14ac:dyDescent="0.25">
      <c r="A235" s="78"/>
      <c r="B235" s="19"/>
      <c r="C235" s="20" t="s">
        <v>480</v>
      </c>
      <c r="D235" s="20"/>
      <c r="E235" s="21" t="s">
        <v>54</v>
      </c>
      <c r="F235" s="48"/>
      <c r="G235" s="95"/>
      <c r="H235" s="182"/>
      <c r="I235" s="182">
        <f>I234*Data!H$9</f>
        <v>994951.67534784565</v>
      </c>
      <c r="J235" s="182">
        <f>J234*Data!I$9</f>
        <v>804748.16615989828</v>
      </c>
      <c r="K235" s="182">
        <f>K234*Data!J$9</f>
        <v>752606.29640789074</v>
      </c>
      <c r="L235" s="182">
        <f>L234*Data!K$9</f>
        <v>703284.88384662941</v>
      </c>
      <c r="M235" s="182">
        <f>M234*Data!L$9</f>
        <v>666439.78420561808</v>
      </c>
      <c r="N235" s="182">
        <f>N234*Data!M$9</f>
        <v>631388.56074431981</v>
      </c>
      <c r="O235" s="182">
        <f>O234*Data!N$9</f>
        <v>598047.72757263982</v>
      </c>
      <c r="P235" s="182">
        <f>P234*Data!O$9</f>
        <v>566337.56712904095</v>
      </c>
      <c r="Q235" s="182">
        <f>Q234*Data!P$9</f>
        <v>544555.3530086932</v>
      </c>
      <c r="R235" s="182">
        <f>R234*Data!Q$9</f>
        <v>523610.91635451262</v>
      </c>
      <c r="S235" s="182">
        <f>S234*Data!R$9</f>
        <v>503472.03495626221</v>
      </c>
      <c r="T235" s="182">
        <f>T234*Data!S$9</f>
        <v>484107.72591948276</v>
      </c>
      <c r="U235" s="182">
        <f>U234*Data!T$9</f>
        <v>-63060.279044141193</v>
      </c>
      <c r="V235" s="182">
        <f>V234*Data!U$9</f>
        <v>0</v>
      </c>
      <c r="W235" s="182">
        <f>W234*Data!V$9</f>
        <v>0</v>
      </c>
      <c r="X235" s="182">
        <f>X234*Data!W$9</f>
        <v>0</v>
      </c>
      <c r="Y235" s="182">
        <f>Y234*Data!X$9</f>
        <v>0</v>
      </c>
      <c r="Z235" s="182">
        <f>Z234*Data!Y$9</f>
        <v>0</v>
      </c>
      <c r="AA235" s="182">
        <f>AA234*Data!Z$9</f>
        <v>0</v>
      </c>
      <c r="AB235" s="182">
        <f>AB234*Data!AA$9</f>
        <v>0</v>
      </c>
      <c r="AC235" s="182">
        <f>AC234*Data!AB$9</f>
        <v>0</v>
      </c>
      <c r="AD235" s="182">
        <f>AD234*Data!AC$9</f>
        <v>0</v>
      </c>
      <c r="AE235" s="182">
        <f>AE234*Data!AD$9</f>
        <v>0</v>
      </c>
      <c r="AF235" s="182">
        <f>AF234*Data!AE$9</f>
        <v>0</v>
      </c>
      <c r="AG235" s="182">
        <f>AG234*Data!AF$9</f>
        <v>0</v>
      </c>
      <c r="AH235" s="182">
        <f>AH234*Data!AG$9</f>
        <v>0</v>
      </c>
      <c r="AI235" s="182">
        <f>AI234*Data!AH$9</f>
        <v>0</v>
      </c>
      <c r="AJ235" s="182">
        <f>AJ234*Data!AI$9</f>
        <v>0</v>
      </c>
      <c r="AK235" s="182">
        <f>AK234*Data!AJ$9</f>
        <v>0</v>
      </c>
      <c r="AL235" s="182">
        <f>AL234*Data!AK$9</f>
        <v>0</v>
      </c>
      <c r="AM235" s="182">
        <f>AM234*Data!AL$9</f>
        <v>0</v>
      </c>
      <c r="AN235" s="182">
        <f>AN234*Data!AM$9</f>
        <v>0</v>
      </c>
      <c r="AO235" s="182">
        <f>AO234*Data!AN$9</f>
        <v>0</v>
      </c>
      <c r="AP235" s="50"/>
    </row>
    <row r="236" spans="1:42" x14ac:dyDescent="0.25">
      <c r="A236" s="12"/>
      <c r="B236" s="13"/>
      <c r="C236" s="14" t="s">
        <v>479</v>
      </c>
      <c r="D236" s="14"/>
      <c r="E236" s="15" t="s">
        <v>142</v>
      </c>
      <c r="F236" s="16"/>
      <c r="G236" s="182">
        <f>SUM(H235:AO235)</f>
        <v>7710490.4126086934</v>
      </c>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9"/>
    </row>
    <row r="237" spans="1:42" x14ac:dyDescent="0.25">
      <c r="A237" s="12"/>
      <c r="B237" s="13"/>
      <c r="C237" s="44" t="s">
        <v>514</v>
      </c>
      <c r="D237" s="44"/>
      <c r="E237" s="15" t="s">
        <v>261</v>
      </c>
      <c r="F237" s="16"/>
      <c r="G237" s="183">
        <f>G236/SUM(I200:AO200)</f>
        <v>6.8647528602285375</v>
      </c>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7"/>
    </row>
    <row r="238" spans="1:42" x14ac:dyDescent="0.25">
      <c r="A238" s="12"/>
      <c r="B238" s="13"/>
      <c r="C238" s="14"/>
      <c r="D238" s="14"/>
      <c r="E238" s="15"/>
      <c r="F238" s="16"/>
      <c r="G238" s="14"/>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17"/>
    </row>
    <row r="239" spans="1:42" x14ac:dyDescent="0.25">
      <c r="A239" s="12"/>
      <c r="B239" s="13"/>
      <c r="C239" s="19"/>
      <c r="D239" s="19"/>
      <c r="E239" s="15"/>
      <c r="F239" s="16"/>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row>
    <row r="240" spans="1:42" x14ac:dyDescent="0.25">
      <c r="A240" s="12"/>
      <c r="B240" s="13"/>
      <c r="C240" s="37" t="s">
        <v>515</v>
      </c>
      <c r="D240" s="37"/>
      <c r="E240" s="38"/>
      <c r="F240" s="39"/>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17"/>
    </row>
    <row r="241" spans="1:42" x14ac:dyDescent="0.25">
      <c r="A241" s="12"/>
      <c r="B241" s="13"/>
      <c r="C241" s="20" t="s">
        <v>516</v>
      </c>
      <c r="D241" s="45"/>
      <c r="E241" s="15"/>
      <c r="F241" s="16"/>
      <c r="G241" s="165"/>
      <c r="H241" s="165"/>
      <c r="I241" s="165"/>
      <c r="J241" s="165"/>
      <c r="K241" s="165"/>
      <c r="L241" s="165"/>
      <c r="M241" s="165"/>
      <c r="N241" s="165"/>
      <c r="O241" s="165"/>
      <c r="P241" s="165"/>
      <c r="Q241" s="165"/>
      <c r="R241" s="165"/>
      <c r="S241" s="165"/>
      <c r="T241" s="165"/>
      <c r="U241" s="28"/>
      <c r="V241" s="28"/>
      <c r="W241" s="28"/>
      <c r="X241" s="28"/>
      <c r="Y241" s="28"/>
      <c r="Z241" s="28"/>
      <c r="AA241" s="28"/>
      <c r="AB241" s="28"/>
      <c r="AC241" s="28"/>
      <c r="AD241" s="28"/>
      <c r="AE241" s="28"/>
      <c r="AF241" s="28"/>
      <c r="AG241" s="28"/>
      <c r="AH241" s="28"/>
      <c r="AI241" s="28"/>
      <c r="AJ241" s="28"/>
      <c r="AK241" s="28"/>
      <c r="AL241" s="28"/>
      <c r="AM241" s="28"/>
      <c r="AN241" s="28"/>
      <c r="AO241" s="28"/>
      <c r="AP241" s="29"/>
    </row>
    <row r="242" spans="1:42" x14ac:dyDescent="0.25">
      <c r="A242" s="12"/>
      <c r="B242" s="13"/>
      <c r="C242" s="45" t="s">
        <v>517</v>
      </c>
      <c r="D242" s="45"/>
      <c r="E242" s="15" t="s">
        <v>342</v>
      </c>
      <c r="F242" s="179">
        <f>Data!$E$169</f>
        <v>0</v>
      </c>
      <c r="G242" s="165"/>
      <c r="H242" s="165"/>
      <c r="I242" s="165"/>
      <c r="J242" s="165"/>
      <c r="K242" s="165"/>
      <c r="L242" s="165"/>
      <c r="M242" s="165"/>
      <c r="N242" s="165"/>
      <c r="O242" s="165"/>
      <c r="P242" s="165"/>
      <c r="Q242" s="165"/>
      <c r="R242" s="165"/>
      <c r="S242" s="165"/>
      <c r="T242" s="165"/>
      <c r="U242" s="28"/>
      <c r="V242" s="28"/>
      <c r="W242" s="28"/>
      <c r="X242" s="28"/>
      <c r="Y242" s="28"/>
      <c r="Z242" s="28"/>
      <c r="AA242" s="28"/>
      <c r="AB242" s="28"/>
      <c r="AC242" s="28"/>
      <c r="AD242" s="28"/>
      <c r="AE242" s="28"/>
      <c r="AF242" s="28"/>
      <c r="AG242" s="28"/>
      <c r="AH242" s="28"/>
      <c r="AI242" s="28"/>
      <c r="AJ242" s="28"/>
      <c r="AK242" s="28"/>
      <c r="AL242" s="28"/>
      <c r="AM242" s="28"/>
      <c r="AN242" s="28"/>
      <c r="AO242" s="28"/>
      <c r="AP242" s="29"/>
    </row>
    <row r="243" spans="1:42" x14ac:dyDescent="0.25">
      <c r="A243" s="12"/>
      <c r="B243" s="13"/>
      <c r="C243" s="45" t="s">
        <v>518</v>
      </c>
      <c r="D243" s="45"/>
      <c r="E243" s="15" t="s">
        <v>142</v>
      </c>
      <c r="F243" s="179"/>
      <c r="G243" s="186">
        <f>F242*Data!G179/1000</f>
        <v>0</v>
      </c>
      <c r="H243" s="165"/>
      <c r="I243" s="165"/>
      <c r="J243" s="165"/>
      <c r="K243" s="165"/>
      <c r="L243" s="165"/>
      <c r="M243" s="165"/>
      <c r="N243" s="165"/>
      <c r="O243" s="165"/>
      <c r="P243" s="165"/>
      <c r="Q243" s="165"/>
      <c r="R243" s="165"/>
      <c r="S243" s="165"/>
      <c r="T243" s="165"/>
      <c r="U243" s="28"/>
      <c r="V243" s="28"/>
      <c r="W243" s="28"/>
      <c r="X243" s="28"/>
      <c r="Y243" s="28"/>
      <c r="Z243" s="28"/>
      <c r="AA243" s="28"/>
      <c r="AB243" s="28"/>
      <c r="AC243" s="28"/>
      <c r="AD243" s="28"/>
      <c r="AE243" s="28"/>
      <c r="AF243" s="28"/>
      <c r="AG243" s="28"/>
      <c r="AH243" s="28"/>
      <c r="AI243" s="28"/>
      <c r="AJ243" s="28"/>
      <c r="AK243" s="28"/>
      <c r="AL243" s="28"/>
      <c r="AM243" s="28"/>
      <c r="AN243" s="28"/>
      <c r="AO243" s="28"/>
      <c r="AP243" s="29"/>
    </row>
    <row r="244" spans="1:42" x14ac:dyDescent="0.25">
      <c r="A244" s="12"/>
      <c r="B244" s="13"/>
      <c r="C244" s="45" t="s">
        <v>518</v>
      </c>
      <c r="D244" s="45"/>
      <c r="E244" s="15" t="s">
        <v>261</v>
      </c>
      <c r="F244" s="179"/>
      <c r="G244" s="184">
        <f>G243/(SUM(H200:AN200))</f>
        <v>0</v>
      </c>
      <c r="H244" s="165"/>
      <c r="I244" s="165"/>
      <c r="J244" s="165"/>
      <c r="K244" s="165"/>
      <c r="L244" s="165"/>
      <c r="M244" s="165"/>
      <c r="N244" s="165"/>
      <c r="O244" s="165"/>
      <c r="P244" s="165"/>
      <c r="Q244" s="165"/>
      <c r="R244" s="165"/>
      <c r="S244" s="165"/>
      <c r="T244" s="165"/>
      <c r="U244" s="28"/>
      <c r="V244" s="28"/>
      <c r="W244" s="28"/>
      <c r="X244" s="28"/>
      <c r="Y244" s="28"/>
      <c r="Z244" s="28"/>
      <c r="AA244" s="28"/>
      <c r="AB244" s="28"/>
      <c r="AC244" s="28"/>
      <c r="AD244" s="28"/>
      <c r="AE244" s="28"/>
      <c r="AF244" s="28"/>
      <c r="AG244" s="28"/>
      <c r="AH244" s="28"/>
      <c r="AI244" s="28"/>
      <c r="AJ244" s="28"/>
      <c r="AK244" s="28"/>
      <c r="AL244" s="28"/>
      <c r="AM244" s="28"/>
      <c r="AN244" s="28"/>
      <c r="AO244" s="28"/>
      <c r="AP244" s="29"/>
    </row>
    <row r="245" spans="1:42" x14ac:dyDescent="0.25">
      <c r="A245" s="12"/>
      <c r="B245" s="13"/>
      <c r="C245" s="20" t="s">
        <v>519</v>
      </c>
      <c r="D245" s="19"/>
      <c r="E245" s="15"/>
      <c r="F245" s="16"/>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7"/>
    </row>
    <row r="246" spans="1:42" x14ac:dyDescent="0.25">
      <c r="A246" s="12"/>
      <c r="B246" s="13"/>
      <c r="C246" t="s">
        <v>520</v>
      </c>
      <c r="D246" s="14"/>
      <c r="E246" s="15" t="s">
        <v>521</v>
      </c>
      <c r="F246" s="16"/>
      <c r="G246" s="20" t="s">
        <v>522</v>
      </c>
      <c r="H246" s="141"/>
      <c r="I246" s="141">
        <f>I200</f>
        <v>93600</v>
      </c>
      <c r="J246" s="141">
        <f t="shared" ref="J246:AO246" si="33">J200</f>
        <v>93600</v>
      </c>
      <c r="K246" s="141">
        <f t="shared" si="33"/>
        <v>93600</v>
      </c>
      <c r="L246" s="141">
        <f t="shared" si="33"/>
        <v>93600</v>
      </c>
      <c r="M246" s="141">
        <f t="shared" si="33"/>
        <v>93600</v>
      </c>
      <c r="N246" s="141">
        <f t="shared" si="33"/>
        <v>93600</v>
      </c>
      <c r="O246" s="141">
        <f t="shared" si="33"/>
        <v>93600</v>
      </c>
      <c r="P246" s="141">
        <f t="shared" si="33"/>
        <v>93600</v>
      </c>
      <c r="Q246" s="141">
        <f t="shared" si="33"/>
        <v>93600</v>
      </c>
      <c r="R246" s="141">
        <f t="shared" si="33"/>
        <v>93600</v>
      </c>
      <c r="S246" s="141">
        <f t="shared" si="33"/>
        <v>93600</v>
      </c>
      <c r="T246" s="141">
        <f t="shared" si="33"/>
        <v>93600</v>
      </c>
      <c r="U246" s="141">
        <f t="shared" si="33"/>
        <v>0</v>
      </c>
      <c r="V246" s="141">
        <f t="shared" si="33"/>
        <v>0</v>
      </c>
      <c r="W246" s="141">
        <f t="shared" si="33"/>
        <v>0</v>
      </c>
      <c r="X246" s="141">
        <f t="shared" si="33"/>
        <v>0</v>
      </c>
      <c r="Y246" s="141">
        <f t="shared" si="33"/>
        <v>0</v>
      </c>
      <c r="Z246" s="141">
        <f t="shared" si="33"/>
        <v>0</v>
      </c>
      <c r="AA246" s="141">
        <f t="shared" si="33"/>
        <v>0</v>
      </c>
      <c r="AB246" s="141">
        <f t="shared" si="33"/>
        <v>0</v>
      </c>
      <c r="AC246" s="141">
        <f t="shared" si="33"/>
        <v>0</v>
      </c>
      <c r="AD246" s="141">
        <f t="shared" si="33"/>
        <v>0</v>
      </c>
      <c r="AE246" s="141">
        <f t="shared" si="33"/>
        <v>0</v>
      </c>
      <c r="AF246" s="141">
        <f t="shared" si="33"/>
        <v>0</v>
      </c>
      <c r="AG246" s="141">
        <f t="shared" si="33"/>
        <v>0</v>
      </c>
      <c r="AH246" s="141">
        <f t="shared" si="33"/>
        <v>0</v>
      </c>
      <c r="AI246" s="141">
        <f t="shared" si="33"/>
        <v>0</v>
      </c>
      <c r="AJ246" s="141">
        <f t="shared" si="33"/>
        <v>0</v>
      </c>
      <c r="AK246" s="141">
        <f t="shared" si="33"/>
        <v>0</v>
      </c>
      <c r="AL246" s="141">
        <f t="shared" si="33"/>
        <v>0</v>
      </c>
      <c r="AM246" s="141">
        <f t="shared" si="33"/>
        <v>0</v>
      </c>
      <c r="AN246" s="141">
        <f t="shared" si="33"/>
        <v>0</v>
      </c>
      <c r="AO246" s="141">
        <f t="shared" si="33"/>
        <v>0</v>
      </c>
      <c r="AP246" s="14"/>
    </row>
    <row r="247" spans="1:42" x14ac:dyDescent="0.25">
      <c r="A247" s="12"/>
      <c r="B247" s="13"/>
      <c r="C247" s="14" t="s">
        <v>535</v>
      </c>
      <c r="D247" s="14"/>
      <c r="E247" s="15"/>
      <c r="F247" s="16"/>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4"/>
      <c r="AH247" s="14"/>
      <c r="AI247" s="14"/>
      <c r="AJ247" s="14"/>
      <c r="AK247" s="14"/>
      <c r="AL247" s="14"/>
      <c r="AM247" s="14"/>
      <c r="AN247" s="14"/>
      <c r="AO247" s="14"/>
      <c r="AP247" s="14"/>
    </row>
    <row r="248" spans="1:42" ht="14.25" customHeight="1" x14ac:dyDescent="0.25">
      <c r="A248" s="54"/>
      <c r="B248" s="13"/>
      <c r="C248" s="14" t="s">
        <v>205</v>
      </c>
      <c r="D248" s="14"/>
      <c r="E248" s="70" t="s">
        <v>352</v>
      </c>
      <c r="F248" s="201">
        <f>Data!E566/1000</f>
        <v>3.0107355222942197E-3</v>
      </c>
      <c r="G248" s="231"/>
      <c r="H248" s="159"/>
      <c r="I248" s="56">
        <f>I$246*$F248</f>
        <v>281.80484488673898</v>
      </c>
      <c r="J248" s="56">
        <f>J$246*$F248</f>
        <v>281.80484488673898</v>
      </c>
      <c r="K248" s="56">
        <f t="shared" ref="J248:AO254" si="34">K$246*$F248</f>
        <v>281.80484488673898</v>
      </c>
      <c r="L248" s="56">
        <f t="shared" si="34"/>
        <v>281.80484488673898</v>
      </c>
      <c r="M248" s="56">
        <f t="shared" si="34"/>
        <v>281.80484488673898</v>
      </c>
      <c r="N248" s="56">
        <f t="shared" si="34"/>
        <v>281.80484488673898</v>
      </c>
      <c r="O248" s="56">
        <f t="shared" si="34"/>
        <v>281.80484488673898</v>
      </c>
      <c r="P248" s="56">
        <f t="shared" si="34"/>
        <v>281.80484488673898</v>
      </c>
      <c r="Q248" s="56">
        <f t="shared" si="34"/>
        <v>281.80484488673898</v>
      </c>
      <c r="R248" s="56">
        <f t="shared" si="34"/>
        <v>281.80484488673898</v>
      </c>
      <c r="S248" s="56">
        <f t="shared" si="34"/>
        <v>281.80484488673898</v>
      </c>
      <c r="T248" s="56">
        <f t="shared" si="34"/>
        <v>281.80484488673898</v>
      </c>
      <c r="U248" s="56">
        <f t="shared" si="34"/>
        <v>0</v>
      </c>
      <c r="V248" s="56">
        <f t="shared" si="34"/>
        <v>0</v>
      </c>
      <c r="W248" s="56">
        <f t="shared" si="34"/>
        <v>0</v>
      </c>
      <c r="X248" s="56">
        <f t="shared" si="34"/>
        <v>0</v>
      </c>
      <c r="Y248" s="56">
        <f t="shared" si="34"/>
        <v>0</v>
      </c>
      <c r="Z248" s="56">
        <f t="shared" si="34"/>
        <v>0</v>
      </c>
      <c r="AA248" s="56">
        <f t="shared" si="34"/>
        <v>0</v>
      </c>
      <c r="AB248" s="56">
        <f t="shared" si="34"/>
        <v>0</v>
      </c>
      <c r="AC248" s="56">
        <f t="shared" si="34"/>
        <v>0</v>
      </c>
      <c r="AD248" s="56">
        <f t="shared" si="34"/>
        <v>0</v>
      </c>
      <c r="AE248" s="56">
        <f t="shared" si="34"/>
        <v>0</v>
      </c>
      <c r="AF248" s="56">
        <f t="shared" si="34"/>
        <v>0</v>
      </c>
      <c r="AG248" s="56">
        <f t="shared" si="34"/>
        <v>0</v>
      </c>
      <c r="AH248" s="56">
        <f t="shared" si="34"/>
        <v>0</v>
      </c>
      <c r="AI248" s="56">
        <f t="shared" si="34"/>
        <v>0</v>
      </c>
      <c r="AJ248" s="56">
        <f t="shared" si="34"/>
        <v>0</v>
      </c>
      <c r="AK248" s="56">
        <f t="shared" si="34"/>
        <v>0</v>
      </c>
      <c r="AL248" s="56">
        <f t="shared" si="34"/>
        <v>0</v>
      </c>
      <c r="AM248" s="56">
        <f t="shared" si="34"/>
        <v>0</v>
      </c>
      <c r="AN248" s="56">
        <f t="shared" si="34"/>
        <v>0</v>
      </c>
      <c r="AO248" s="56">
        <f t="shared" si="34"/>
        <v>0</v>
      </c>
      <c r="AP248" s="29"/>
    </row>
    <row r="249" spans="1:42" ht="14.25" customHeight="1" x14ac:dyDescent="0.25">
      <c r="A249" s="54"/>
      <c r="B249" s="13"/>
      <c r="C249" s="14" t="s">
        <v>484</v>
      </c>
      <c r="D249" s="14"/>
      <c r="E249" s="70" t="s">
        <v>352</v>
      </c>
      <c r="F249" s="201">
        <f>Data!E567/1000</f>
        <v>0.83490599451817049</v>
      </c>
      <c r="G249" s="231"/>
      <c r="H249" s="159"/>
      <c r="I249" s="56">
        <f t="shared" ref="I249:X254" si="35">I$246*$F249</f>
        <v>78147.201086900764</v>
      </c>
      <c r="J249" s="56">
        <f t="shared" si="35"/>
        <v>78147.201086900764</v>
      </c>
      <c r="K249" s="56">
        <f t="shared" si="35"/>
        <v>78147.201086900764</v>
      </c>
      <c r="L249" s="56">
        <f t="shared" si="35"/>
        <v>78147.201086900764</v>
      </c>
      <c r="M249" s="56">
        <f t="shared" si="35"/>
        <v>78147.201086900764</v>
      </c>
      <c r="N249" s="56">
        <f t="shared" si="35"/>
        <v>78147.201086900764</v>
      </c>
      <c r="O249" s="56">
        <f t="shared" si="35"/>
        <v>78147.201086900764</v>
      </c>
      <c r="P249" s="56">
        <f t="shared" si="35"/>
        <v>78147.201086900764</v>
      </c>
      <c r="Q249" s="56">
        <f t="shared" si="35"/>
        <v>78147.201086900764</v>
      </c>
      <c r="R249" s="56">
        <f t="shared" si="35"/>
        <v>78147.201086900764</v>
      </c>
      <c r="S249" s="56">
        <f t="shared" si="35"/>
        <v>78147.201086900764</v>
      </c>
      <c r="T249" s="56">
        <f t="shared" si="35"/>
        <v>78147.201086900764</v>
      </c>
      <c r="U249" s="56">
        <f t="shared" si="35"/>
        <v>0</v>
      </c>
      <c r="V249" s="56">
        <f t="shared" si="35"/>
        <v>0</v>
      </c>
      <c r="W249" s="56">
        <f t="shared" si="35"/>
        <v>0</v>
      </c>
      <c r="X249" s="56">
        <f t="shared" si="35"/>
        <v>0</v>
      </c>
      <c r="Y249" s="56">
        <f t="shared" si="34"/>
        <v>0</v>
      </c>
      <c r="Z249" s="56">
        <f t="shared" si="34"/>
        <v>0</v>
      </c>
      <c r="AA249" s="56">
        <f t="shared" si="34"/>
        <v>0</v>
      </c>
      <c r="AB249" s="56">
        <f t="shared" si="34"/>
        <v>0</v>
      </c>
      <c r="AC249" s="56">
        <f t="shared" si="34"/>
        <v>0</v>
      </c>
      <c r="AD249" s="56">
        <f t="shared" si="34"/>
        <v>0</v>
      </c>
      <c r="AE249" s="56">
        <f t="shared" si="34"/>
        <v>0</v>
      </c>
      <c r="AF249" s="56">
        <f t="shared" si="34"/>
        <v>0</v>
      </c>
      <c r="AG249" s="56">
        <f t="shared" si="34"/>
        <v>0</v>
      </c>
      <c r="AH249" s="56">
        <f t="shared" si="34"/>
        <v>0</v>
      </c>
      <c r="AI249" s="56">
        <f t="shared" si="34"/>
        <v>0</v>
      </c>
      <c r="AJ249" s="56">
        <f t="shared" si="34"/>
        <v>0</v>
      </c>
      <c r="AK249" s="56">
        <f t="shared" si="34"/>
        <v>0</v>
      </c>
      <c r="AL249" s="56">
        <f t="shared" si="34"/>
        <v>0</v>
      </c>
      <c r="AM249" s="56">
        <f t="shared" si="34"/>
        <v>0</v>
      </c>
      <c r="AN249" s="56">
        <f t="shared" si="34"/>
        <v>0</v>
      </c>
      <c r="AO249" s="56">
        <f t="shared" si="34"/>
        <v>0</v>
      </c>
      <c r="AP249" s="29"/>
    </row>
    <row r="250" spans="1:42" x14ac:dyDescent="0.25">
      <c r="A250" s="54"/>
      <c r="B250" s="13"/>
      <c r="C250" s="14" t="s">
        <v>285</v>
      </c>
      <c r="D250" s="14"/>
      <c r="E250" s="70" t="s">
        <v>352</v>
      </c>
      <c r="F250" s="201">
        <f>Data!E568/1000</f>
        <v>2.4674863588574204E-4</v>
      </c>
      <c r="G250" s="231"/>
      <c r="H250" s="159"/>
      <c r="I250" s="56">
        <f t="shared" si="35"/>
        <v>23.095672318905454</v>
      </c>
      <c r="J250" s="56">
        <f t="shared" si="34"/>
        <v>23.095672318905454</v>
      </c>
      <c r="K250" s="56">
        <f t="shared" si="34"/>
        <v>23.095672318905454</v>
      </c>
      <c r="L250" s="56">
        <f t="shared" si="34"/>
        <v>23.095672318905454</v>
      </c>
      <c r="M250" s="56">
        <f t="shared" si="34"/>
        <v>23.095672318905454</v>
      </c>
      <c r="N250" s="56">
        <f t="shared" si="34"/>
        <v>23.095672318905454</v>
      </c>
      <c r="O250" s="56">
        <f t="shared" si="34"/>
        <v>23.095672318905454</v>
      </c>
      <c r="P250" s="56">
        <f t="shared" si="34"/>
        <v>23.095672318905454</v>
      </c>
      <c r="Q250" s="56">
        <f t="shared" si="34"/>
        <v>23.095672318905454</v>
      </c>
      <c r="R250" s="56">
        <f t="shared" si="34"/>
        <v>23.095672318905454</v>
      </c>
      <c r="S250" s="56">
        <f t="shared" si="34"/>
        <v>23.095672318905454</v>
      </c>
      <c r="T250" s="56">
        <f t="shared" si="34"/>
        <v>23.095672318905454</v>
      </c>
      <c r="U250" s="56">
        <f t="shared" si="34"/>
        <v>0</v>
      </c>
      <c r="V250" s="56">
        <f t="shared" si="34"/>
        <v>0</v>
      </c>
      <c r="W250" s="56">
        <f t="shared" si="34"/>
        <v>0</v>
      </c>
      <c r="X250" s="56">
        <f t="shared" si="34"/>
        <v>0</v>
      </c>
      <c r="Y250" s="56">
        <f t="shared" si="34"/>
        <v>0</v>
      </c>
      <c r="Z250" s="56">
        <f t="shared" si="34"/>
        <v>0</v>
      </c>
      <c r="AA250" s="56">
        <f t="shared" si="34"/>
        <v>0</v>
      </c>
      <c r="AB250" s="56">
        <f t="shared" si="34"/>
        <v>0</v>
      </c>
      <c r="AC250" s="56">
        <f t="shared" si="34"/>
        <v>0</v>
      </c>
      <c r="AD250" s="56">
        <f t="shared" si="34"/>
        <v>0</v>
      </c>
      <c r="AE250" s="56">
        <f t="shared" si="34"/>
        <v>0</v>
      </c>
      <c r="AF250" s="56">
        <f t="shared" si="34"/>
        <v>0</v>
      </c>
      <c r="AG250" s="56">
        <f t="shared" si="34"/>
        <v>0</v>
      </c>
      <c r="AH250" s="56">
        <f t="shared" si="34"/>
        <v>0</v>
      </c>
      <c r="AI250" s="56">
        <f t="shared" si="34"/>
        <v>0</v>
      </c>
      <c r="AJ250" s="56">
        <f t="shared" si="34"/>
        <v>0</v>
      </c>
      <c r="AK250" s="56">
        <f t="shared" si="34"/>
        <v>0</v>
      </c>
      <c r="AL250" s="56">
        <f t="shared" si="34"/>
        <v>0</v>
      </c>
      <c r="AM250" s="56">
        <f t="shared" si="34"/>
        <v>0</v>
      </c>
      <c r="AN250" s="56">
        <f t="shared" si="34"/>
        <v>0</v>
      </c>
      <c r="AO250" s="56">
        <f t="shared" si="34"/>
        <v>0</v>
      </c>
      <c r="AP250" s="29"/>
    </row>
    <row r="251" spans="1:42" x14ac:dyDescent="0.25">
      <c r="A251" s="54"/>
      <c r="B251" s="13"/>
      <c r="C251" s="14" t="s">
        <v>220</v>
      </c>
      <c r="D251" s="14"/>
      <c r="E251" s="70" t="s">
        <v>352</v>
      </c>
      <c r="F251" s="201">
        <f>Data!E569/1000</f>
        <v>1.0386979165916608E-2</v>
      </c>
      <c r="G251" s="231"/>
      <c r="H251" s="159"/>
      <c r="I251" s="56">
        <f t="shared" si="35"/>
        <v>972.22124992979445</v>
      </c>
      <c r="J251" s="56">
        <f t="shared" si="34"/>
        <v>972.22124992979445</v>
      </c>
      <c r="K251" s="56">
        <f t="shared" si="34"/>
        <v>972.22124992979445</v>
      </c>
      <c r="L251" s="56">
        <f t="shared" si="34"/>
        <v>972.22124992979445</v>
      </c>
      <c r="M251" s="56">
        <f t="shared" si="34"/>
        <v>972.22124992979445</v>
      </c>
      <c r="N251" s="56">
        <f t="shared" si="34"/>
        <v>972.22124992979445</v>
      </c>
      <c r="O251" s="56">
        <f t="shared" si="34"/>
        <v>972.22124992979445</v>
      </c>
      <c r="P251" s="56">
        <f t="shared" si="34"/>
        <v>972.22124992979445</v>
      </c>
      <c r="Q251" s="56">
        <f t="shared" si="34"/>
        <v>972.22124992979445</v>
      </c>
      <c r="R251" s="56">
        <f t="shared" si="34"/>
        <v>972.22124992979445</v>
      </c>
      <c r="S251" s="56">
        <f t="shared" si="34"/>
        <v>972.22124992979445</v>
      </c>
      <c r="T251" s="56">
        <f t="shared" si="34"/>
        <v>972.22124992979445</v>
      </c>
      <c r="U251" s="56">
        <f t="shared" si="34"/>
        <v>0</v>
      </c>
      <c r="V251" s="56">
        <f t="shared" si="34"/>
        <v>0</v>
      </c>
      <c r="W251" s="56">
        <f t="shared" si="34"/>
        <v>0</v>
      </c>
      <c r="X251" s="56">
        <f t="shared" si="34"/>
        <v>0</v>
      </c>
      <c r="Y251" s="56">
        <f t="shared" si="34"/>
        <v>0</v>
      </c>
      <c r="Z251" s="56">
        <f t="shared" si="34"/>
        <v>0</v>
      </c>
      <c r="AA251" s="56">
        <f t="shared" si="34"/>
        <v>0</v>
      </c>
      <c r="AB251" s="56">
        <f t="shared" si="34"/>
        <v>0</v>
      </c>
      <c r="AC251" s="56">
        <f t="shared" si="34"/>
        <v>0</v>
      </c>
      <c r="AD251" s="56">
        <f t="shared" si="34"/>
        <v>0</v>
      </c>
      <c r="AE251" s="56">
        <f t="shared" si="34"/>
        <v>0</v>
      </c>
      <c r="AF251" s="56">
        <f t="shared" si="34"/>
        <v>0</v>
      </c>
      <c r="AG251" s="56">
        <f t="shared" si="34"/>
        <v>0</v>
      </c>
      <c r="AH251" s="56">
        <f t="shared" si="34"/>
        <v>0</v>
      </c>
      <c r="AI251" s="56">
        <f t="shared" si="34"/>
        <v>0</v>
      </c>
      <c r="AJ251" s="56">
        <f t="shared" si="34"/>
        <v>0</v>
      </c>
      <c r="AK251" s="56">
        <f t="shared" si="34"/>
        <v>0</v>
      </c>
      <c r="AL251" s="56">
        <f t="shared" si="34"/>
        <v>0</v>
      </c>
      <c r="AM251" s="56">
        <f t="shared" si="34"/>
        <v>0</v>
      </c>
      <c r="AN251" s="56">
        <f t="shared" si="34"/>
        <v>0</v>
      </c>
      <c r="AO251" s="56">
        <f t="shared" si="34"/>
        <v>0</v>
      </c>
      <c r="AP251" s="29"/>
    </row>
    <row r="252" spans="1:42" x14ac:dyDescent="0.25">
      <c r="A252" s="54"/>
      <c r="B252" s="13"/>
      <c r="C252" s="14" t="s">
        <v>212</v>
      </c>
      <c r="D252" s="14"/>
      <c r="E252" s="70" t="s">
        <v>352</v>
      </c>
      <c r="F252" s="201">
        <f>Data!E570/1000</f>
        <v>1.200162949787418E-3</v>
      </c>
      <c r="G252" s="231"/>
      <c r="H252" s="159"/>
      <c r="I252" s="56">
        <f t="shared" si="35"/>
        <v>112.33525210010232</v>
      </c>
      <c r="J252" s="56">
        <f t="shared" si="34"/>
        <v>112.33525210010232</v>
      </c>
      <c r="K252" s="56">
        <f t="shared" si="34"/>
        <v>112.33525210010232</v>
      </c>
      <c r="L252" s="56">
        <f t="shared" si="34"/>
        <v>112.33525210010232</v>
      </c>
      <c r="M252" s="56">
        <f t="shared" si="34"/>
        <v>112.33525210010232</v>
      </c>
      <c r="N252" s="56">
        <f t="shared" si="34"/>
        <v>112.33525210010232</v>
      </c>
      <c r="O252" s="56">
        <f t="shared" si="34"/>
        <v>112.33525210010232</v>
      </c>
      <c r="P252" s="56">
        <f t="shared" si="34"/>
        <v>112.33525210010232</v>
      </c>
      <c r="Q252" s="56">
        <f t="shared" si="34"/>
        <v>112.33525210010232</v>
      </c>
      <c r="R252" s="56">
        <f t="shared" si="34"/>
        <v>112.33525210010232</v>
      </c>
      <c r="S252" s="56">
        <f t="shared" si="34"/>
        <v>112.33525210010232</v>
      </c>
      <c r="T252" s="56">
        <f t="shared" si="34"/>
        <v>112.33525210010232</v>
      </c>
      <c r="U252" s="56">
        <f t="shared" si="34"/>
        <v>0</v>
      </c>
      <c r="V252" s="56">
        <f t="shared" si="34"/>
        <v>0</v>
      </c>
      <c r="W252" s="56">
        <f t="shared" si="34"/>
        <v>0</v>
      </c>
      <c r="X252" s="56">
        <f t="shared" si="34"/>
        <v>0</v>
      </c>
      <c r="Y252" s="56">
        <f t="shared" si="34"/>
        <v>0</v>
      </c>
      <c r="Z252" s="56">
        <f t="shared" si="34"/>
        <v>0</v>
      </c>
      <c r="AA252" s="56">
        <f t="shared" si="34"/>
        <v>0</v>
      </c>
      <c r="AB252" s="56">
        <f t="shared" si="34"/>
        <v>0</v>
      </c>
      <c r="AC252" s="56">
        <f t="shared" si="34"/>
        <v>0</v>
      </c>
      <c r="AD252" s="56">
        <f t="shared" si="34"/>
        <v>0</v>
      </c>
      <c r="AE252" s="56">
        <f t="shared" si="34"/>
        <v>0</v>
      </c>
      <c r="AF252" s="56">
        <f t="shared" si="34"/>
        <v>0</v>
      </c>
      <c r="AG252" s="56">
        <f t="shared" si="34"/>
        <v>0</v>
      </c>
      <c r="AH252" s="56">
        <f t="shared" si="34"/>
        <v>0</v>
      </c>
      <c r="AI252" s="56">
        <f t="shared" si="34"/>
        <v>0</v>
      </c>
      <c r="AJ252" s="56">
        <f t="shared" si="34"/>
        <v>0</v>
      </c>
      <c r="AK252" s="56">
        <f t="shared" si="34"/>
        <v>0</v>
      </c>
      <c r="AL252" s="56">
        <f t="shared" si="34"/>
        <v>0</v>
      </c>
      <c r="AM252" s="56">
        <f t="shared" si="34"/>
        <v>0</v>
      </c>
      <c r="AN252" s="56">
        <f t="shared" si="34"/>
        <v>0</v>
      </c>
      <c r="AO252" s="56">
        <f t="shared" si="34"/>
        <v>0</v>
      </c>
      <c r="AP252" s="29"/>
    </row>
    <row r="253" spans="1:42" x14ac:dyDescent="0.25">
      <c r="A253" s="54"/>
      <c r="B253" s="13"/>
      <c r="C253" s="14" t="s">
        <v>485</v>
      </c>
      <c r="D253" s="14"/>
      <c r="E253" s="70" t="s">
        <v>352</v>
      </c>
      <c r="F253" s="201">
        <f>Data!E571/1000</f>
        <v>2.8863348804976244E-4</v>
      </c>
      <c r="G253" s="231"/>
      <c r="H253" s="159"/>
      <c r="I253" s="56">
        <f t="shared" si="35"/>
        <v>27.016094481457763</v>
      </c>
      <c r="J253" s="56">
        <f t="shared" si="34"/>
        <v>27.016094481457763</v>
      </c>
      <c r="K253" s="56">
        <f t="shared" si="34"/>
        <v>27.016094481457763</v>
      </c>
      <c r="L253" s="56">
        <f t="shared" si="34"/>
        <v>27.016094481457763</v>
      </c>
      <c r="M253" s="56">
        <f t="shared" si="34"/>
        <v>27.016094481457763</v>
      </c>
      <c r="N253" s="56">
        <f t="shared" si="34"/>
        <v>27.016094481457763</v>
      </c>
      <c r="O253" s="56">
        <f t="shared" si="34"/>
        <v>27.016094481457763</v>
      </c>
      <c r="P253" s="56">
        <f t="shared" si="34"/>
        <v>27.016094481457763</v>
      </c>
      <c r="Q253" s="56">
        <f t="shared" si="34"/>
        <v>27.016094481457763</v>
      </c>
      <c r="R253" s="56">
        <f t="shared" si="34"/>
        <v>27.016094481457763</v>
      </c>
      <c r="S253" s="56">
        <f t="shared" si="34"/>
        <v>27.016094481457763</v>
      </c>
      <c r="T253" s="56">
        <f t="shared" si="34"/>
        <v>27.016094481457763</v>
      </c>
      <c r="U253" s="56">
        <f t="shared" si="34"/>
        <v>0</v>
      </c>
      <c r="V253" s="56">
        <f t="shared" si="34"/>
        <v>0</v>
      </c>
      <c r="W253" s="56">
        <f t="shared" si="34"/>
        <v>0</v>
      </c>
      <c r="X253" s="56">
        <f t="shared" si="34"/>
        <v>0</v>
      </c>
      <c r="Y253" s="56">
        <f t="shared" si="34"/>
        <v>0</v>
      </c>
      <c r="Z253" s="56">
        <f t="shared" si="34"/>
        <v>0</v>
      </c>
      <c r="AA253" s="56">
        <f t="shared" si="34"/>
        <v>0</v>
      </c>
      <c r="AB253" s="56">
        <f t="shared" si="34"/>
        <v>0</v>
      </c>
      <c r="AC253" s="56">
        <f t="shared" si="34"/>
        <v>0</v>
      </c>
      <c r="AD253" s="56">
        <f t="shared" si="34"/>
        <v>0</v>
      </c>
      <c r="AE253" s="56">
        <f t="shared" si="34"/>
        <v>0</v>
      </c>
      <c r="AF253" s="56">
        <f t="shared" si="34"/>
        <v>0</v>
      </c>
      <c r="AG253" s="56">
        <f t="shared" si="34"/>
        <v>0</v>
      </c>
      <c r="AH253" s="56">
        <f t="shared" si="34"/>
        <v>0</v>
      </c>
      <c r="AI253" s="56">
        <f t="shared" si="34"/>
        <v>0</v>
      </c>
      <c r="AJ253" s="56">
        <f t="shared" si="34"/>
        <v>0</v>
      </c>
      <c r="AK253" s="56">
        <f t="shared" si="34"/>
        <v>0</v>
      </c>
      <c r="AL253" s="56">
        <f t="shared" si="34"/>
        <v>0</v>
      </c>
      <c r="AM253" s="56">
        <f t="shared" si="34"/>
        <v>0</v>
      </c>
      <c r="AN253" s="56">
        <f t="shared" si="34"/>
        <v>0</v>
      </c>
      <c r="AO253" s="56">
        <f t="shared" si="34"/>
        <v>0</v>
      </c>
      <c r="AP253" s="29"/>
    </row>
    <row r="254" spans="1:42" x14ac:dyDescent="0.25">
      <c r="A254" s="54"/>
      <c r="B254" s="13"/>
      <c r="C254" s="14" t="s">
        <v>214</v>
      </c>
      <c r="D254" s="14"/>
      <c r="E254" s="70" t="s">
        <v>352</v>
      </c>
      <c r="F254" s="201">
        <f>Data!E572/1000</f>
        <v>4.1011833239969993E-5</v>
      </c>
      <c r="G254" s="231"/>
      <c r="H254" s="159"/>
      <c r="I254" s="56">
        <f t="shared" si="35"/>
        <v>3.8387075912611914</v>
      </c>
      <c r="J254" s="56">
        <f t="shared" si="34"/>
        <v>3.8387075912611914</v>
      </c>
      <c r="K254" s="56">
        <f t="shared" si="34"/>
        <v>3.8387075912611914</v>
      </c>
      <c r="L254" s="56">
        <f t="shared" si="34"/>
        <v>3.8387075912611914</v>
      </c>
      <c r="M254" s="56">
        <f t="shared" si="34"/>
        <v>3.8387075912611914</v>
      </c>
      <c r="N254" s="56">
        <f t="shared" si="34"/>
        <v>3.8387075912611914</v>
      </c>
      <c r="O254" s="56">
        <f t="shared" si="34"/>
        <v>3.8387075912611914</v>
      </c>
      <c r="P254" s="56">
        <f t="shared" si="34"/>
        <v>3.8387075912611914</v>
      </c>
      <c r="Q254" s="56">
        <f t="shared" si="34"/>
        <v>3.8387075912611914</v>
      </c>
      <c r="R254" s="56">
        <f t="shared" si="34"/>
        <v>3.8387075912611914</v>
      </c>
      <c r="S254" s="56">
        <f t="shared" si="34"/>
        <v>3.8387075912611914</v>
      </c>
      <c r="T254" s="56">
        <f t="shared" si="34"/>
        <v>3.8387075912611914</v>
      </c>
      <c r="U254" s="56">
        <f t="shared" si="34"/>
        <v>0</v>
      </c>
      <c r="V254" s="56">
        <f t="shared" si="34"/>
        <v>0</v>
      </c>
      <c r="W254" s="56">
        <f t="shared" si="34"/>
        <v>0</v>
      </c>
      <c r="X254" s="56">
        <f t="shared" si="34"/>
        <v>0</v>
      </c>
      <c r="Y254" s="56">
        <f t="shared" si="34"/>
        <v>0</v>
      </c>
      <c r="Z254" s="56">
        <f t="shared" si="34"/>
        <v>0</v>
      </c>
      <c r="AA254" s="56">
        <f t="shared" si="34"/>
        <v>0</v>
      </c>
      <c r="AB254" s="56">
        <f t="shared" si="34"/>
        <v>0</v>
      </c>
      <c r="AC254" s="56">
        <f t="shared" si="34"/>
        <v>0</v>
      </c>
      <c r="AD254" s="56">
        <f t="shared" si="34"/>
        <v>0</v>
      </c>
      <c r="AE254" s="56">
        <f t="shared" si="34"/>
        <v>0</v>
      </c>
      <c r="AF254" s="56">
        <f t="shared" si="34"/>
        <v>0</v>
      </c>
      <c r="AG254" s="56">
        <f t="shared" si="34"/>
        <v>0</v>
      </c>
      <c r="AH254" s="56">
        <f t="shared" si="34"/>
        <v>0</v>
      </c>
      <c r="AI254" s="56">
        <f t="shared" si="34"/>
        <v>0</v>
      </c>
      <c r="AJ254" s="56">
        <f t="shared" si="34"/>
        <v>0</v>
      </c>
      <c r="AK254" s="56">
        <f t="shared" si="34"/>
        <v>0</v>
      </c>
      <c r="AL254" s="56">
        <f t="shared" si="34"/>
        <v>0</v>
      </c>
      <c r="AM254" s="56">
        <f t="shared" si="34"/>
        <v>0</v>
      </c>
      <c r="AN254" s="56">
        <f t="shared" si="34"/>
        <v>0</v>
      </c>
      <c r="AO254" s="56">
        <f t="shared" si="34"/>
        <v>0</v>
      </c>
      <c r="AP254" s="29"/>
    </row>
    <row r="255" spans="1:42" x14ac:dyDescent="0.25">
      <c r="A255" s="12"/>
      <c r="B255" s="13"/>
      <c r="C255" s="14"/>
      <c r="D255" s="14"/>
      <c r="E255" s="15"/>
      <c r="F255" s="16"/>
      <c r="G255" s="231"/>
      <c r="H255" s="159"/>
      <c r="I255" s="56"/>
      <c r="J255" s="56"/>
      <c r="K255" s="56"/>
      <c r="L255" s="56"/>
      <c r="M255" s="56"/>
      <c r="N255" s="56"/>
      <c r="O255" s="56"/>
      <c r="P255" s="56"/>
      <c r="Q255" s="56"/>
      <c r="R255" s="56"/>
      <c r="S255" s="56"/>
      <c r="T255" s="56"/>
      <c r="U255" s="56"/>
      <c r="V255" s="56"/>
      <c r="W255" s="56"/>
      <c r="X255" s="56"/>
      <c r="Y255" s="56"/>
      <c r="Z255" s="56"/>
      <c r="AA255" s="56"/>
      <c r="AB255" s="56"/>
      <c r="AC255" s="14"/>
      <c r="AD255" s="14"/>
      <c r="AE255" s="14"/>
      <c r="AF255" s="14"/>
      <c r="AG255" s="14"/>
      <c r="AH255" s="14"/>
      <c r="AI255" s="14"/>
      <c r="AJ255" s="14"/>
      <c r="AK255" s="14"/>
      <c r="AL255" s="14"/>
      <c r="AM255" s="14"/>
      <c r="AN255" s="14"/>
      <c r="AO255" s="14"/>
      <c r="AP255" s="14"/>
    </row>
    <row r="256" spans="1:42" x14ac:dyDescent="0.25">
      <c r="A256" s="54"/>
      <c r="B256" s="13"/>
      <c r="C256" s="14" t="s">
        <v>205</v>
      </c>
      <c r="D256" s="14"/>
      <c r="E256" s="70" t="s">
        <v>474</v>
      </c>
      <c r="F256" s="200">
        <f>Data!$E$35/1000</f>
        <v>3.4099438202247192E-3</v>
      </c>
      <c r="G256" s="231"/>
      <c r="H256" s="56"/>
      <c r="I256" s="56">
        <f>I$248*$F256</f>
        <v>0.96093868933092119</v>
      </c>
      <c r="J256" s="56">
        <f t="shared" ref="J256:AO256" si="36">J$248*$F256</f>
        <v>0.96093868933092119</v>
      </c>
      <c r="K256" s="56">
        <f t="shared" si="36"/>
        <v>0.96093868933092119</v>
      </c>
      <c r="L256" s="56">
        <f t="shared" si="36"/>
        <v>0.96093868933092119</v>
      </c>
      <c r="M256" s="56">
        <f t="shared" si="36"/>
        <v>0.96093868933092119</v>
      </c>
      <c r="N256" s="56">
        <f t="shared" si="36"/>
        <v>0.96093868933092119</v>
      </c>
      <c r="O256" s="56">
        <f t="shared" si="36"/>
        <v>0.96093868933092119</v>
      </c>
      <c r="P256" s="56">
        <f t="shared" si="36"/>
        <v>0.96093868933092119</v>
      </c>
      <c r="Q256" s="56">
        <f t="shared" si="36"/>
        <v>0.96093868933092119</v>
      </c>
      <c r="R256" s="56">
        <f t="shared" si="36"/>
        <v>0.96093868933092119</v>
      </c>
      <c r="S256" s="56">
        <f t="shared" si="36"/>
        <v>0.96093868933092119</v>
      </c>
      <c r="T256" s="56">
        <f t="shared" si="36"/>
        <v>0.96093868933092119</v>
      </c>
      <c r="U256" s="56">
        <f t="shared" si="36"/>
        <v>0</v>
      </c>
      <c r="V256" s="56">
        <f t="shared" si="36"/>
        <v>0</v>
      </c>
      <c r="W256" s="56">
        <f t="shared" si="36"/>
        <v>0</v>
      </c>
      <c r="X256" s="56">
        <f t="shared" si="36"/>
        <v>0</v>
      </c>
      <c r="Y256" s="56">
        <f t="shared" si="36"/>
        <v>0</v>
      </c>
      <c r="Z256" s="56">
        <f t="shared" si="36"/>
        <v>0</v>
      </c>
      <c r="AA256" s="56">
        <f t="shared" si="36"/>
        <v>0</v>
      </c>
      <c r="AB256" s="56">
        <f t="shared" si="36"/>
        <v>0</v>
      </c>
      <c r="AC256" s="56">
        <f t="shared" si="36"/>
        <v>0</v>
      </c>
      <c r="AD256" s="56">
        <f t="shared" si="36"/>
        <v>0</v>
      </c>
      <c r="AE256" s="56">
        <f t="shared" si="36"/>
        <v>0</v>
      </c>
      <c r="AF256" s="56">
        <f t="shared" si="36"/>
        <v>0</v>
      </c>
      <c r="AG256" s="56">
        <f t="shared" si="36"/>
        <v>0</v>
      </c>
      <c r="AH256" s="56">
        <f t="shared" si="36"/>
        <v>0</v>
      </c>
      <c r="AI256" s="56">
        <f t="shared" si="36"/>
        <v>0</v>
      </c>
      <c r="AJ256" s="56">
        <f t="shared" si="36"/>
        <v>0</v>
      </c>
      <c r="AK256" s="56">
        <f t="shared" si="36"/>
        <v>0</v>
      </c>
      <c r="AL256" s="56">
        <f t="shared" si="36"/>
        <v>0</v>
      </c>
      <c r="AM256" s="56">
        <f t="shared" si="36"/>
        <v>0</v>
      </c>
      <c r="AN256" s="56">
        <f t="shared" si="36"/>
        <v>0</v>
      </c>
      <c r="AO256" s="56">
        <f t="shared" si="36"/>
        <v>0</v>
      </c>
      <c r="AP256" s="29"/>
    </row>
    <row r="257" spans="1:42" x14ac:dyDescent="0.25">
      <c r="A257" s="54"/>
      <c r="B257" s="13"/>
      <c r="C257" s="14" t="s">
        <v>484</v>
      </c>
      <c r="D257" s="14"/>
      <c r="E257" s="70" t="s">
        <v>474</v>
      </c>
      <c r="F257" s="200"/>
      <c r="G257" s="231"/>
      <c r="H257" s="56"/>
      <c r="I257" s="56">
        <f>I$249*Data!H$16/1000</f>
        <v>7580.2785054293745</v>
      </c>
      <c r="J257" s="56">
        <f>J$249*Data!I$16/1000</f>
        <v>8361.7505162983816</v>
      </c>
      <c r="K257" s="56">
        <f>K$249*Data!J$16/1000</f>
        <v>9065.0753260804886</v>
      </c>
      <c r="L257" s="56">
        <f>L$249*Data!K$16/1000</f>
        <v>9846.5473369494957</v>
      </c>
      <c r="M257" s="56">
        <f>M$249*Data!L$16/1000</f>
        <v>10628.019347818503</v>
      </c>
      <c r="N257" s="56">
        <f>N$249*Data!M$16/1000</f>
        <v>11409.49135868751</v>
      </c>
      <c r="O257" s="56">
        <f>O$249*Data!N$16/1000</f>
        <v>12112.816168469619</v>
      </c>
      <c r="P257" s="56">
        <f>P$249*Data!O$16/1000</f>
        <v>12581.699374991023</v>
      </c>
      <c r="Q257" s="56">
        <f>Q$249*Data!P$16/1000</f>
        <v>13050.582581512426</v>
      </c>
      <c r="R257" s="56">
        <f>R$249*Data!Q$16/1000</f>
        <v>13597.612989120733</v>
      </c>
      <c r="S257" s="56">
        <f>S$249*Data!R$16/1000</f>
        <v>14066.496195642138</v>
      </c>
      <c r="T257" s="56">
        <f>T$249*Data!S$16/1000</f>
        <v>14535.379402163542</v>
      </c>
      <c r="U257" s="56">
        <f>U$249*Data!T$16/1000</f>
        <v>0</v>
      </c>
      <c r="V257" s="56">
        <f>V$249*Data!U$16/1000</f>
        <v>0</v>
      </c>
      <c r="W257" s="56">
        <f>W$249*Data!V$16/1000</f>
        <v>0</v>
      </c>
      <c r="X257" s="56">
        <f>X$249*Data!W$16/1000</f>
        <v>0</v>
      </c>
      <c r="Y257" s="56">
        <f>Y$249*Data!X$16/1000</f>
        <v>0</v>
      </c>
      <c r="Z257" s="56">
        <f>Z$249*Data!Y$16/1000</f>
        <v>0</v>
      </c>
      <c r="AA257" s="56">
        <f>AA$249*Data!Z$16/1000</f>
        <v>0</v>
      </c>
      <c r="AB257" s="56">
        <f>AB$249*Data!AA$16/1000</f>
        <v>0</v>
      </c>
      <c r="AC257" s="56">
        <f>AC$249*Data!AB$16/1000</f>
        <v>0</v>
      </c>
      <c r="AD257" s="56">
        <f>AD$249*Data!AC$16/1000</f>
        <v>0</v>
      </c>
      <c r="AE257" s="56">
        <f>AE$249*Data!AD$16/1000</f>
        <v>0</v>
      </c>
      <c r="AF257" s="56">
        <f>AF$249*Data!AE$16/1000</f>
        <v>0</v>
      </c>
      <c r="AG257" s="56">
        <f>AG$249*Data!AF$16/1000</f>
        <v>0</v>
      </c>
      <c r="AH257" s="56">
        <f>AH$249*Data!AG$16/1000</f>
        <v>0</v>
      </c>
      <c r="AI257" s="56">
        <f>AI$249*Data!AH$16/1000</f>
        <v>0</v>
      </c>
      <c r="AJ257" s="56">
        <f>AJ$249*Data!AI$16/1000</f>
        <v>0</v>
      </c>
      <c r="AK257" s="56">
        <f>AK$249*Data!AJ$16/1000</f>
        <v>0</v>
      </c>
      <c r="AL257" s="56">
        <f>AL$249*Data!AK$16/1000</f>
        <v>0</v>
      </c>
      <c r="AM257" s="56">
        <f>AM$249*Data!AL$16/1000</f>
        <v>0</v>
      </c>
      <c r="AN257" s="56">
        <f>AN$249*Data!AM$16/1000</f>
        <v>0</v>
      </c>
      <c r="AO257" s="56">
        <f>AO$249*Data!AN$16/1000</f>
        <v>0</v>
      </c>
      <c r="AP257" s="29"/>
    </row>
    <row r="258" spans="1:42" x14ac:dyDescent="0.25">
      <c r="A258" s="54"/>
      <c r="B258" s="13"/>
      <c r="C258" s="14" t="s">
        <v>285</v>
      </c>
      <c r="D258" s="14"/>
      <c r="E258" s="70" t="s">
        <v>474</v>
      </c>
      <c r="F258" s="200">
        <f>Data!$E$36/1000</f>
        <v>1.0822865168539326</v>
      </c>
      <c r="G258" s="231"/>
      <c r="H258" s="56"/>
      <c r="I258" s="56">
        <f>I$250*$F258</f>
        <v>24.996134748427973</v>
      </c>
      <c r="J258" s="56">
        <f t="shared" ref="J258:AO258" si="37">J$250*$F258</f>
        <v>24.996134748427973</v>
      </c>
      <c r="K258" s="56">
        <f t="shared" si="37"/>
        <v>24.996134748427973</v>
      </c>
      <c r="L258" s="56">
        <f t="shared" si="37"/>
        <v>24.996134748427973</v>
      </c>
      <c r="M258" s="56">
        <f t="shared" si="37"/>
        <v>24.996134748427973</v>
      </c>
      <c r="N258" s="56">
        <f t="shared" si="37"/>
        <v>24.996134748427973</v>
      </c>
      <c r="O258" s="56">
        <f t="shared" si="37"/>
        <v>24.996134748427973</v>
      </c>
      <c r="P258" s="56">
        <f t="shared" si="37"/>
        <v>24.996134748427973</v>
      </c>
      <c r="Q258" s="56">
        <f t="shared" si="37"/>
        <v>24.996134748427973</v>
      </c>
      <c r="R258" s="56">
        <f t="shared" si="37"/>
        <v>24.996134748427973</v>
      </c>
      <c r="S258" s="56">
        <f t="shared" si="37"/>
        <v>24.996134748427973</v>
      </c>
      <c r="T258" s="56">
        <f t="shared" si="37"/>
        <v>24.996134748427973</v>
      </c>
      <c r="U258" s="56">
        <f t="shared" si="37"/>
        <v>0</v>
      </c>
      <c r="V258" s="56">
        <f t="shared" si="37"/>
        <v>0</v>
      </c>
      <c r="W258" s="56">
        <f t="shared" si="37"/>
        <v>0</v>
      </c>
      <c r="X258" s="56">
        <f t="shared" si="37"/>
        <v>0</v>
      </c>
      <c r="Y258" s="56">
        <f t="shared" si="37"/>
        <v>0</v>
      </c>
      <c r="Z258" s="56">
        <f t="shared" si="37"/>
        <v>0</v>
      </c>
      <c r="AA258" s="56">
        <f t="shared" si="37"/>
        <v>0</v>
      </c>
      <c r="AB258" s="56">
        <f t="shared" si="37"/>
        <v>0</v>
      </c>
      <c r="AC258" s="56">
        <f t="shared" si="37"/>
        <v>0</v>
      </c>
      <c r="AD258" s="56">
        <f t="shared" si="37"/>
        <v>0</v>
      </c>
      <c r="AE258" s="56">
        <f t="shared" si="37"/>
        <v>0</v>
      </c>
      <c r="AF258" s="56">
        <f t="shared" si="37"/>
        <v>0</v>
      </c>
      <c r="AG258" s="56">
        <f t="shared" si="37"/>
        <v>0</v>
      </c>
      <c r="AH258" s="56">
        <f t="shared" si="37"/>
        <v>0</v>
      </c>
      <c r="AI258" s="56">
        <f t="shared" si="37"/>
        <v>0</v>
      </c>
      <c r="AJ258" s="56">
        <f t="shared" si="37"/>
        <v>0</v>
      </c>
      <c r="AK258" s="56">
        <f t="shared" si="37"/>
        <v>0</v>
      </c>
      <c r="AL258" s="56">
        <f t="shared" si="37"/>
        <v>0</v>
      </c>
      <c r="AM258" s="56">
        <f t="shared" si="37"/>
        <v>0</v>
      </c>
      <c r="AN258" s="56">
        <f t="shared" si="37"/>
        <v>0</v>
      </c>
      <c r="AO258" s="56">
        <f t="shared" si="37"/>
        <v>0</v>
      </c>
      <c r="AP258" s="29"/>
    </row>
    <row r="259" spans="1:42" x14ac:dyDescent="0.25">
      <c r="A259" s="54"/>
      <c r="B259" s="13"/>
      <c r="C259" s="14" t="s">
        <v>220</v>
      </c>
      <c r="D259" s="14"/>
      <c r="E259" s="70" t="s">
        <v>474</v>
      </c>
      <c r="F259" s="200">
        <f>Data!$E$37/1000</f>
        <v>371.00188764044947</v>
      </c>
      <c r="G259" s="231"/>
      <c r="H259" s="56"/>
      <c r="I259" s="56">
        <f>I$251*$F259</f>
        <v>360695.91892811091</v>
      </c>
      <c r="J259" s="56">
        <f t="shared" ref="J259:AO259" si="38">J$251*$F259</f>
        <v>360695.91892811091</v>
      </c>
      <c r="K259" s="56">
        <f t="shared" si="38"/>
        <v>360695.91892811091</v>
      </c>
      <c r="L259" s="56">
        <f t="shared" si="38"/>
        <v>360695.91892811091</v>
      </c>
      <c r="M259" s="56">
        <f t="shared" si="38"/>
        <v>360695.91892811091</v>
      </c>
      <c r="N259" s="56">
        <f t="shared" si="38"/>
        <v>360695.91892811091</v>
      </c>
      <c r="O259" s="56">
        <f t="shared" si="38"/>
        <v>360695.91892811091</v>
      </c>
      <c r="P259" s="56">
        <f t="shared" si="38"/>
        <v>360695.91892811091</v>
      </c>
      <c r="Q259" s="56">
        <f t="shared" si="38"/>
        <v>360695.91892811091</v>
      </c>
      <c r="R259" s="56">
        <f t="shared" si="38"/>
        <v>360695.91892811091</v>
      </c>
      <c r="S259" s="56">
        <f t="shared" si="38"/>
        <v>360695.91892811091</v>
      </c>
      <c r="T259" s="56">
        <f t="shared" si="38"/>
        <v>360695.91892811091</v>
      </c>
      <c r="U259" s="56">
        <f t="shared" si="38"/>
        <v>0</v>
      </c>
      <c r="V259" s="56">
        <f t="shared" si="38"/>
        <v>0</v>
      </c>
      <c r="W259" s="56">
        <f t="shared" si="38"/>
        <v>0</v>
      </c>
      <c r="X259" s="56">
        <f t="shared" si="38"/>
        <v>0</v>
      </c>
      <c r="Y259" s="56">
        <f t="shared" si="38"/>
        <v>0</v>
      </c>
      <c r="Z259" s="56">
        <f t="shared" si="38"/>
        <v>0</v>
      </c>
      <c r="AA259" s="56">
        <f t="shared" si="38"/>
        <v>0</v>
      </c>
      <c r="AB259" s="56">
        <f t="shared" si="38"/>
        <v>0</v>
      </c>
      <c r="AC259" s="56">
        <f t="shared" si="38"/>
        <v>0</v>
      </c>
      <c r="AD259" s="56">
        <f t="shared" si="38"/>
        <v>0</v>
      </c>
      <c r="AE259" s="56">
        <f t="shared" si="38"/>
        <v>0</v>
      </c>
      <c r="AF259" s="56">
        <f t="shared" si="38"/>
        <v>0</v>
      </c>
      <c r="AG259" s="56">
        <f t="shared" si="38"/>
        <v>0</v>
      </c>
      <c r="AH259" s="56">
        <f t="shared" si="38"/>
        <v>0</v>
      </c>
      <c r="AI259" s="56">
        <f t="shared" si="38"/>
        <v>0</v>
      </c>
      <c r="AJ259" s="56">
        <f t="shared" si="38"/>
        <v>0</v>
      </c>
      <c r="AK259" s="56">
        <f t="shared" si="38"/>
        <v>0</v>
      </c>
      <c r="AL259" s="56">
        <f t="shared" si="38"/>
        <v>0</v>
      </c>
      <c r="AM259" s="56">
        <f t="shared" si="38"/>
        <v>0</v>
      </c>
      <c r="AN259" s="56">
        <f t="shared" si="38"/>
        <v>0</v>
      </c>
      <c r="AO259" s="56">
        <f t="shared" si="38"/>
        <v>0</v>
      </c>
      <c r="AP259" s="29"/>
    </row>
    <row r="260" spans="1:42" x14ac:dyDescent="0.25">
      <c r="A260" s="54"/>
      <c r="B260" s="13"/>
      <c r="C260" s="14" t="s">
        <v>212</v>
      </c>
      <c r="D260" s="14"/>
      <c r="E260" s="70" t="s">
        <v>474</v>
      </c>
      <c r="F260" s="200">
        <f>Data!$E$39/1000</f>
        <v>0</v>
      </c>
      <c r="G260" s="231"/>
      <c r="H260" s="56"/>
      <c r="I260" s="56">
        <f>I$252*$F260</f>
        <v>0</v>
      </c>
      <c r="J260" s="56">
        <f t="shared" ref="J260:AO260" si="39">J$252*$F260</f>
        <v>0</v>
      </c>
      <c r="K260" s="56">
        <f t="shared" si="39"/>
        <v>0</v>
      </c>
      <c r="L260" s="56">
        <f t="shared" si="39"/>
        <v>0</v>
      </c>
      <c r="M260" s="56">
        <f t="shared" si="39"/>
        <v>0</v>
      </c>
      <c r="N260" s="56">
        <f t="shared" si="39"/>
        <v>0</v>
      </c>
      <c r="O260" s="56">
        <f t="shared" si="39"/>
        <v>0</v>
      </c>
      <c r="P260" s="56">
        <f t="shared" si="39"/>
        <v>0</v>
      </c>
      <c r="Q260" s="56">
        <f t="shared" si="39"/>
        <v>0</v>
      </c>
      <c r="R260" s="56">
        <f t="shared" si="39"/>
        <v>0</v>
      </c>
      <c r="S260" s="56">
        <f t="shared" si="39"/>
        <v>0</v>
      </c>
      <c r="T260" s="56">
        <f t="shared" si="39"/>
        <v>0</v>
      </c>
      <c r="U260" s="56">
        <f t="shared" si="39"/>
        <v>0</v>
      </c>
      <c r="V260" s="56">
        <f t="shared" si="39"/>
        <v>0</v>
      </c>
      <c r="W260" s="56">
        <f t="shared" si="39"/>
        <v>0</v>
      </c>
      <c r="X260" s="56">
        <f t="shared" si="39"/>
        <v>0</v>
      </c>
      <c r="Y260" s="56">
        <f t="shared" si="39"/>
        <v>0</v>
      </c>
      <c r="Z260" s="56">
        <f t="shared" si="39"/>
        <v>0</v>
      </c>
      <c r="AA260" s="56">
        <f t="shared" si="39"/>
        <v>0</v>
      </c>
      <c r="AB260" s="56">
        <f t="shared" si="39"/>
        <v>0</v>
      </c>
      <c r="AC260" s="56">
        <f t="shared" si="39"/>
        <v>0</v>
      </c>
      <c r="AD260" s="56">
        <f t="shared" si="39"/>
        <v>0</v>
      </c>
      <c r="AE260" s="56">
        <f t="shared" si="39"/>
        <v>0</v>
      </c>
      <c r="AF260" s="56">
        <f t="shared" si="39"/>
        <v>0</v>
      </c>
      <c r="AG260" s="56">
        <f t="shared" si="39"/>
        <v>0</v>
      </c>
      <c r="AH260" s="56">
        <f t="shared" si="39"/>
        <v>0</v>
      </c>
      <c r="AI260" s="56">
        <f t="shared" si="39"/>
        <v>0</v>
      </c>
      <c r="AJ260" s="56">
        <f t="shared" si="39"/>
        <v>0</v>
      </c>
      <c r="AK260" s="56">
        <f t="shared" si="39"/>
        <v>0</v>
      </c>
      <c r="AL260" s="56">
        <f t="shared" si="39"/>
        <v>0</v>
      </c>
      <c r="AM260" s="56">
        <f t="shared" si="39"/>
        <v>0</v>
      </c>
      <c r="AN260" s="56">
        <f t="shared" si="39"/>
        <v>0</v>
      </c>
      <c r="AO260" s="56">
        <f t="shared" si="39"/>
        <v>0</v>
      </c>
      <c r="AP260" s="29"/>
    </row>
    <row r="261" spans="1:42" x14ac:dyDescent="0.25">
      <c r="A261" s="54"/>
      <c r="B261" s="13"/>
      <c r="C261" s="14" t="s">
        <v>485</v>
      </c>
      <c r="D261" s="14"/>
      <c r="E261" s="70" t="s">
        <v>474</v>
      </c>
      <c r="F261" s="200">
        <f>Data!$E$40/1000</f>
        <v>605.20914606741576</v>
      </c>
      <c r="G261" s="231"/>
      <c r="H261" s="56"/>
      <c r="I261" s="56">
        <f>I$253*$F261</f>
        <v>16350.387471199676</v>
      </c>
      <c r="J261" s="56">
        <f t="shared" ref="J261:AO261" si="40">J$253*$F261</f>
        <v>16350.387471199676</v>
      </c>
      <c r="K261" s="56">
        <f t="shared" si="40"/>
        <v>16350.387471199676</v>
      </c>
      <c r="L261" s="56">
        <f t="shared" si="40"/>
        <v>16350.387471199676</v>
      </c>
      <c r="M261" s="56">
        <f t="shared" si="40"/>
        <v>16350.387471199676</v>
      </c>
      <c r="N261" s="56">
        <f t="shared" si="40"/>
        <v>16350.387471199676</v>
      </c>
      <c r="O261" s="56">
        <f t="shared" si="40"/>
        <v>16350.387471199676</v>
      </c>
      <c r="P261" s="56">
        <f t="shared" si="40"/>
        <v>16350.387471199676</v>
      </c>
      <c r="Q261" s="56">
        <f t="shared" si="40"/>
        <v>16350.387471199676</v>
      </c>
      <c r="R261" s="56">
        <f t="shared" si="40"/>
        <v>16350.387471199676</v>
      </c>
      <c r="S261" s="56">
        <f t="shared" si="40"/>
        <v>16350.387471199676</v>
      </c>
      <c r="T261" s="56">
        <f t="shared" si="40"/>
        <v>16350.387471199676</v>
      </c>
      <c r="U261" s="56">
        <f t="shared" si="40"/>
        <v>0</v>
      </c>
      <c r="V261" s="56">
        <f t="shared" si="40"/>
        <v>0</v>
      </c>
      <c r="W261" s="56">
        <f t="shared" si="40"/>
        <v>0</v>
      </c>
      <c r="X261" s="56">
        <f t="shared" si="40"/>
        <v>0</v>
      </c>
      <c r="Y261" s="56">
        <f t="shared" si="40"/>
        <v>0</v>
      </c>
      <c r="Z261" s="56">
        <f t="shared" si="40"/>
        <v>0</v>
      </c>
      <c r="AA261" s="56">
        <f t="shared" si="40"/>
        <v>0</v>
      </c>
      <c r="AB261" s="56">
        <f t="shared" si="40"/>
        <v>0</v>
      </c>
      <c r="AC261" s="56">
        <f t="shared" si="40"/>
        <v>0</v>
      </c>
      <c r="AD261" s="56">
        <f t="shared" si="40"/>
        <v>0</v>
      </c>
      <c r="AE261" s="56">
        <f t="shared" si="40"/>
        <v>0</v>
      </c>
      <c r="AF261" s="56">
        <f t="shared" si="40"/>
        <v>0</v>
      </c>
      <c r="AG261" s="56">
        <f t="shared" si="40"/>
        <v>0</v>
      </c>
      <c r="AH261" s="56">
        <f t="shared" si="40"/>
        <v>0</v>
      </c>
      <c r="AI261" s="56">
        <f t="shared" si="40"/>
        <v>0</v>
      </c>
      <c r="AJ261" s="56">
        <f t="shared" si="40"/>
        <v>0</v>
      </c>
      <c r="AK261" s="56">
        <f t="shared" si="40"/>
        <v>0</v>
      </c>
      <c r="AL261" s="56">
        <f t="shared" si="40"/>
        <v>0</v>
      </c>
      <c r="AM261" s="56">
        <f t="shared" si="40"/>
        <v>0</v>
      </c>
      <c r="AN261" s="56">
        <f t="shared" si="40"/>
        <v>0</v>
      </c>
      <c r="AO261" s="56">
        <f t="shared" si="40"/>
        <v>0</v>
      </c>
      <c r="AP261" s="29"/>
    </row>
    <row r="262" spans="1:42" x14ac:dyDescent="0.25">
      <c r="A262" s="54"/>
      <c r="B262" s="13"/>
      <c r="C262" s="14" t="s">
        <v>214</v>
      </c>
      <c r="D262" s="14"/>
      <c r="E262" s="70" t="s">
        <v>474</v>
      </c>
      <c r="F262" s="200">
        <f>Data!$E$41/1000</f>
        <v>0</v>
      </c>
      <c r="G262" s="231"/>
      <c r="H262" s="56"/>
      <c r="I262" s="56">
        <f>I$254*$F262</f>
        <v>0</v>
      </c>
      <c r="J262" s="56">
        <f t="shared" ref="J262:AO262" si="41">J$254*$F262</f>
        <v>0</v>
      </c>
      <c r="K262" s="56">
        <f t="shared" si="41"/>
        <v>0</v>
      </c>
      <c r="L262" s="56">
        <f t="shared" si="41"/>
        <v>0</v>
      </c>
      <c r="M262" s="56">
        <f t="shared" si="41"/>
        <v>0</v>
      </c>
      <c r="N262" s="56">
        <f t="shared" si="41"/>
        <v>0</v>
      </c>
      <c r="O262" s="56">
        <f t="shared" si="41"/>
        <v>0</v>
      </c>
      <c r="P262" s="56">
        <f t="shared" si="41"/>
        <v>0</v>
      </c>
      <c r="Q262" s="56">
        <f t="shared" si="41"/>
        <v>0</v>
      </c>
      <c r="R262" s="56">
        <f t="shared" si="41"/>
        <v>0</v>
      </c>
      <c r="S262" s="56">
        <f t="shared" si="41"/>
        <v>0</v>
      </c>
      <c r="T262" s="56">
        <f t="shared" si="41"/>
        <v>0</v>
      </c>
      <c r="U262" s="56">
        <f t="shared" si="41"/>
        <v>0</v>
      </c>
      <c r="V262" s="56">
        <f t="shared" si="41"/>
        <v>0</v>
      </c>
      <c r="W262" s="56">
        <f t="shared" si="41"/>
        <v>0</v>
      </c>
      <c r="X262" s="56">
        <f t="shared" si="41"/>
        <v>0</v>
      </c>
      <c r="Y262" s="56">
        <f t="shared" si="41"/>
        <v>0</v>
      </c>
      <c r="Z262" s="56">
        <f t="shared" si="41"/>
        <v>0</v>
      </c>
      <c r="AA262" s="56">
        <f t="shared" si="41"/>
        <v>0</v>
      </c>
      <c r="AB262" s="56">
        <f t="shared" si="41"/>
        <v>0</v>
      </c>
      <c r="AC262" s="56">
        <f t="shared" si="41"/>
        <v>0</v>
      </c>
      <c r="AD262" s="56">
        <f t="shared" si="41"/>
        <v>0</v>
      </c>
      <c r="AE262" s="56">
        <f t="shared" si="41"/>
        <v>0</v>
      </c>
      <c r="AF262" s="56">
        <f t="shared" si="41"/>
        <v>0</v>
      </c>
      <c r="AG262" s="56">
        <f t="shared" si="41"/>
        <v>0</v>
      </c>
      <c r="AH262" s="56">
        <f t="shared" si="41"/>
        <v>0</v>
      </c>
      <c r="AI262" s="56">
        <f t="shared" si="41"/>
        <v>0</v>
      </c>
      <c r="AJ262" s="56">
        <f t="shared" si="41"/>
        <v>0</v>
      </c>
      <c r="AK262" s="56">
        <f t="shared" si="41"/>
        <v>0</v>
      </c>
      <c r="AL262" s="56">
        <f t="shared" si="41"/>
        <v>0</v>
      </c>
      <c r="AM262" s="56">
        <f t="shared" si="41"/>
        <v>0</v>
      </c>
      <c r="AN262" s="56">
        <f t="shared" si="41"/>
        <v>0</v>
      </c>
      <c r="AO262" s="56">
        <f t="shared" si="41"/>
        <v>0</v>
      </c>
      <c r="AP262" s="29"/>
    </row>
    <row r="263" spans="1:42" x14ac:dyDescent="0.25">
      <c r="A263" s="12"/>
      <c r="B263" s="13"/>
      <c r="C263" s="20" t="s">
        <v>536</v>
      </c>
      <c r="D263" s="14"/>
      <c r="E263" s="70" t="s">
        <v>474</v>
      </c>
      <c r="F263" s="16"/>
      <c r="G263" s="159"/>
      <c r="H263" s="185"/>
      <c r="I263" s="185">
        <f>SUM(I256:I262)</f>
        <v>384652.54197817773</v>
      </c>
      <c r="J263" s="185">
        <f t="shared" ref="J263:AO263" si="42">SUM(J256:J262)</f>
        <v>385434.01398904674</v>
      </c>
      <c r="K263" s="185">
        <f t="shared" si="42"/>
        <v>386137.33879882883</v>
      </c>
      <c r="L263" s="185">
        <f t="shared" si="42"/>
        <v>386918.81080969784</v>
      </c>
      <c r="M263" s="185">
        <f t="shared" si="42"/>
        <v>387700.28282056685</v>
      </c>
      <c r="N263" s="185">
        <f t="shared" si="42"/>
        <v>388481.75483143586</v>
      </c>
      <c r="O263" s="185">
        <f t="shared" si="42"/>
        <v>389185.07964121795</v>
      </c>
      <c r="P263" s="185">
        <f t="shared" si="42"/>
        <v>389653.9628477394</v>
      </c>
      <c r="Q263" s="185">
        <f t="shared" si="42"/>
        <v>390122.84605426079</v>
      </c>
      <c r="R263" s="185">
        <f t="shared" si="42"/>
        <v>390669.87646186911</v>
      </c>
      <c r="S263" s="185">
        <f t="shared" si="42"/>
        <v>391138.7596683905</v>
      </c>
      <c r="T263" s="185">
        <f t="shared" si="42"/>
        <v>391607.64287491189</v>
      </c>
      <c r="U263" s="185">
        <f t="shared" si="42"/>
        <v>0</v>
      </c>
      <c r="V263" s="185">
        <f t="shared" si="42"/>
        <v>0</v>
      </c>
      <c r="W263" s="185">
        <f t="shared" si="42"/>
        <v>0</v>
      </c>
      <c r="X263" s="185">
        <f t="shared" si="42"/>
        <v>0</v>
      </c>
      <c r="Y263" s="185">
        <f t="shared" si="42"/>
        <v>0</v>
      </c>
      <c r="Z263" s="185">
        <f t="shared" si="42"/>
        <v>0</v>
      </c>
      <c r="AA263" s="185">
        <f t="shared" si="42"/>
        <v>0</v>
      </c>
      <c r="AB263" s="185">
        <f t="shared" si="42"/>
        <v>0</v>
      </c>
      <c r="AC263" s="185">
        <f t="shared" si="42"/>
        <v>0</v>
      </c>
      <c r="AD263" s="185">
        <f t="shared" si="42"/>
        <v>0</v>
      </c>
      <c r="AE263" s="185">
        <f t="shared" si="42"/>
        <v>0</v>
      </c>
      <c r="AF263" s="185">
        <f t="shared" si="42"/>
        <v>0</v>
      </c>
      <c r="AG263" s="185">
        <f t="shared" si="42"/>
        <v>0</v>
      </c>
      <c r="AH263" s="185">
        <f t="shared" si="42"/>
        <v>0</v>
      </c>
      <c r="AI263" s="185">
        <f t="shared" si="42"/>
        <v>0</v>
      </c>
      <c r="AJ263" s="185">
        <f t="shared" si="42"/>
        <v>0</v>
      </c>
      <c r="AK263" s="185">
        <f t="shared" si="42"/>
        <v>0</v>
      </c>
      <c r="AL263" s="185">
        <f t="shared" si="42"/>
        <v>0</v>
      </c>
      <c r="AM263" s="185">
        <f t="shared" si="42"/>
        <v>0</v>
      </c>
      <c r="AN263" s="185">
        <f t="shared" si="42"/>
        <v>0</v>
      </c>
      <c r="AO263" s="185">
        <f t="shared" si="42"/>
        <v>0</v>
      </c>
      <c r="AP263" s="14"/>
    </row>
    <row r="264" spans="1:42" x14ac:dyDescent="0.25">
      <c r="A264" s="12"/>
      <c r="B264" s="13"/>
      <c r="C264" s="14"/>
      <c r="D264" s="14"/>
      <c r="E264" s="15"/>
      <c r="F264" s="16"/>
      <c r="G264" s="159"/>
      <c r="H264" s="159"/>
      <c r="I264" s="159"/>
      <c r="J264" s="159"/>
      <c r="K264" s="159"/>
      <c r="L264" s="159"/>
      <c r="M264" s="159"/>
      <c r="N264" s="159"/>
      <c r="O264" s="159"/>
      <c r="P264" s="159"/>
      <c r="Q264" s="159"/>
      <c r="R264" s="159"/>
      <c r="S264" s="159"/>
      <c r="T264" s="159"/>
      <c r="U264" s="159"/>
      <c r="V264" s="159"/>
      <c r="W264" s="159"/>
      <c r="X264" s="14"/>
      <c r="Y264" s="14"/>
      <c r="Z264" s="14"/>
      <c r="AA264" s="14"/>
      <c r="AB264" s="14"/>
      <c r="AC264" s="14"/>
      <c r="AD264" s="14"/>
      <c r="AE264" s="14"/>
      <c r="AF264" s="14"/>
      <c r="AG264" s="14"/>
      <c r="AH264" s="14"/>
      <c r="AI264" s="14"/>
      <c r="AJ264" s="14"/>
      <c r="AK264" s="14"/>
      <c r="AL264" s="14"/>
      <c r="AM264" s="14"/>
      <c r="AN264" s="14"/>
      <c r="AO264" s="14"/>
      <c r="AP264" s="14"/>
    </row>
    <row r="265" spans="1:42" x14ac:dyDescent="0.25">
      <c r="A265" s="12"/>
      <c r="B265" s="13"/>
      <c r="C265" s="14" t="s">
        <v>523</v>
      </c>
      <c r="D265" s="14"/>
      <c r="E265" s="15" t="s">
        <v>474</v>
      </c>
      <c r="F265" s="48"/>
      <c r="G265" s="185"/>
      <c r="H265" s="185"/>
      <c r="I265" s="185">
        <f>I263*Data!H$9</f>
        <v>369858.2134405555</v>
      </c>
      <c r="J265" s="185">
        <f>J263*Data!I$9</f>
        <v>356355.41234194406</v>
      </c>
      <c r="K265" s="185">
        <f>K263*Data!J$9</f>
        <v>343274.68813903618</v>
      </c>
      <c r="L265" s="185">
        <f>L263*Data!K$9</f>
        <v>330739.82106836728</v>
      </c>
      <c r="M265" s="185">
        <f>M263*Data!L$9</f>
        <v>318661.37174849084</v>
      </c>
      <c r="N265" s="185">
        <f>N263*Data!M$9</f>
        <v>307022.77382442099</v>
      </c>
      <c r="O265" s="185">
        <f>O263*Data!N$9</f>
        <v>295748.67465182522</v>
      </c>
      <c r="P265" s="185">
        <f>P263*Data!O$9</f>
        <v>284716.3339930501</v>
      </c>
      <c r="Q265" s="185">
        <f>Q263*Data!P$9</f>
        <v>274095.13688398572</v>
      </c>
      <c r="R265" s="185">
        <f>R263*Data!Q$9</f>
        <v>263922.57037723996</v>
      </c>
      <c r="S265" s="185">
        <f>S263*Data!R$9</f>
        <v>254076.27987589425</v>
      </c>
      <c r="T265" s="185">
        <f>T263*Data!S$9</f>
        <v>244596.97833267378</v>
      </c>
      <c r="U265" s="185">
        <f>U263*Data!T$9</f>
        <v>0</v>
      </c>
      <c r="V265" s="185">
        <f>V263*Data!U$9</f>
        <v>0</v>
      </c>
      <c r="W265" s="185">
        <f>W263*Data!V$9</f>
        <v>0</v>
      </c>
      <c r="X265" s="185">
        <f>X263*Data!W$9</f>
        <v>0</v>
      </c>
      <c r="Y265" s="185">
        <f>Y263*Data!X$9</f>
        <v>0</v>
      </c>
      <c r="Z265" s="185">
        <f>Z263*Data!Y$9</f>
        <v>0</v>
      </c>
      <c r="AA265" s="185">
        <f>AA263*Data!Z$9</f>
        <v>0</v>
      </c>
      <c r="AB265" s="185">
        <f>AB263*Data!AA$9</f>
        <v>0</v>
      </c>
      <c r="AC265" s="185">
        <f>AC263*Data!AB$9</f>
        <v>0</v>
      </c>
      <c r="AD265" s="185">
        <f>AD263*Data!AC$9</f>
        <v>0</v>
      </c>
      <c r="AE265" s="185">
        <f>AE263*Data!AD$9</f>
        <v>0</v>
      </c>
      <c r="AF265" s="185">
        <f>AF263*Data!AE$9</f>
        <v>0</v>
      </c>
      <c r="AG265" s="185">
        <f>AG263*Data!AF$9</f>
        <v>0</v>
      </c>
      <c r="AH265" s="185">
        <f>AH263*Data!AG$9</f>
        <v>0</v>
      </c>
      <c r="AI265" s="185">
        <f>AI263*Data!AH$9</f>
        <v>0</v>
      </c>
      <c r="AJ265" s="185">
        <f>AJ263*Data!AI$9</f>
        <v>0</v>
      </c>
      <c r="AK265" s="185">
        <f>AK263*Data!AJ$9</f>
        <v>0</v>
      </c>
      <c r="AL265" s="185">
        <f>AL263*Data!AK$9</f>
        <v>0</v>
      </c>
      <c r="AM265" s="185">
        <f>AM263*Data!AL$9</f>
        <v>0</v>
      </c>
      <c r="AN265" s="185">
        <f>AN263*Data!AM$9</f>
        <v>0</v>
      </c>
      <c r="AO265" s="185">
        <f>AO263*Data!AN$9</f>
        <v>0</v>
      </c>
      <c r="AP265" s="14"/>
    </row>
    <row r="266" spans="1:42" x14ac:dyDescent="0.25">
      <c r="A266" s="12"/>
      <c r="B266" s="13"/>
      <c r="C266" s="14" t="s">
        <v>489</v>
      </c>
      <c r="D266" s="13"/>
      <c r="E266" s="15" t="s">
        <v>142</v>
      </c>
      <c r="F266" s="16"/>
      <c r="G266" s="159">
        <f>SUM(H265:AO265)</f>
        <v>3643068.2546774838</v>
      </c>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row>
    <row r="267" spans="1:42" x14ac:dyDescent="0.25">
      <c r="A267" s="12"/>
      <c r="B267" s="13"/>
      <c r="C267" s="41" t="s">
        <v>62</v>
      </c>
      <c r="D267" s="41"/>
      <c r="E267" s="15" t="s">
        <v>261</v>
      </c>
      <c r="F267" s="16"/>
      <c r="G267" s="184">
        <f>G266/(SUM(H246:AO246))</f>
        <v>3.2434724489649964</v>
      </c>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7"/>
    </row>
    <row r="268" spans="1:42" x14ac:dyDescent="0.25">
      <c r="A268" s="12"/>
      <c r="B268" s="13"/>
      <c r="C268" s="14"/>
      <c r="D268" s="14"/>
      <c r="E268" s="15"/>
      <c r="F268" s="16"/>
      <c r="G268" s="14"/>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17"/>
    </row>
    <row r="269" spans="1:42" ht="18.75" x14ac:dyDescent="0.3">
      <c r="A269" s="12"/>
      <c r="B269" s="13"/>
      <c r="C269" s="205" t="s">
        <v>524</v>
      </c>
      <c r="D269" s="14"/>
      <c r="E269" s="15" t="s">
        <v>261</v>
      </c>
      <c r="F269" s="16"/>
      <c r="G269" s="204">
        <f>G237+G244+G267</f>
        <v>10.108225309193534</v>
      </c>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17"/>
    </row>
    <row r="270" spans="1:42" x14ac:dyDescent="0.25">
      <c r="A270" s="12"/>
      <c r="B270" s="13"/>
      <c r="C270" s="14"/>
      <c r="D270" s="14"/>
      <c r="E270" s="15"/>
      <c r="F270" s="16"/>
      <c r="G270" s="14"/>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17"/>
    </row>
    <row r="271" spans="1:42" x14ac:dyDescent="0.25">
      <c r="A271" s="23"/>
      <c r="B271" s="23"/>
      <c r="C271" s="24" t="s">
        <v>525</v>
      </c>
      <c r="D271" s="24"/>
      <c r="E271" s="25"/>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7"/>
    </row>
    <row r="272" spans="1:42" x14ac:dyDescent="0.25">
      <c r="A272" s="12"/>
      <c r="B272" s="13"/>
      <c r="C272" s="13"/>
      <c r="D272" s="14"/>
      <c r="E272" s="15"/>
      <c r="F272" s="16"/>
      <c r="G272" s="14"/>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17"/>
    </row>
    <row r="273" spans="1:42" x14ac:dyDescent="0.25">
      <c r="A273" s="12"/>
      <c r="B273" s="13"/>
      <c r="C273" s="37" t="s">
        <v>537</v>
      </c>
      <c r="D273" s="37"/>
      <c r="E273" s="38"/>
      <c r="F273" s="39"/>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17"/>
    </row>
    <row r="274" spans="1:42" x14ac:dyDescent="0.25">
      <c r="A274" s="12"/>
      <c r="B274" s="13"/>
      <c r="C274" s="96" t="s">
        <v>526</v>
      </c>
      <c r="D274" s="14"/>
      <c r="E274" s="15" t="s">
        <v>142</v>
      </c>
      <c r="F274" s="16"/>
      <c r="G274" s="141">
        <f>G236</f>
        <v>7710490.4126086934</v>
      </c>
      <c r="H274" s="14"/>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17"/>
    </row>
    <row r="275" spans="1:42" x14ac:dyDescent="0.25">
      <c r="A275" s="12"/>
      <c r="B275" s="13"/>
      <c r="C275" s="96" t="s">
        <v>527</v>
      </c>
      <c r="D275" s="14"/>
      <c r="E275" s="15" t="s">
        <v>474</v>
      </c>
      <c r="F275" s="16"/>
      <c r="G275" s="151">
        <f>G274/Dashboard!$I$31</f>
        <v>642540.86771739111</v>
      </c>
      <c r="H275" s="14"/>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17"/>
    </row>
    <row r="276" spans="1:42" x14ac:dyDescent="0.25">
      <c r="A276" s="12"/>
      <c r="B276" s="13"/>
      <c r="C276" s="96" t="s">
        <v>528</v>
      </c>
      <c r="D276" s="14"/>
      <c r="E276" s="15" t="s">
        <v>529</v>
      </c>
      <c r="F276" s="16"/>
      <c r="G276" s="151">
        <f>SUM(I249:AO249)</f>
        <v>937766.41304280923</v>
      </c>
      <c r="H276" s="14"/>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17"/>
    </row>
    <row r="277" spans="1:42" x14ac:dyDescent="0.25">
      <c r="A277" s="12"/>
      <c r="B277" s="13"/>
      <c r="C277" s="96" t="s">
        <v>530</v>
      </c>
      <c r="D277" s="14"/>
      <c r="E277" s="15" t="s">
        <v>531</v>
      </c>
      <c r="F277" s="16"/>
      <c r="G277" s="151">
        <f>G276/Dashboard!$I$31</f>
        <v>78147.201086900764</v>
      </c>
      <c r="H277" s="14"/>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17"/>
    </row>
    <row r="278" spans="1:42" x14ac:dyDescent="0.25">
      <c r="A278" s="12"/>
      <c r="B278" s="13"/>
      <c r="C278" s="14"/>
      <c r="D278" s="14"/>
      <c r="E278" s="15"/>
      <c r="F278" s="16"/>
      <c r="G278" s="23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29"/>
    </row>
    <row r="279" spans="1:42" x14ac:dyDescent="0.25">
      <c r="A279" s="12"/>
      <c r="B279" s="13"/>
      <c r="C279" s="37" t="s">
        <v>538</v>
      </c>
      <c r="D279" s="37"/>
      <c r="E279" s="38"/>
      <c r="F279" s="39"/>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17"/>
    </row>
    <row r="280" spans="1:42" x14ac:dyDescent="0.25">
      <c r="A280" s="12"/>
      <c r="B280" s="13"/>
      <c r="C280" s="14" t="s">
        <v>539</v>
      </c>
      <c r="D280" s="14"/>
      <c r="E280" s="15" t="s">
        <v>142</v>
      </c>
      <c r="F280" s="16"/>
      <c r="G280" s="231">
        <f>'RE Diesel'!G275-'Diesel (BAU)'!$G$268</f>
        <v>305882.98660249001</v>
      </c>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17"/>
    </row>
    <row r="281" spans="1:42" x14ac:dyDescent="0.25">
      <c r="A281" s="12"/>
      <c r="B281" s="13"/>
      <c r="C281" s="14" t="s">
        <v>540</v>
      </c>
      <c r="D281" s="44"/>
      <c r="E281" s="15" t="s">
        <v>541</v>
      </c>
      <c r="F281" s="16"/>
      <c r="G281" s="231">
        <f>'Diesel (BAU)'!$G270-'RE Diesel'!G277</f>
        <v>133061.45049931749</v>
      </c>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17"/>
    </row>
    <row r="282" spans="1:42" ht="18.75" x14ac:dyDescent="0.3">
      <c r="A282" s="12"/>
      <c r="B282" s="13"/>
      <c r="C282" s="221" t="s">
        <v>542</v>
      </c>
      <c r="D282" s="45"/>
      <c r="E282" s="15"/>
      <c r="F282" s="16"/>
      <c r="G282" s="220">
        <f>G280/G281</f>
        <v>2.2988099517527729</v>
      </c>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29"/>
    </row>
  </sheetData>
  <conditionalFormatting sqref="G55 G99:G101">
    <cfRule type="expression" dxfId="798" priority="147">
      <formula>H$2&gt;=start_proj</formula>
    </cfRule>
  </conditionalFormatting>
  <conditionalFormatting sqref="G60:G62">
    <cfRule type="expression" dxfId="797" priority="91">
      <formula>ISNA(G60)</formula>
    </cfRule>
    <cfRule type="expression" dxfId="796" priority="92">
      <formula>G$2&gt;=start_proj</formula>
    </cfRule>
  </conditionalFormatting>
  <conditionalFormatting sqref="G146 G190:G192">
    <cfRule type="expression" dxfId="795" priority="84">
      <formula>H$2&gt;=start_proj</formula>
    </cfRule>
  </conditionalFormatting>
  <conditionalFormatting sqref="G151:G153">
    <cfRule type="expression" dxfId="794" priority="64">
      <formula>ISNA(G151)</formula>
    </cfRule>
    <cfRule type="expression" dxfId="793" priority="65">
      <formula>G$2&gt;=start_proj</formula>
    </cfRule>
  </conditionalFormatting>
  <conditionalFormatting sqref="G158:G172">
    <cfRule type="expression" dxfId="792" priority="13">
      <formula>ISNA(G158)</formula>
    </cfRule>
    <cfRule type="expression" dxfId="791" priority="14">
      <formula>G$2&gt;=start_proj</formula>
    </cfRule>
  </conditionalFormatting>
  <conditionalFormatting sqref="G236 G280:G282">
    <cfRule type="expression" dxfId="790" priority="49">
      <formula>H$2&gt;=start_proj</formula>
    </cfRule>
  </conditionalFormatting>
  <conditionalFormatting sqref="G241:G243">
    <cfRule type="expression" dxfId="789" priority="29">
      <formula>ISNA(G241)</formula>
    </cfRule>
    <cfRule type="expression" dxfId="788" priority="30">
      <formula>G$2&gt;=start_proj</formula>
    </cfRule>
  </conditionalFormatting>
  <conditionalFormatting sqref="G248:G262">
    <cfRule type="expression" dxfId="787" priority="11">
      <formula>ISNA(G248)</formula>
    </cfRule>
    <cfRule type="expression" dxfId="786" priority="12">
      <formula>G$2&gt;=start_proj</formula>
    </cfRule>
  </conditionalFormatting>
  <conditionalFormatting sqref="AP75:AP81">
    <cfRule type="expression" dxfId="785" priority="95">
      <formula>ISNA(AP75)</formula>
    </cfRule>
    <cfRule type="expression" dxfId="784" priority="96">
      <formula>AP$2&gt;=start_proj</formula>
    </cfRule>
  </conditionalFormatting>
  <conditionalFormatting sqref="H39:AO43 H53:AP53 H54:AO54 H87:AO89 I93:AO96 H103:AO103 H131:AO134 H144:AO145 I146:AO146 H178:AO180 I184:AO187">
    <cfRule type="expression" dxfId="783" priority="146">
      <formula>H$2&gt;=start_proj</formula>
    </cfRule>
  </conditionalFormatting>
  <conditionalFormatting sqref="AP67:AP73 I67:AO81">
    <cfRule type="expression" dxfId="782" priority="93">
      <formula>ISNA(I67)</formula>
    </cfRule>
    <cfRule type="expression" dxfId="781" priority="94">
      <formula>I$2&gt;=start_proj</formula>
    </cfRule>
  </conditionalFormatting>
  <conditionalFormatting sqref="H91:AO91">
    <cfRule type="expression" dxfId="780" priority="89">
      <formula>ISNA(H91)</formula>
    </cfRule>
    <cfRule type="expression" dxfId="779" priority="90">
      <formula>H$2&gt;=start_proj</formula>
    </cfRule>
  </conditionalFormatting>
  <conditionalFormatting sqref="H182:AO182">
    <cfRule type="expression" dxfId="778" priority="62">
      <formula>ISNA(H182)</formula>
    </cfRule>
    <cfRule type="expression" dxfId="777" priority="63">
      <formula>H$2&gt;=start_proj</formula>
    </cfRule>
  </conditionalFormatting>
  <conditionalFormatting sqref="H221:AO224 H234:AP234 H235:AO235 G236 I236:AO236 H268:AO270 I274:AO277 G280:G282">
    <cfRule type="expression" dxfId="776" priority="50">
      <formula>ISNA(G221)</formula>
    </cfRule>
  </conditionalFormatting>
  <conditionalFormatting sqref="H221:AO224 H234:AP234 H235:AO235 I236:AO236 H268:AO270 I274:AO277">
    <cfRule type="expression" dxfId="775" priority="51">
      <formula>H$2&gt;=start_proj</formula>
    </cfRule>
  </conditionalFormatting>
  <conditionalFormatting sqref="H272:AO272">
    <cfRule type="expression" dxfId="774" priority="27">
      <formula>ISNA(H272)</formula>
    </cfRule>
    <cfRule type="expression" dxfId="773" priority="28">
      <formula>H$2&gt;=start_proj</formula>
    </cfRule>
  </conditionalFormatting>
  <conditionalFormatting sqref="H2:AP3">
    <cfRule type="cellIs" dxfId="772" priority="101" operator="equal">
      <formula>end_proj</formula>
    </cfRule>
    <cfRule type="expression" dxfId="771" priority="102">
      <formula>ISNA(H2)</formula>
    </cfRule>
    <cfRule type="cellIs" dxfId="770" priority="103" operator="equal">
      <formula>start_proj</formula>
    </cfRule>
    <cfRule type="cellIs" dxfId="769" priority="106" operator="equal">
      <formula>start_hist</formula>
    </cfRule>
    <cfRule type="cellIs" dxfId="768" priority="107" operator="greaterThan">
      <formula>start_proj</formula>
    </cfRule>
  </conditionalFormatting>
  <conditionalFormatting sqref="H9:AP12">
    <cfRule type="expression" dxfId="767" priority="145">
      <formula>H$2&gt;=start_proj</formula>
    </cfRule>
  </conditionalFormatting>
  <conditionalFormatting sqref="H22:AP25 H60:AP63">
    <cfRule type="expression" dxfId="766" priority="142">
      <formula>ISNA(H22)</formula>
    </cfRule>
    <cfRule type="expression" dxfId="765" priority="143">
      <formula>H$2&gt;=start_proj</formula>
    </cfRule>
  </conditionalFormatting>
  <conditionalFormatting sqref="H27:AP28">
    <cfRule type="expression" dxfId="764" priority="99">
      <formula>ISNA(H27)</formula>
    </cfRule>
    <cfRule type="expression" dxfId="763" priority="100">
      <formula>H$2&gt;=start_proj</formula>
    </cfRule>
  </conditionalFormatting>
  <conditionalFormatting sqref="H32:AP36">
    <cfRule type="expression" dxfId="762" priority="140">
      <formula>ISNA(H32)</formula>
    </cfRule>
    <cfRule type="expression" dxfId="761" priority="141">
      <formula>H$2&gt;=start_proj</formula>
    </cfRule>
  </conditionalFormatting>
  <conditionalFormatting sqref="H45:AP46">
    <cfRule type="expression" dxfId="760" priority="97">
      <formula>ISNA(H45)</formula>
    </cfRule>
    <cfRule type="expression" dxfId="759" priority="98">
      <formula>H$2&gt;=start_proj</formula>
    </cfRule>
  </conditionalFormatting>
  <conditionalFormatting sqref="H48:AP49">
    <cfRule type="expression" dxfId="758" priority="9">
      <formula>ISNA(H48)</formula>
    </cfRule>
    <cfRule type="expression" dxfId="757" priority="10">
      <formula>H$2&gt;=start_proj</formula>
    </cfRule>
  </conditionalFormatting>
  <conditionalFormatting sqref="H97:AP97">
    <cfRule type="expression" dxfId="756" priority="87">
      <formula>ISNA(H97)</formula>
    </cfRule>
    <cfRule type="expression" dxfId="755" priority="88">
      <formula>H$2&gt;=start_proj</formula>
    </cfRule>
  </conditionalFormatting>
  <conditionalFormatting sqref="H101:AP102">
    <cfRule type="expression" dxfId="754" priority="85">
      <formula>ISNA(H101)</formula>
    </cfRule>
    <cfRule type="expression" dxfId="753" priority="86">
      <formula>H$2&gt;=start_proj</formula>
    </cfRule>
  </conditionalFormatting>
  <conditionalFormatting sqref="H113:AP116">
    <cfRule type="expression" dxfId="752" priority="54">
      <formula>ISNA(H113)</formula>
    </cfRule>
    <cfRule type="expression" dxfId="751" priority="55">
      <formula>H$2&gt;=start_proj</formula>
    </cfRule>
  </conditionalFormatting>
  <conditionalFormatting sqref="H118:AP119">
    <cfRule type="expression" dxfId="750" priority="72">
      <formula>ISNA(H118)</formula>
    </cfRule>
    <cfRule type="expression" dxfId="749" priority="73">
      <formula>H$2&gt;=start_proj</formula>
    </cfRule>
  </conditionalFormatting>
  <conditionalFormatting sqref="H123:AP127">
    <cfRule type="expression" dxfId="748" priority="80">
      <formula>ISNA(H123)</formula>
    </cfRule>
    <cfRule type="expression" dxfId="747" priority="81">
      <formula>H$2&gt;=start_proj</formula>
    </cfRule>
  </conditionalFormatting>
  <conditionalFormatting sqref="H130:AP130">
    <cfRule type="expression" dxfId="746" priority="78">
      <formula>ISNA(H130)</formula>
    </cfRule>
    <cfRule type="expression" dxfId="745" priority="79">
      <formula>H$2&gt;=start_proj</formula>
    </cfRule>
  </conditionalFormatting>
  <conditionalFormatting sqref="H136:AP137">
    <cfRule type="expression" dxfId="744" priority="70">
      <formula>ISNA(H136)</formula>
    </cfRule>
    <cfRule type="expression" dxfId="743" priority="71">
      <formula>H$2&gt;=start_proj</formula>
    </cfRule>
  </conditionalFormatting>
  <conditionalFormatting sqref="H139:AP140">
    <cfRule type="expression" dxfId="742" priority="7">
      <formula>ISNA(H139)</formula>
    </cfRule>
    <cfRule type="expression" dxfId="741" priority="8">
      <formula>H$2&gt;=start_proj</formula>
    </cfRule>
  </conditionalFormatting>
  <conditionalFormatting sqref="H151:AP154">
    <cfRule type="expression" dxfId="740" priority="82">
      <formula>ISNA(H151)</formula>
    </cfRule>
    <cfRule type="expression" dxfId="739" priority="83">
      <formula>H$2&gt;=start_proj</formula>
    </cfRule>
  </conditionalFormatting>
  <conditionalFormatting sqref="H158:AP164 I165:AB165 H166:AP172">
    <cfRule type="expression" dxfId="738" priority="66">
      <formula>ISNA(H158)</formula>
    </cfRule>
    <cfRule type="expression" dxfId="737" priority="67">
      <formula>H$2&gt;=start_proj</formula>
    </cfRule>
  </conditionalFormatting>
  <conditionalFormatting sqref="H188:AP188">
    <cfRule type="expression" dxfId="736" priority="60">
      <formula>ISNA(H188)</formula>
    </cfRule>
    <cfRule type="expression" dxfId="735" priority="61">
      <formula>H$2&gt;=start_proj</formula>
    </cfRule>
  </conditionalFormatting>
  <conditionalFormatting sqref="H192:AP193">
    <cfRule type="expression" dxfId="734" priority="58">
      <formula>ISNA(H192)</formula>
    </cfRule>
    <cfRule type="expression" dxfId="733" priority="59">
      <formula>H$2&gt;=start_proj</formula>
    </cfRule>
  </conditionalFormatting>
  <conditionalFormatting sqref="H203:AP206">
    <cfRule type="expression" dxfId="732" priority="19">
      <formula>ISNA(H203)</formula>
    </cfRule>
    <cfRule type="expression" dxfId="731" priority="20">
      <formula>H$2&gt;=start_proj</formula>
    </cfRule>
  </conditionalFormatting>
  <conditionalFormatting sqref="H208:AP209">
    <cfRule type="expression" dxfId="730" priority="37">
      <formula>ISNA(H208)</formula>
    </cfRule>
    <cfRule type="expression" dxfId="729" priority="38">
      <formula>H$2&gt;=start_proj</formula>
    </cfRule>
  </conditionalFormatting>
  <conditionalFormatting sqref="H213:AP217">
    <cfRule type="expression" dxfId="728" priority="45">
      <formula>ISNA(H213)</formula>
    </cfRule>
    <cfRule type="expression" dxfId="727" priority="46">
      <formula>H$2&gt;=start_proj</formula>
    </cfRule>
  </conditionalFormatting>
  <conditionalFormatting sqref="H220:AP220">
    <cfRule type="expression" dxfId="726" priority="43">
      <formula>ISNA(H220)</formula>
    </cfRule>
    <cfRule type="expression" dxfId="725" priority="44">
      <formula>H$2&gt;=start_proj</formula>
    </cfRule>
  </conditionalFormatting>
  <conditionalFormatting sqref="H226:AP227">
    <cfRule type="expression" dxfId="724" priority="35">
      <formula>ISNA(H226)</formula>
    </cfRule>
    <cfRule type="expression" dxfId="723" priority="36">
      <formula>H$2&gt;=start_proj</formula>
    </cfRule>
  </conditionalFormatting>
  <conditionalFormatting sqref="H229:AP230">
    <cfRule type="expression" dxfId="722" priority="5">
      <formula>ISNA(H229)</formula>
    </cfRule>
    <cfRule type="expression" dxfId="721" priority="6">
      <formula>H$2&gt;=start_proj</formula>
    </cfRule>
  </conditionalFormatting>
  <conditionalFormatting sqref="H241:AP244">
    <cfRule type="expression" dxfId="720" priority="47">
      <formula>ISNA(H241)</formula>
    </cfRule>
    <cfRule type="expression" dxfId="719" priority="48">
      <formula>H$2&gt;=start_proj</formula>
    </cfRule>
  </conditionalFormatting>
  <conditionalFormatting sqref="H278:AP278">
    <cfRule type="expression" dxfId="718" priority="25">
      <formula>ISNA(H278)</formula>
    </cfRule>
    <cfRule type="expression" dxfId="717" priority="26">
      <formula>H$2&gt;=start_proj</formula>
    </cfRule>
  </conditionalFormatting>
  <conditionalFormatting sqref="H282:AP282">
    <cfRule type="expression" dxfId="716" priority="23">
      <formula>ISNA(H282)</formula>
    </cfRule>
    <cfRule type="expression" dxfId="715" priority="24">
      <formula>H$2&gt;=start_proj</formula>
    </cfRule>
  </conditionalFormatting>
  <conditionalFormatting sqref="I54:AP55">
    <cfRule type="expression" dxfId="714" priority="134">
      <formula>ISNA(I54)</formula>
    </cfRule>
    <cfRule type="expression" dxfId="713" priority="135">
      <formula>I$2&gt;=start_proj</formula>
    </cfRule>
  </conditionalFormatting>
  <conditionalFormatting sqref="I248:AP254 I255:AB255 H256:AP262">
    <cfRule type="expression" dxfId="712" priority="31">
      <formula>ISNA(H248)</formula>
    </cfRule>
    <cfRule type="expression" dxfId="711" priority="32">
      <formula>H$2&gt;=start_proj</formula>
    </cfRule>
  </conditionalFormatting>
  <conditionalFormatting sqref="AO3">
    <cfRule type="cellIs" dxfId="710" priority="104" operator="equal">
      <formula>start_proj-hist_years</formula>
    </cfRule>
    <cfRule type="cellIs" dxfId="709" priority="105" operator="greaterThan">
      <formula>start_proj</formula>
    </cfRule>
  </conditionalFormatting>
  <conditionalFormatting sqref="AP9 H9:AO12 H39:AO43 H53:AP53 H54:AO54 G55 H87:AO89 I93:AO96 G99:G101 H103:AO103 H131:AO134 H144:AO145 G146 I146:AO146 H178:AO180 I184:AO187 G190:G192">
    <cfRule type="expression" dxfId="708" priority="144">
      <formula>ISNA(G9)</formula>
    </cfRule>
  </conditionalFormatting>
  <conditionalFormatting sqref="AP39:AP42">
    <cfRule type="expression" dxfId="707" priority="138">
      <formula>ISNA(AP39)</formula>
    </cfRule>
    <cfRule type="expression" dxfId="706" priority="139">
      <formula>AP$2&gt;=start_proj</formula>
    </cfRule>
  </conditionalFormatting>
  <conditionalFormatting sqref="AP131:AP133">
    <cfRule type="expression" dxfId="705" priority="56">
      <formula>ISNA(AP131)</formula>
    </cfRule>
    <cfRule type="expression" dxfId="704" priority="57">
      <formula>AP$2&gt;=start_proj</formula>
    </cfRule>
  </conditionalFormatting>
  <conditionalFormatting sqref="AP144:AP146">
    <cfRule type="expression" dxfId="703" priority="52">
      <formula>ISNA(AP144)</formula>
    </cfRule>
    <cfRule type="expression" dxfId="702" priority="53">
      <formula>AP$2&gt;=start_proj</formula>
    </cfRule>
  </conditionalFormatting>
  <conditionalFormatting sqref="AP221:AP223">
    <cfRule type="expression" dxfId="701" priority="21">
      <formula>ISNA(AP221)</formula>
    </cfRule>
    <cfRule type="expression" dxfId="700" priority="22">
      <formula>AP$2&gt;=start_proj</formula>
    </cfRule>
  </conditionalFormatting>
  <conditionalFormatting sqref="AP235:AP236">
    <cfRule type="expression" dxfId="699" priority="17">
      <formula>ISNA(AP235)</formula>
    </cfRule>
    <cfRule type="expression" dxfId="698" priority="18">
      <formula>AP$2&gt;=start_proj</formula>
    </cfRule>
  </conditionalFormatting>
  <conditionalFormatting sqref="H67:H73 H75:H81">
    <cfRule type="expression" dxfId="697" priority="3">
      <formula>ISNA(H67)</formula>
    </cfRule>
    <cfRule type="expression" dxfId="696" priority="4">
      <formula>H$2&gt;=start_proj</formula>
    </cfRule>
  </conditionalFormatting>
  <conditionalFormatting sqref="G67:G82">
    <cfRule type="expression" dxfId="695" priority="1">
      <formula>ISNA(G67)</formula>
    </cfRule>
    <cfRule type="expression" dxfId="694" priority="2">
      <formula>G$2&gt;=start_proj</formula>
    </cfRule>
  </conditionalFormatting>
  <hyperlinks>
    <hyperlink ref="C1" location="Dashboard!A1" display="Go to Dashboard" xr:uid="{BDB96DD0-841E-4659-9A03-641D33D1DD7F}"/>
    <hyperlink ref="D1" location="Cover!A1" display="Go to Results" xr:uid="{A0B8DA4E-B0B2-49A9-B61D-429E67F6E279}"/>
  </hyperlinks>
  <pageMargins left="0.7" right="0.7" top="0.75" bottom="0.75" header="0.3" footer="0.3"/>
  <pageSetup orientation="portrait" r:id="rId1"/>
  <ignoredErrors>
    <ignoredError sqref="G186 G27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E00EA-3F20-41B5-B595-E870BDB2705D}">
  <sheetPr codeName="Sheet13">
    <tabColor theme="8" tint="-0.249977111117893"/>
  </sheetPr>
  <dimension ref="A1:AP269"/>
  <sheetViews>
    <sheetView topLeftCell="B1" zoomScale="70" zoomScaleNormal="70" workbookViewId="0">
      <pane xSplit="7" ySplit="3" topLeftCell="I4" activePane="bottomRight" state="frozen"/>
      <selection pane="topRight" activeCell="I1" sqref="I1"/>
      <selection pane="bottomLeft" activeCell="B4" sqref="B4"/>
      <selection pane="bottomRight" activeCell="C6" sqref="C6"/>
    </sheetView>
  </sheetViews>
  <sheetFormatPr defaultRowHeight="15" outlineLevelRow="1" x14ac:dyDescent="0.25"/>
  <cols>
    <col min="1" max="1" width="16.85546875" style="51" bestFit="1" customWidth="1"/>
    <col min="2" max="2" width="12.28515625" style="52" bestFit="1" customWidth="1"/>
    <col min="3" max="3" width="38.140625" customWidth="1"/>
    <col min="4" max="4" width="13.42578125" customWidth="1"/>
    <col min="5" max="5" width="16.28515625" style="53" customWidth="1"/>
    <col min="6" max="6" width="28.7109375" customWidth="1"/>
    <col min="7" max="7" width="17.140625" customWidth="1"/>
    <col min="8" max="8" width="14.28515625" bestFit="1" customWidth="1"/>
    <col min="9" max="9" width="15" customWidth="1"/>
    <col min="10" max="28" width="14.28515625" bestFit="1" customWidth="1"/>
    <col min="29" max="41" width="11.85546875" customWidth="1"/>
  </cols>
  <sheetData>
    <row r="1" spans="1:42" x14ac:dyDescent="0.25">
      <c r="A1" s="1"/>
      <c r="B1" s="2"/>
      <c r="C1" s="3" t="s">
        <v>191</v>
      </c>
      <c r="D1" s="3" t="s">
        <v>40</v>
      </c>
      <c r="E1" s="4"/>
      <c r="F1" s="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5"/>
    </row>
    <row r="2" spans="1:42" x14ac:dyDescent="0.25">
      <c r="A2" s="6"/>
      <c r="B2" s="7"/>
      <c r="C2" s="8"/>
      <c r="D2" s="8"/>
      <c r="E2" s="9"/>
      <c r="F2" s="9"/>
      <c r="G2" s="7"/>
      <c r="H2" s="10">
        <f>chart_start_proj</f>
        <v>2023</v>
      </c>
      <c r="I2" s="10">
        <f>H2+1</f>
        <v>2024</v>
      </c>
      <c r="J2" s="10">
        <f t="shared" ref="J2:AO2" si="0">I2+1</f>
        <v>2025</v>
      </c>
      <c r="K2" s="10">
        <f t="shared" si="0"/>
        <v>2026</v>
      </c>
      <c r="L2" s="10">
        <f t="shared" si="0"/>
        <v>2027</v>
      </c>
      <c r="M2" s="10">
        <f t="shared" si="0"/>
        <v>2028</v>
      </c>
      <c r="N2" s="10">
        <f t="shared" si="0"/>
        <v>2029</v>
      </c>
      <c r="O2" s="10">
        <f t="shared" si="0"/>
        <v>2030</v>
      </c>
      <c r="P2" s="10">
        <f t="shared" si="0"/>
        <v>2031</v>
      </c>
      <c r="Q2" s="10">
        <f t="shared" si="0"/>
        <v>2032</v>
      </c>
      <c r="R2" s="10">
        <f t="shared" si="0"/>
        <v>2033</v>
      </c>
      <c r="S2" s="10">
        <f t="shared" si="0"/>
        <v>2034</v>
      </c>
      <c r="T2" s="10">
        <f t="shared" si="0"/>
        <v>2035</v>
      </c>
      <c r="U2" s="10">
        <f t="shared" si="0"/>
        <v>2036</v>
      </c>
      <c r="V2" s="10">
        <f t="shared" si="0"/>
        <v>2037</v>
      </c>
      <c r="W2" s="10">
        <f t="shared" si="0"/>
        <v>2038</v>
      </c>
      <c r="X2" s="10">
        <f t="shared" si="0"/>
        <v>2039</v>
      </c>
      <c r="Y2" s="10">
        <f t="shared" si="0"/>
        <v>2040</v>
      </c>
      <c r="Z2" s="10">
        <f t="shared" si="0"/>
        <v>2041</v>
      </c>
      <c r="AA2" s="10">
        <f t="shared" si="0"/>
        <v>2042</v>
      </c>
      <c r="AB2" s="10">
        <f t="shared" si="0"/>
        <v>2043</v>
      </c>
      <c r="AC2" s="10">
        <f t="shared" si="0"/>
        <v>2044</v>
      </c>
      <c r="AD2" s="10">
        <f t="shared" si="0"/>
        <v>2045</v>
      </c>
      <c r="AE2" s="10">
        <f t="shared" si="0"/>
        <v>2046</v>
      </c>
      <c r="AF2" s="10">
        <f t="shared" si="0"/>
        <v>2047</v>
      </c>
      <c r="AG2" s="10">
        <f t="shared" si="0"/>
        <v>2048</v>
      </c>
      <c r="AH2" s="10">
        <f t="shared" si="0"/>
        <v>2049</v>
      </c>
      <c r="AI2" s="10">
        <f t="shared" si="0"/>
        <v>2050</v>
      </c>
      <c r="AJ2" s="10">
        <f t="shared" si="0"/>
        <v>2051</v>
      </c>
      <c r="AK2" s="10">
        <f t="shared" si="0"/>
        <v>2052</v>
      </c>
      <c r="AL2" s="10">
        <f t="shared" si="0"/>
        <v>2053</v>
      </c>
      <c r="AM2" s="10">
        <f t="shared" si="0"/>
        <v>2054</v>
      </c>
      <c r="AN2" s="10">
        <f t="shared" si="0"/>
        <v>2055</v>
      </c>
      <c r="AO2" s="10">
        <f t="shared" si="0"/>
        <v>2056</v>
      </c>
      <c r="AP2" s="11"/>
    </row>
    <row r="3" spans="1:42" x14ac:dyDescent="0.25">
      <c r="A3" s="1"/>
      <c r="B3" s="2"/>
      <c r="C3" s="148"/>
      <c r="D3" s="148"/>
      <c r="E3" s="4"/>
      <c r="F3" s="4"/>
      <c r="G3" s="2"/>
      <c r="H3" s="142">
        <v>0</v>
      </c>
      <c r="I3" s="142">
        <v>1</v>
      </c>
      <c r="J3" s="142">
        <v>2</v>
      </c>
      <c r="K3" s="142">
        <v>3</v>
      </c>
      <c r="L3" s="142">
        <v>4</v>
      </c>
      <c r="M3" s="142">
        <v>5</v>
      </c>
      <c r="N3" s="142">
        <v>6</v>
      </c>
      <c r="O3" s="142">
        <v>7</v>
      </c>
      <c r="P3" s="142">
        <v>8</v>
      </c>
      <c r="Q3" s="142">
        <v>9</v>
      </c>
      <c r="R3" s="142">
        <v>10</v>
      </c>
      <c r="S3" s="142">
        <v>11</v>
      </c>
      <c r="T3" s="142">
        <v>12</v>
      </c>
      <c r="U3" s="142">
        <v>13</v>
      </c>
      <c r="V3" s="142">
        <v>14</v>
      </c>
      <c r="W3" s="142">
        <v>15</v>
      </c>
      <c r="X3" s="142">
        <v>16</v>
      </c>
      <c r="Y3" s="142">
        <v>17</v>
      </c>
      <c r="Z3" s="142">
        <v>18</v>
      </c>
      <c r="AA3" s="142">
        <v>19</v>
      </c>
      <c r="AB3" s="142">
        <v>20</v>
      </c>
      <c r="AC3" s="142">
        <v>21</v>
      </c>
      <c r="AD3" s="142">
        <v>22</v>
      </c>
      <c r="AE3" s="142">
        <v>23</v>
      </c>
      <c r="AF3" s="142">
        <v>24</v>
      </c>
      <c r="AG3" s="142">
        <v>25</v>
      </c>
      <c r="AH3" s="142">
        <v>26</v>
      </c>
      <c r="AI3" s="142">
        <v>27</v>
      </c>
      <c r="AJ3" s="142">
        <v>28</v>
      </c>
      <c r="AK3" s="142">
        <v>29</v>
      </c>
      <c r="AL3" s="142">
        <v>30</v>
      </c>
      <c r="AM3" s="142">
        <v>31</v>
      </c>
      <c r="AN3" s="142">
        <v>32</v>
      </c>
      <c r="AO3" s="142">
        <v>33</v>
      </c>
      <c r="AP3" s="149"/>
    </row>
    <row r="4" spans="1:42" x14ac:dyDescent="0.25">
      <c r="A4" s="12"/>
      <c r="B4" s="13"/>
      <c r="C4" s="14"/>
      <c r="D4" s="14"/>
      <c r="E4" s="15"/>
      <c r="F4" s="16"/>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7"/>
    </row>
    <row r="5" spans="1:42" x14ac:dyDescent="0.25">
      <c r="A5" s="18" t="s">
        <v>192</v>
      </c>
      <c r="B5" s="19"/>
      <c r="C5" s="20" t="s">
        <v>193</v>
      </c>
      <c r="D5" s="21" t="s">
        <v>194</v>
      </c>
      <c r="E5" s="21" t="s">
        <v>110</v>
      </c>
      <c r="F5" s="22" t="s">
        <v>195</v>
      </c>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7"/>
    </row>
    <row r="6" spans="1:42" ht="27" customHeight="1" x14ac:dyDescent="0.25">
      <c r="A6" s="12"/>
      <c r="B6" s="13"/>
      <c r="C6" s="14"/>
      <c r="D6" s="14"/>
      <c r="E6" s="15"/>
      <c r="F6" s="16"/>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7"/>
    </row>
    <row r="7" spans="1:42" x14ac:dyDescent="0.25">
      <c r="A7" s="89"/>
      <c r="B7" s="89"/>
      <c r="C7" s="90" t="s">
        <v>172</v>
      </c>
      <c r="D7" s="91"/>
      <c r="E7" s="92"/>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3"/>
    </row>
    <row r="8" spans="1:42" outlineLevel="1" x14ac:dyDescent="0.25">
      <c r="A8" s="23"/>
      <c r="B8" s="23"/>
      <c r="C8" s="24" t="s">
        <v>505</v>
      </c>
      <c r="D8" s="24"/>
      <c r="E8" s="25"/>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7"/>
    </row>
    <row r="9" spans="1:42" outlineLevel="1" x14ac:dyDescent="0.25">
      <c r="A9" s="13"/>
      <c r="B9" s="13"/>
      <c r="C9" s="30"/>
      <c r="D9" s="30"/>
      <c r="E9" s="31"/>
      <c r="F9" s="16"/>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3"/>
    </row>
    <row r="10" spans="1:42" outlineLevel="1" x14ac:dyDescent="0.25">
      <c r="A10" s="12"/>
      <c r="B10" s="13"/>
      <c r="C10" s="14"/>
      <c r="D10" s="14"/>
      <c r="E10" s="15"/>
      <c r="F10" s="16"/>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7"/>
    </row>
    <row r="11" spans="1:42" outlineLevel="1" x14ac:dyDescent="0.25">
      <c r="A11" s="12"/>
      <c r="B11" s="13"/>
      <c r="C11" s="37" t="s">
        <v>506</v>
      </c>
      <c r="D11" s="37"/>
      <c r="E11" s="38"/>
      <c r="F11" s="39"/>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17"/>
    </row>
    <row r="12" spans="1:42" outlineLevel="1" x14ac:dyDescent="0.25">
      <c r="A12" s="12"/>
      <c r="B12" s="13"/>
      <c r="C12" s="136" t="s">
        <v>507</v>
      </c>
      <c r="D12" s="41"/>
      <c r="E12" s="15" t="s">
        <v>465</v>
      </c>
      <c r="F12" s="16"/>
      <c r="G12" s="14"/>
      <c r="H12" s="141"/>
      <c r="I12" s="141">
        <f>Route!I$11</f>
        <v>93600</v>
      </c>
      <c r="J12" s="141">
        <f>Route!J$11</f>
        <v>93600</v>
      </c>
      <c r="K12" s="141">
        <f>Route!K$11</f>
        <v>93600</v>
      </c>
      <c r="L12" s="141">
        <f>Route!L$11</f>
        <v>93600</v>
      </c>
      <c r="M12" s="141">
        <f>Route!M$11</f>
        <v>93600</v>
      </c>
      <c r="N12" s="141">
        <f>Route!N$11</f>
        <v>93600</v>
      </c>
      <c r="O12" s="141">
        <f>Route!O$11</f>
        <v>93600</v>
      </c>
      <c r="P12" s="141">
        <f>Route!P$11</f>
        <v>93600</v>
      </c>
      <c r="Q12" s="141">
        <f>Route!Q$11</f>
        <v>93600</v>
      </c>
      <c r="R12" s="141">
        <f>Route!R$11</f>
        <v>93600</v>
      </c>
      <c r="S12" s="141">
        <f>Route!S$11</f>
        <v>93600</v>
      </c>
      <c r="T12" s="141">
        <f>Route!T$11</f>
        <v>93600</v>
      </c>
      <c r="U12" s="141">
        <f>Route!U$11</f>
        <v>93600</v>
      </c>
      <c r="V12" s="141">
        <f>Route!V$11</f>
        <v>93600</v>
      </c>
      <c r="W12" s="141">
        <f>Route!W$11</f>
        <v>93600</v>
      </c>
      <c r="X12" s="141">
        <f>Route!X$11</f>
        <v>93600</v>
      </c>
      <c r="Y12" s="141">
        <f>Route!Y$11</f>
        <v>93600</v>
      </c>
      <c r="Z12" s="141">
        <f>Route!Z$11</f>
        <v>93600</v>
      </c>
      <c r="AA12" s="141">
        <f>Route!AA$11</f>
        <v>93600</v>
      </c>
      <c r="AB12" s="141">
        <f>Route!AB$11</f>
        <v>93600</v>
      </c>
      <c r="AC12" s="141">
        <f>Route!AC$11</f>
        <v>93600</v>
      </c>
      <c r="AD12" s="141">
        <f>Route!AD$11</f>
        <v>93600</v>
      </c>
      <c r="AE12" s="141">
        <f>Route!AE$11</f>
        <v>93600</v>
      </c>
      <c r="AF12" s="141">
        <f>Route!AF$11</f>
        <v>93600</v>
      </c>
      <c r="AG12" s="141">
        <f>Route!AG$11</f>
        <v>93600</v>
      </c>
      <c r="AH12" s="141">
        <f>Route!AH$11</f>
        <v>93600</v>
      </c>
      <c r="AI12" s="141">
        <f>Route!AI$11</f>
        <v>93600</v>
      </c>
      <c r="AJ12" s="141">
        <f>Route!AJ$11</f>
        <v>93600</v>
      </c>
      <c r="AK12" s="141">
        <f>Route!AK$11</f>
        <v>93600</v>
      </c>
      <c r="AL12" s="141">
        <f>Route!AL$11</f>
        <v>93600</v>
      </c>
      <c r="AM12" s="141">
        <f>Route!AM$11</f>
        <v>93600</v>
      </c>
      <c r="AN12" s="141">
        <f>Route!AN$11</f>
        <v>93600</v>
      </c>
      <c r="AO12" s="141">
        <f>Route!AO$11</f>
        <v>93600</v>
      </c>
      <c r="AP12" s="17"/>
    </row>
    <row r="13" spans="1:42" outlineLevel="1" x14ac:dyDescent="0.25">
      <c r="A13" s="12"/>
      <c r="B13" s="13"/>
      <c r="C13" s="136" t="s">
        <v>534</v>
      </c>
      <c r="D13" s="41"/>
      <c r="E13" s="15" t="s">
        <v>465</v>
      </c>
      <c r="F13" s="16"/>
      <c r="G13" s="14"/>
      <c r="H13" s="141"/>
      <c r="I13" s="159">
        <f>IF(COUNT($I$3:I3)&lt;=(Dashboard!$I$31),I12,0)</f>
        <v>93600</v>
      </c>
      <c r="J13" s="159">
        <f>IF(COUNT($I$3:J3)&lt;=(Dashboard!$I$31),J12,0)</f>
        <v>93600</v>
      </c>
      <c r="K13" s="159">
        <f>IF(COUNT($I$3:K3)&lt;=(Dashboard!$I$31),K12,0)</f>
        <v>93600</v>
      </c>
      <c r="L13" s="159">
        <f>IF(COUNT($I$3:L3)&lt;=(Dashboard!$I$31),L12,0)</f>
        <v>93600</v>
      </c>
      <c r="M13" s="159">
        <f>IF(COUNT($I$3:M3)&lt;=(Dashboard!$I$31),M12,0)</f>
        <v>93600</v>
      </c>
      <c r="N13" s="159">
        <f>IF(COUNT($I$3:N3)&lt;=(Dashboard!$I$31),N12,0)</f>
        <v>93600</v>
      </c>
      <c r="O13" s="159">
        <f>IF(COUNT($I$3:O3)&lt;=(Dashboard!$I$31),O12,0)</f>
        <v>93600</v>
      </c>
      <c r="P13" s="159">
        <f>IF(COUNT($I$3:P3)&lt;=(Dashboard!$I$31),P12,0)</f>
        <v>93600</v>
      </c>
      <c r="Q13" s="159">
        <f>IF(COUNT($I$3:Q3)&lt;=(Dashboard!$I$31),Q12,0)</f>
        <v>93600</v>
      </c>
      <c r="R13" s="159">
        <f>IF(COUNT($I$3:R3)&lt;=(Dashboard!$I$31),R12,0)</f>
        <v>93600</v>
      </c>
      <c r="S13" s="159">
        <f>IF(COUNT($I$3:S3)&lt;=(Dashboard!$I$31),S12,0)</f>
        <v>93600</v>
      </c>
      <c r="T13" s="159">
        <f>IF(COUNT($I$3:T3)&lt;=(Dashboard!$I$31),T12,0)</f>
        <v>93600</v>
      </c>
      <c r="U13" s="159">
        <f>IF(COUNT($I$3:U3)&lt;=(Dashboard!$I$31),U12,0)</f>
        <v>0</v>
      </c>
      <c r="V13" s="159">
        <f>IF(COUNT($I$3:V3)&lt;=(Dashboard!$I$31),V12,0)</f>
        <v>0</v>
      </c>
      <c r="W13" s="159">
        <f>IF(COUNT($I$3:W3)&lt;=(Dashboard!$I$31),W12,0)</f>
        <v>0</v>
      </c>
      <c r="X13" s="159">
        <f>IF(COUNT($I$3:X3)&lt;=(Dashboard!$I$31),X12,0)</f>
        <v>0</v>
      </c>
      <c r="Y13" s="159">
        <f>IF(COUNT($I$3:Y3)&lt;=(Dashboard!$I$31),Y12,0)</f>
        <v>0</v>
      </c>
      <c r="Z13" s="159">
        <f>IF(COUNT($I$3:Z3)&lt;=(Dashboard!$I$31),Z12,0)</f>
        <v>0</v>
      </c>
      <c r="AA13" s="159">
        <f>IF(COUNT($I$3:AA3)&lt;=(Dashboard!$I$31),AA12,0)</f>
        <v>0</v>
      </c>
      <c r="AB13" s="159">
        <f>IF(COUNT($I$3:AB3)&lt;=(Dashboard!$I$31),AB12,0)</f>
        <v>0</v>
      </c>
      <c r="AC13" s="159">
        <f>IF(COUNT($I$3:AC3)&lt;=(Dashboard!$I$31),AC12,0)</f>
        <v>0</v>
      </c>
      <c r="AD13" s="159">
        <f>IF(COUNT($I$3:AD3)&lt;=(Dashboard!$I$31),AD12,0)</f>
        <v>0</v>
      </c>
      <c r="AE13" s="159">
        <f>IF(COUNT($I$3:AE3)&lt;=(Dashboard!$I$31),AE12,0)</f>
        <v>0</v>
      </c>
      <c r="AF13" s="159">
        <f>IF(COUNT($I$3:AF3)&lt;=(Dashboard!$I$31),AF12,0)</f>
        <v>0</v>
      </c>
      <c r="AG13" s="159">
        <f>IF(COUNT($I$3:AG3)&lt;=(Dashboard!$I$31),AG12,0)</f>
        <v>0</v>
      </c>
      <c r="AH13" s="159">
        <f>IF(COUNT($I$3:AH3)&lt;=(Dashboard!$I$31),AH12,0)</f>
        <v>0</v>
      </c>
      <c r="AI13" s="159">
        <f>IF(COUNT($I$3:AI3)&lt;=(Dashboard!$I$31),AI12,0)</f>
        <v>0</v>
      </c>
      <c r="AJ13" s="159">
        <f>IF(COUNT($I$3:AJ3)&lt;=(Dashboard!$I$31),AJ12,0)</f>
        <v>0</v>
      </c>
      <c r="AK13" s="159">
        <f>IF(COUNT($I$3:AK3)&lt;=(Dashboard!$I$31),AK12,0)</f>
        <v>0</v>
      </c>
      <c r="AL13" s="159">
        <f>IF(COUNT($I$3:AL3)&lt;=(Dashboard!$I$31),AL12,0)</f>
        <v>0</v>
      </c>
      <c r="AM13" s="159">
        <f>IF(COUNT($I$3:AM3)&lt;=(Dashboard!$I$31),AM12,0)</f>
        <v>0</v>
      </c>
      <c r="AN13" s="159">
        <f>IF(COUNT($I$3:AN3)&lt;=(Dashboard!$I$31),AN12,0)</f>
        <v>0</v>
      </c>
      <c r="AO13" s="159">
        <f>IF(COUNT($I$3:AO3)&lt;=(Dashboard!$I$31),AO12,0)</f>
        <v>0</v>
      </c>
      <c r="AP13" s="17"/>
    </row>
    <row r="14" spans="1:42" outlineLevel="1" x14ac:dyDescent="0.25">
      <c r="A14" s="12"/>
      <c r="B14" s="13"/>
      <c r="C14" s="14"/>
      <c r="D14" s="14"/>
      <c r="E14" s="15"/>
      <c r="F14" s="16"/>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7"/>
    </row>
    <row r="15" spans="1:42" outlineLevel="1" x14ac:dyDescent="0.25">
      <c r="A15" s="12"/>
      <c r="B15" s="13"/>
      <c r="C15" s="37" t="s">
        <v>508</v>
      </c>
      <c r="D15" s="37"/>
      <c r="E15" s="38"/>
      <c r="F15" s="39"/>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17"/>
    </row>
    <row r="16" spans="1:42" outlineLevel="1" x14ac:dyDescent="0.25">
      <c r="A16" s="12"/>
      <c r="B16" s="13"/>
      <c r="C16" s="95" t="s">
        <v>254</v>
      </c>
      <c r="D16" s="14"/>
      <c r="E16" s="15"/>
      <c r="F16" s="16"/>
      <c r="G16" s="14"/>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29"/>
    </row>
    <row r="17" spans="1:42" outlineLevel="1" x14ac:dyDescent="0.25">
      <c r="A17" s="12"/>
      <c r="B17" s="13"/>
      <c r="C17" s="96" t="s">
        <v>120</v>
      </c>
      <c r="D17" s="14"/>
      <c r="E17" s="15" t="s">
        <v>142</v>
      </c>
      <c r="F17" s="158" t="str">
        <f>Dashboard!$I$43</f>
        <v>2 Axle rigid</v>
      </c>
      <c r="G17" s="14"/>
      <c r="H17" s="150">
        <f>IF(C17=F17,Data!$E$189,0)</f>
        <v>19041.599999999999</v>
      </c>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29"/>
    </row>
    <row r="18" spans="1:42" outlineLevel="1" x14ac:dyDescent="0.25">
      <c r="A18" s="12"/>
      <c r="B18" s="13"/>
      <c r="C18" s="96" t="s">
        <v>124</v>
      </c>
      <c r="D18" s="14"/>
      <c r="E18" s="15" t="s">
        <v>142</v>
      </c>
      <c r="F18" s="158" t="str">
        <f>Dashboard!$I$43</f>
        <v>2 Axle rigid</v>
      </c>
      <c r="G18" s="14"/>
      <c r="H18" s="150">
        <f>IF(C18=F18,Data!$E$190,0)</f>
        <v>0</v>
      </c>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29"/>
    </row>
    <row r="19" spans="1:42" outlineLevel="1" x14ac:dyDescent="0.25">
      <c r="A19" s="12"/>
      <c r="B19" s="13"/>
      <c r="C19" s="96" t="s">
        <v>126</v>
      </c>
      <c r="D19" s="14"/>
      <c r="E19" s="15" t="s">
        <v>142</v>
      </c>
      <c r="F19" s="158" t="str">
        <f>Dashboard!$I$43</f>
        <v>2 Axle rigid</v>
      </c>
      <c r="G19" s="14"/>
      <c r="H19" s="150">
        <f>IF(C19=F19,Data!$E$191,0)</f>
        <v>0</v>
      </c>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29"/>
    </row>
    <row r="20" spans="1:42" outlineLevel="1" x14ac:dyDescent="0.25">
      <c r="A20" s="12"/>
      <c r="B20" s="13"/>
      <c r="C20" s="20" t="s">
        <v>509</v>
      </c>
      <c r="D20" s="14"/>
      <c r="E20" s="15" t="s">
        <v>142</v>
      </c>
      <c r="F20" s="16"/>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7"/>
    </row>
    <row r="21" spans="1:42" outlineLevel="1" x14ac:dyDescent="0.25">
      <c r="A21" s="12"/>
      <c r="B21" s="13"/>
      <c r="C21" s="45"/>
      <c r="D21" s="45"/>
      <c r="E21" s="15"/>
      <c r="F21" s="16"/>
      <c r="G21" s="14"/>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9"/>
    </row>
    <row r="22" spans="1:42" outlineLevel="1" x14ac:dyDescent="0.25">
      <c r="A22" s="12"/>
      <c r="B22" s="13"/>
      <c r="C22" s="19" t="s">
        <v>510</v>
      </c>
      <c r="D22" s="45"/>
      <c r="E22" s="15"/>
      <c r="F22" s="16"/>
      <c r="G22" s="14"/>
      <c r="H22" s="182">
        <f>SUM(H17:H21)</f>
        <v>19041.599999999999</v>
      </c>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9"/>
    </row>
    <row r="23" spans="1:42" s="140" customFormat="1" outlineLevel="1" x14ac:dyDescent="0.25">
      <c r="A23" s="78"/>
      <c r="B23" s="19"/>
      <c r="C23" s="95" t="s">
        <v>511</v>
      </c>
      <c r="D23" s="20"/>
      <c r="E23" s="21"/>
      <c r="F23" s="48"/>
      <c r="G23" s="20"/>
      <c r="H23" s="20"/>
      <c r="I23" s="244">
        <f>IF(I13&gt;0,-PMT(Data!$E$10,Dashboard!$I$31,'H2 Blending'!$H$22,0,0),0)</f>
        <v>2028.923851418815</v>
      </c>
      <c r="J23" s="244">
        <f>IF(J13&gt;0,-PMT(Data!$E$10,Dashboard!$I$31,'H2 Blending'!$H$22,0,0),0)</f>
        <v>2028.923851418815</v>
      </c>
      <c r="K23" s="244">
        <f>IF(K13&gt;0,-PMT(Data!$E$10,Dashboard!$I$31,'H2 Blending'!$H$22,0,0),0)</f>
        <v>2028.923851418815</v>
      </c>
      <c r="L23" s="244">
        <f>IF(L13&gt;0,-PMT(Data!$E$10,Dashboard!$I$31,'H2 Blending'!$H$22,0,0),0)</f>
        <v>2028.923851418815</v>
      </c>
      <c r="M23" s="244">
        <f>IF(M13&gt;0,-PMT(Data!$E$10,Dashboard!$I$31,'H2 Blending'!$H$22,0,0),0)</f>
        <v>2028.923851418815</v>
      </c>
      <c r="N23" s="244">
        <f>IF(N13&gt;0,-PMT(Data!$E$10,Dashboard!$I$31,'H2 Blending'!$H$22,0,0),0)</f>
        <v>2028.923851418815</v>
      </c>
      <c r="O23" s="244">
        <f>IF(O13&gt;0,-PMT(Data!$E$10,Dashboard!$I$31,'H2 Blending'!$H$22,0,0),0)</f>
        <v>2028.923851418815</v>
      </c>
      <c r="P23" s="244">
        <f>IF(P13&gt;0,-PMT(Data!$E$10,Dashboard!$I$31,'H2 Blending'!$H$22,0,0),0)</f>
        <v>2028.923851418815</v>
      </c>
      <c r="Q23" s="244">
        <f>IF(Q13&gt;0,-PMT(Data!$E$10,Dashboard!$I$31,'H2 Blending'!$H$22,0,0),0)</f>
        <v>2028.923851418815</v>
      </c>
      <c r="R23" s="244">
        <f>IF(R13&gt;0,-PMT(Data!$E$10,Dashboard!$I$31,'H2 Blending'!$H$22,0,0),0)</f>
        <v>2028.923851418815</v>
      </c>
      <c r="S23" s="244">
        <f>IF(S13&gt;0,-PMT(Data!$E$10,Dashboard!$I$31,'H2 Blending'!$H$22,0,0),0)</f>
        <v>2028.923851418815</v>
      </c>
      <c r="T23" s="244">
        <f>IF(T13&gt;0,-PMT(Data!$E$10,Dashboard!$I$31,'H2 Blending'!$H$22,0,0),0)</f>
        <v>2028.923851418815</v>
      </c>
      <c r="U23" s="244"/>
      <c r="V23" s="244"/>
      <c r="W23" s="244"/>
      <c r="X23" s="244"/>
      <c r="Y23" s="244"/>
      <c r="Z23" s="244"/>
      <c r="AA23" s="244"/>
      <c r="AB23" s="244"/>
      <c r="AC23" s="244"/>
      <c r="AD23" s="244"/>
      <c r="AE23" s="244"/>
      <c r="AF23" s="244"/>
      <c r="AG23" s="244"/>
      <c r="AH23" s="244"/>
      <c r="AI23" s="244"/>
      <c r="AJ23" s="20"/>
      <c r="AK23" s="20"/>
      <c r="AL23" s="20"/>
      <c r="AM23" s="20"/>
      <c r="AN23" s="20"/>
      <c r="AO23" s="20"/>
      <c r="AP23" s="370"/>
    </row>
    <row r="24" spans="1:42" outlineLevel="1" x14ac:dyDescent="0.25">
      <c r="A24" s="12"/>
      <c r="B24" s="13"/>
      <c r="C24" s="37" t="s">
        <v>472</v>
      </c>
      <c r="D24" s="37"/>
      <c r="E24" s="38"/>
      <c r="F24" s="39"/>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17"/>
    </row>
    <row r="25" spans="1:42" outlineLevel="1" x14ac:dyDescent="0.25">
      <c r="A25" s="12"/>
      <c r="B25" s="13"/>
      <c r="C25" s="44" t="s">
        <v>258</v>
      </c>
      <c r="D25" s="44"/>
      <c r="E25" s="15"/>
      <c r="F25" s="16"/>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7"/>
    </row>
    <row r="26" spans="1:42" outlineLevel="1" x14ac:dyDescent="0.25">
      <c r="A26" s="12"/>
      <c r="B26" s="13"/>
      <c r="C26" s="45" t="s">
        <v>120</v>
      </c>
      <c r="D26" s="45"/>
      <c r="E26" s="15" t="s">
        <v>474</v>
      </c>
      <c r="F26" s="158" t="str">
        <f>Dashboard!$I$43</f>
        <v>2 Axle rigid</v>
      </c>
      <c r="G26" s="14"/>
      <c r="H26" s="177"/>
      <c r="I26" s="177">
        <f>IF($C$26=$F$26,Data!$E$195*I$13,0)</f>
        <v>70200</v>
      </c>
      <c r="J26" s="177">
        <f>IF($C$26=$F$26,Data!$E$195*J$13,0)</f>
        <v>70200</v>
      </c>
      <c r="K26" s="177">
        <f>IF($C$26=$F$26,Data!$E$195*K$13,0)</f>
        <v>70200</v>
      </c>
      <c r="L26" s="177">
        <f>IF($C$26=$F$26,Data!$E$195*L$13,0)</f>
        <v>70200</v>
      </c>
      <c r="M26" s="177">
        <f>IF($C$26=$F$26,Data!$E$195*M$13,0)</f>
        <v>70200</v>
      </c>
      <c r="N26" s="177">
        <f>IF($C$26=$F$26,Data!$E$195*N$13,0)</f>
        <v>70200</v>
      </c>
      <c r="O26" s="177">
        <f>IF($C$26=$F$26,Data!$E$195*O$13,0)</f>
        <v>70200</v>
      </c>
      <c r="P26" s="177">
        <f>IF($C$26=$F$26,Data!$E$195*P$13,0)</f>
        <v>70200</v>
      </c>
      <c r="Q26" s="177">
        <f>IF($C$26=$F$26,Data!$E$195*Q$13,0)</f>
        <v>70200</v>
      </c>
      <c r="R26" s="177">
        <f>IF($C$26=$F$26,Data!$E$195*R$13,0)</f>
        <v>70200</v>
      </c>
      <c r="S26" s="177">
        <f>IF($C$26=$F$26,Data!$E$195*S$13,0)</f>
        <v>70200</v>
      </c>
      <c r="T26" s="177">
        <f>IF($C$26=$F$26,Data!$E$195*T$13,0)</f>
        <v>70200</v>
      </c>
      <c r="U26" s="177">
        <f>IF($C$26=$F$26,Data!$E$195*U$13,0)</f>
        <v>0</v>
      </c>
      <c r="V26" s="177">
        <f>IF($C$26=$F$26,Data!$E$195*V$13,0)</f>
        <v>0</v>
      </c>
      <c r="W26" s="177">
        <f>IF($C$26=$F$26,Data!$E$195*W$13,0)</f>
        <v>0</v>
      </c>
      <c r="X26" s="177">
        <f>IF($C$26=$F$26,Data!$E$195*X$13,0)</f>
        <v>0</v>
      </c>
      <c r="Y26" s="177">
        <f>IF($C$26=$F$26,Data!$E$195*Y$13,0)</f>
        <v>0</v>
      </c>
      <c r="Z26" s="177">
        <f>IF($C$26=$F$26,Data!$E$195*Z$13,0)</f>
        <v>0</v>
      </c>
      <c r="AA26" s="177">
        <f>IF($C$26=$F$26,Data!$E$195*AA$13,0)</f>
        <v>0</v>
      </c>
      <c r="AB26" s="177">
        <f>IF($C$26=$F$26,Data!$E$195*AB$13,0)</f>
        <v>0</v>
      </c>
      <c r="AC26" s="177">
        <f>IF($C$26=$F$26,Data!$E$195*AC$13,0)</f>
        <v>0</v>
      </c>
      <c r="AD26" s="177">
        <f>IF($C$26=$F$26,Data!$E$195*AD$13,0)</f>
        <v>0</v>
      </c>
      <c r="AE26" s="177">
        <f>IF($C$26=$F$26,Data!$E$195*AE$13,0)</f>
        <v>0</v>
      </c>
      <c r="AF26" s="177">
        <f>IF($C$26=$F$26,Data!$E$195*AF$13,0)</f>
        <v>0</v>
      </c>
      <c r="AG26" s="177">
        <f>IF($C$26=$F$26,Data!$E$195*AG$13,0)</f>
        <v>0</v>
      </c>
      <c r="AH26" s="177">
        <f>IF($C$26=$F$26,Data!$E$195*AH$13,0)</f>
        <v>0</v>
      </c>
      <c r="AI26" s="177">
        <f>IF($C$26=$F$26,Data!$E$195*AI$13,0)</f>
        <v>0</v>
      </c>
      <c r="AJ26" s="177">
        <f>IF($C$26=$F$26,Data!$E$195*AJ$13,0)</f>
        <v>0</v>
      </c>
      <c r="AK26" s="177">
        <f>IF($C$26=$F$26,Data!$E$195*AK$13,0)</f>
        <v>0</v>
      </c>
      <c r="AL26" s="177">
        <f>IF($C$26=$F$26,Data!$E$195*AL$13,0)</f>
        <v>0</v>
      </c>
      <c r="AM26" s="177">
        <f>IF($C$26=$F$26,Data!$E$195*AM$13,0)</f>
        <v>0</v>
      </c>
      <c r="AN26" s="177">
        <f>IF($C$26=$F$26,Data!$E$195*AN$13,0)</f>
        <v>0</v>
      </c>
      <c r="AO26" s="177">
        <f>IF($C$26=$F$26,Data!$E$195*AO$13,0)</f>
        <v>0</v>
      </c>
      <c r="AP26" s="29"/>
    </row>
    <row r="27" spans="1:42" outlineLevel="1" x14ac:dyDescent="0.25">
      <c r="A27" s="12"/>
      <c r="B27" s="13"/>
      <c r="C27" s="45" t="s">
        <v>124</v>
      </c>
      <c r="D27" s="45"/>
      <c r="E27" s="15" t="s">
        <v>474</v>
      </c>
      <c r="F27" s="158" t="str">
        <f>Dashboard!$I$43</f>
        <v>2 Axle rigid</v>
      </c>
      <c r="G27" s="14"/>
      <c r="H27" s="177"/>
      <c r="I27" s="177">
        <f>IF($C$27=$F$27,Data!$E$196*I$13,0)</f>
        <v>0</v>
      </c>
      <c r="J27" s="177">
        <f>IF($C$27=$F$27,Data!$E$196*J$13,0)</f>
        <v>0</v>
      </c>
      <c r="K27" s="177">
        <f>IF($C$27=$F$27,Data!$E$196*K$13,0)</f>
        <v>0</v>
      </c>
      <c r="L27" s="177">
        <f>IF($C$27=$F$27,Data!$E$196*L$13,0)</f>
        <v>0</v>
      </c>
      <c r="M27" s="177">
        <f>IF($C$27=$F$27,Data!$E$196*M$13,0)</f>
        <v>0</v>
      </c>
      <c r="N27" s="177">
        <f>IF($C$27=$F$27,Data!$E$196*N$13,0)</f>
        <v>0</v>
      </c>
      <c r="O27" s="177">
        <f>IF($C$27=$F$27,Data!$E$196*O$13,0)</f>
        <v>0</v>
      </c>
      <c r="P27" s="177">
        <f>IF($C$27=$F$27,Data!$E$196*P$13,0)</f>
        <v>0</v>
      </c>
      <c r="Q27" s="177">
        <f>IF($C$27=$F$27,Data!$E$196*Q$13,0)</f>
        <v>0</v>
      </c>
      <c r="R27" s="177">
        <f>IF($C$27=$F$27,Data!$E$196*R$13,0)</f>
        <v>0</v>
      </c>
      <c r="S27" s="177">
        <f>IF($C$27=$F$27,Data!$E$196*S$13,0)</f>
        <v>0</v>
      </c>
      <c r="T27" s="177">
        <f>IF($C$27=$F$27,Data!$E$196*T$13,0)</f>
        <v>0</v>
      </c>
      <c r="U27" s="177">
        <f>IF($C$27=$F$27,Data!$E$196*U$13,0)</f>
        <v>0</v>
      </c>
      <c r="V27" s="177">
        <f>IF($C$27=$F$27,Data!$E$196*V$13,0)</f>
        <v>0</v>
      </c>
      <c r="W27" s="177">
        <f>IF($C$27=$F$27,Data!$E$196*W$13,0)</f>
        <v>0</v>
      </c>
      <c r="X27" s="177">
        <f>IF($C$27=$F$27,Data!$E$196*X$13,0)</f>
        <v>0</v>
      </c>
      <c r="Y27" s="177">
        <f>IF($C$27=$F$27,Data!$E$196*Y$13,0)</f>
        <v>0</v>
      </c>
      <c r="Z27" s="177">
        <f>IF($C$27=$F$27,Data!$E$196*Z$13,0)</f>
        <v>0</v>
      </c>
      <c r="AA27" s="177">
        <f>IF($C$27=$F$27,Data!$E$196*AA$13,0)</f>
        <v>0</v>
      </c>
      <c r="AB27" s="177">
        <f>IF($C$27=$F$27,Data!$E$196*AB$13,0)</f>
        <v>0</v>
      </c>
      <c r="AC27" s="177">
        <f>IF($C$27=$F$27,Data!$E$196*AC$13,0)</f>
        <v>0</v>
      </c>
      <c r="AD27" s="177">
        <f>IF($C$27=$F$27,Data!$E$196*AD$13,0)</f>
        <v>0</v>
      </c>
      <c r="AE27" s="177">
        <f>IF($C$27=$F$27,Data!$E$196*AE$13,0)</f>
        <v>0</v>
      </c>
      <c r="AF27" s="177">
        <f>IF($C$27=$F$27,Data!$E$196*AF$13,0)</f>
        <v>0</v>
      </c>
      <c r="AG27" s="177">
        <f>IF($C$27=$F$27,Data!$E$196*AG$13,0)</f>
        <v>0</v>
      </c>
      <c r="AH27" s="177">
        <f>IF($C$27=$F$27,Data!$E$196*AH$13,0)</f>
        <v>0</v>
      </c>
      <c r="AI27" s="177">
        <f>IF($C$27=$F$27,Data!$E$196*AI$13,0)</f>
        <v>0</v>
      </c>
      <c r="AJ27" s="177">
        <f>IF($C$27=$F$27,Data!$E$196*AJ$13,0)</f>
        <v>0</v>
      </c>
      <c r="AK27" s="177">
        <f>IF($C$27=$F$27,Data!$E$196*AK$13,0)</f>
        <v>0</v>
      </c>
      <c r="AL27" s="177">
        <f>IF($C$27=$F$27,Data!$E$196*AL$13,0)</f>
        <v>0</v>
      </c>
      <c r="AM27" s="177">
        <f>IF($C$27=$F$27,Data!$E$196*AM$13,0)</f>
        <v>0</v>
      </c>
      <c r="AN27" s="177">
        <f>IF($C$27=$F$27,Data!$E$196*AN$13,0)</f>
        <v>0</v>
      </c>
      <c r="AO27" s="177">
        <f>IF($C$27=$F$27,Data!$E$196*AO$13,0)</f>
        <v>0</v>
      </c>
      <c r="AP27" s="29"/>
    </row>
    <row r="28" spans="1:42" outlineLevel="1" x14ac:dyDescent="0.25">
      <c r="A28" s="12"/>
      <c r="B28" s="13"/>
      <c r="C28" s="45" t="s">
        <v>126</v>
      </c>
      <c r="D28" s="45"/>
      <c r="E28" s="15" t="s">
        <v>474</v>
      </c>
      <c r="F28" s="158" t="str">
        <f>Dashboard!$I$43</f>
        <v>2 Axle rigid</v>
      </c>
      <c r="G28" s="14"/>
      <c r="H28" s="177"/>
      <c r="I28" s="177">
        <f>IF($C$28=$F$28,Data!$E$197*I$13,0)</f>
        <v>0</v>
      </c>
      <c r="J28" s="177">
        <f>IF($C$28=$F$28,Data!$E$197*J$13,0)</f>
        <v>0</v>
      </c>
      <c r="K28" s="177">
        <f>IF($C$28=$F$28,Data!$E$197*K$13,0)</f>
        <v>0</v>
      </c>
      <c r="L28" s="177">
        <f>IF($C$28=$F$28,Data!$E$197*L$13,0)</f>
        <v>0</v>
      </c>
      <c r="M28" s="177">
        <f>IF($C$28=$F$28,Data!$E$197*M$13,0)</f>
        <v>0</v>
      </c>
      <c r="N28" s="177">
        <f>IF($C$28=$F$28,Data!$E$197*N$13,0)</f>
        <v>0</v>
      </c>
      <c r="O28" s="177">
        <f>IF($C$28=$F$28,Data!$E$197*O$13,0)</f>
        <v>0</v>
      </c>
      <c r="P28" s="177">
        <f>IF($C$28=$F$28,Data!$E$197*P$13,0)</f>
        <v>0</v>
      </c>
      <c r="Q28" s="177">
        <f>IF($C$28=$F$28,Data!$E$197*Q$13,0)</f>
        <v>0</v>
      </c>
      <c r="R28" s="177">
        <f>IF($C$28=$F$28,Data!$E$197*R$13,0)</f>
        <v>0</v>
      </c>
      <c r="S28" s="177">
        <f>IF($C$28=$F$28,Data!$E$197*S$13,0)</f>
        <v>0</v>
      </c>
      <c r="T28" s="177">
        <f>IF($C$28=$F$28,Data!$E$197*T$13,0)</f>
        <v>0</v>
      </c>
      <c r="U28" s="177">
        <f>IF($C$28=$F$28,Data!$E$197*U$13,0)</f>
        <v>0</v>
      </c>
      <c r="V28" s="177">
        <f>IF($C$28=$F$28,Data!$E$197*V$13,0)</f>
        <v>0</v>
      </c>
      <c r="W28" s="177">
        <f>IF($C$28=$F$28,Data!$E$197*W$13,0)</f>
        <v>0</v>
      </c>
      <c r="X28" s="177">
        <f>IF($C$28=$F$28,Data!$E$197*X$13,0)</f>
        <v>0</v>
      </c>
      <c r="Y28" s="177">
        <f>IF($C$28=$F$28,Data!$E$197*Y$13,0)</f>
        <v>0</v>
      </c>
      <c r="Z28" s="177">
        <f>IF($C$28=$F$28,Data!$E$197*Z$13,0)</f>
        <v>0</v>
      </c>
      <c r="AA28" s="177">
        <f>IF($C$28=$F$28,Data!$E$197*AA$13,0)</f>
        <v>0</v>
      </c>
      <c r="AB28" s="177">
        <f>IF($C$28=$F$28,Data!$E$197*AB$13,0)</f>
        <v>0</v>
      </c>
      <c r="AC28" s="177">
        <f>IF($C$28=$F$28,Data!$E$197*AC$13,0)</f>
        <v>0</v>
      </c>
      <c r="AD28" s="177">
        <f>IF($C$28=$F$28,Data!$E$197*AD$13,0)</f>
        <v>0</v>
      </c>
      <c r="AE28" s="177">
        <f>IF($C$28=$F$28,Data!$E$197*AE$13,0)</f>
        <v>0</v>
      </c>
      <c r="AF28" s="177">
        <f>IF($C$28=$F$28,Data!$E$197*AF$13,0)</f>
        <v>0</v>
      </c>
      <c r="AG28" s="177">
        <f>IF($C$28=$F$28,Data!$E$197*AG$13,0)</f>
        <v>0</v>
      </c>
      <c r="AH28" s="177">
        <f>IF($C$28=$F$28,Data!$E$197*AH$13,0)</f>
        <v>0</v>
      </c>
      <c r="AI28" s="177">
        <f>IF($C$28=$F$28,Data!$E$197*AI$13,0)</f>
        <v>0</v>
      </c>
      <c r="AJ28" s="177">
        <f>IF($C$28=$F$28,Data!$E$197*AJ$13,0)</f>
        <v>0</v>
      </c>
      <c r="AK28" s="177">
        <f>IF($C$28=$F$28,Data!$E$197*AK$13,0)</f>
        <v>0</v>
      </c>
      <c r="AL28" s="177">
        <f>IF($C$28=$F$28,Data!$E$197*AL$13,0)</f>
        <v>0</v>
      </c>
      <c r="AM28" s="177">
        <f>IF($C$28=$F$28,Data!$E$197*AM$13,0)</f>
        <v>0</v>
      </c>
      <c r="AN28" s="177">
        <f>IF($C$28=$F$28,Data!$E$197*AN$13,0)</f>
        <v>0</v>
      </c>
      <c r="AO28" s="177">
        <f>IF($C$28=$F$28,Data!$E$197*AO$13,0)</f>
        <v>0</v>
      </c>
      <c r="AP28" s="29"/>
    </row>
    <row r="29" spans="1:42" outlineLevel="1" x14ac:dyDescent="0.25">
      <c r="A29" s="12"/>
      <c r="B29" s="13"/>
      <c r="C29" s="45"/>
      <c r="D29" s="45"/>
      <c r="E29" s="15"/>
      <c r="F29" s="16"/>
      <c r="G29" s="14"/>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9"/>
    </row>
    <row r="30" spans="1:42" outlineLevel="1" x14ac:dyDescent="0.25">
      <c r="A30" s="12"/>
      <c r="B30" s="13"/>
      <c r="C30" s="44" t="s">
        <v>532</v>
      </c>
      <c r="D30" s="45"/>
      <c r="E30" s="15" t="s">
        <v>318</v>
      </c>
      <c r="F30" s="16"/>
      <c r="G30" s="14"/>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9"/>
    </row>
    <row r="31" spans="1:42" outlineLevel="1" x14ac:dyDescent="0.25">
      <c r="A31" s="12"/>
      <c r="B31" s="13"/>
      <c r="C31" s="44" t="s">
        <v>260</v>
      </c>
      <c r="D31" s="14"/>
      <c r="E31" s="15" t="s">
        <v>318</v>
      </c>
      <c r="F31" s="16"/>
      <c r="G31" s="14"/>
      <c r="H31" s="151"/>
      <c r="I31" s="151">
        <f>Data!$E$199*I$13</f>
        <v>33733.440000000002</v>
      </c>
      <c r="J31" s="151">
        <f>Data!$E$199*J$13</f>
        <v>33733.440000000002</v>
      </c>
      <c r="K31" s="151">
        <f>Data!$E$199*K$13</f>
        <v>33733.440000000002</v>
      </c>
      <c r="L31" s="151">
        <f>Data!$E$199*L$13</f>
        <v>33733.440000000002</v>
      </c>
      <c r="M31" s="151">
        <f>Data!$E$199*M$13</f>
        <v>33733.440000000002</v>
      </c>
      <c r="N31" s="151">
        <f>Data!$E$199*N$13</f>
        <v>33733.440000000002</v>
      </c>
      <c r="O31" s="151">
        <f>Data!$E$199*O$13</f>
        <v>33733.440000000002</v>
      </c>
      <c r="P31" s="151">
        <f>Data!$E$199*P$13</f>
        <v>33733.440000000002</v>
      </c>
      <c r="Q31" s="151">
        <f>Data!$E$199*Q$13</f>
        <v>33733.440000000002</v>
      </c>
      <c r="R31" s="151">
        <f>Data!$E$199*R$13</f>
        <v>33733.440000000002</v>
      </c>
      <c r="S31" s="151">
        <f>Data!$E$199*S$13</f>
        <v>33733.440000000002</v>
      </c>
      <c r="T31" s="151">
        <f>Data!$E$199*T$13</f>
        <v>33733.440000000002</v>
      </c>
      <c r="U31" s="151">
        <f>Data!$E$199*U$13</f>
        <v>0</v>
      </c>
      <c r="V31" s="151">
        <f>Data!$E$199*V$13</f>
        <v>0</v>
      </c>
      <c r="W31" s="151">
        <f>Data!$E$199*W$13</f>
        <v>0</v>
      </c>
      <c r="X31" s="151">
        <f>Data!$E$199*X$13</f>
        <v>0</v>
      </c>
      <c r="Y31" s="151">
        <f>Data!$E$199*Y$13</f>
        <v>0</v>
      </c>
      <c r="Z31" s="151">
        <f>Data!$E$199*Z$13</f>
        <v>0</v>
      </c>
      <c r="AA31" s="151">
        <f>Data!$E$199*AA$13</f>
        <v>0</v>
      </c>
      <c r="AB31" s="151">
        <f>Data!$E$199*AB$13</f>
        <v>0</v>
      </c>
      <c r="AC31" s="151">
        <f>Data!$E$199*AC$13</f>
        <v>0</v>
      </c>
      <c r="AD31" s="151">
        <f>Data!$E$199*AD$13</f>
        <v>0</v>
      </c>
      <c r="AE31" s="151">
        <f>Data!$E$199*AE$13</f>
        <v>0</v>
      </c>
      <c r="AF31" s="151">
        <f>Data!$E$199*AF$13</f>
        <v>0</v>
      </c>
      <c r="AG31" s="151">
        <f>Data!$E$199*AG$13</f>
        <v>0</v>
      </c>
      <c r="AH31" s="151">
        <f>Data!$E$199*AH$13</f>
        <v>0</v>
      </c>
      <c r="AI31" s="151">
        <f>Data!$E$199*AI$13</f>
        <v>0</v>
      </c>
      <c r="AJ31" s="151">
        <f>Data!$E$199*AJ$13</f>
        <v>0</v>
      </c>
      <c r="AK31" s="151">
        <f>Data!$E$199*AK$13</f>
        <v>0</v>
      </c>
      <c r="AL31" s="151">
        <f>Data!$E$199*AL$13</f>
        <v>0</v>
      </c>
      <c r="AM31" s="151">
        <f>Data!$E$199*AM$13</f>
        <v>0</v>
      </c>
      <c r="AN31" s="151">
        <f>Data!$E$199*AN$13</f>
        <v>0</v>
      </c>
      <c r="AO31" s="151">
        <f>Data!$E$199*AO$13</f>
        <v>0</v>
      </c>
      <c r="AP31" s="17"/>
    </row>
    <row r="32" spans="1:42" outlineLevel="1" x14ac:dyDescent="0.25">
      <c r="A32" s="12"/>
      <c r="B32" s="13"/>
      <c r="C32" s="44"/>
      <c r="D32" s="44"/>
      <c r="E32" s="15"/>
      <c r="F32" s="16"/>
      <c r="G32" s="14"/>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17"/>
    </row>
    <row r="33" spans="1:42" outlineLevel="1" x14ac:dyDescent="0.25">
      <c r="A33" s="12"/>
      <c r="B33" s="13"/>
      <c r="C33" s="44" t="s">
        <v>398</v>
      </c>
      <c r="D33" s="45"/>
      <c r="E33" s="15"/>
      <c r="F33" s="16"/>
      <c r="G33" s="14"/>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9"/>
    </row>
    <row r="34" spans="1:42" outlineLevel="1" x14ac:dyDescent="0.25">
      <c r="A34" s="12"/>
      <c r="B34" s="13"/>
      <c r="C34" s="45" t="s">
        <v>127</v>
      </c>
      <c r="D34" s="45"/>
      <c r="E34" s="15" t="s">
        <v>475</v>
      </c>
      <c r="F34" s="158" t="str">
        <f>Dashboard!$I$42</f>
        <v>Flat (Gradient  0%)</v>
      </c>
      <c r="G34" s="14"/>
      <c r="H34" s="62"/>
      <c r="I34" s="181" cm="1">
        <f t="array" ref="I34">INDEX('Control panel'!$E$17:$E$19,MATCH($F$34,'Control panel'!$C$17:$C$19,0),0)</f>
        <v>0</v>
      </c>
      <c r="J34" s="181" cm="1">
        <f t="array" ref="J34">INDEX('Control panel'!$E$17:$E$19,MATCH($F$34,'Control panel'!$C$17:$C$19,0),0)</f>
        <v>0</v>
      </c>
      <c r="K34" s="181" cm="1">
        <f t="array" ref="K34">INDEX('Control panel'!$E$17:$E$19,MATCH($F$34,'Control panel'!$C$17:$C$19,0),0)</f>
        <v>0</v>
      </c>
      <c r="L34" s="181" cm="1">
        <f t="array" ref="L34">INDEX('Control panel'!$E$17:$E$19,MATCH($F$34,'Control panel'!$C$17:$C$19,0),0)</f>
        <v>0</v>
      </c>
      <c r="M34" s="181" cm="1">
        <f t="array" ref="M34">INDEX('Control panel'!$E$17:$E$19,MATCH($F$34,'Control panel'!$C$17:$C$19,0),0)</f>
        <v>0</v>
      </c>
      <c r="N34" s="181" cm="1">
        <f t="array" ref="N34">INDEX('Control panel'!$E$17:$E$19,MATCH($F$34,'Control panel'!$C$17:$C$19,0),0)</f>
        <v>0</v>
      </c>
      <c r="O34" s="181" cm="1">
        <f t="array" ref="O34">INDEX('Control panel'!$E$17:$E$19,MATCH($F$34,'Control panel'!$C$17:$C$19,0),0)</f>
        <v>0</v>
      </c>
      <c r="P34" s="181" cm="1">
        <f t="array" ref="P34">INDEX('Control panel'!$E$17:$E$19,MATCH($F$34,'Control panel'!$C$17:$C$19,0),0)</f>
        <v>0</v>
      </c>
      <c r="Q34" s="181" cm="1">
        <f t="array" ref="Q34">INDEX('Control panel'!$E$17:$E$19,MATCH($F$34,'Control panel'!$C$17:$C$19,0),0)</f>
        <v>0</v>
      </c>
      <c r="R34" s="181" cm="1">
        <f t="array" ref="R34">INDEX('Control panel'!$E$17:$E$19,MATCH($F$34,'Control panel'!$C$17:$C$19,0),0)</f>
        <v>0</v>
      </c>
      <c r="S34" s="181" cm="1">
        <f t="array" ref="S34">INDEX('Control panel'!$E$17:$E$19,MATCH($F$34,'Control panel'!$C$17:$C$19,0),0)</f>
        <v>0</v>
      </c>
      <c r="T34" s="181" cm="1">
        <f t="array" ref="T34">INDEX('Control panel'!$E$17:$E$19,MATCH($F$34,'Control panel'!$C$17:$C$19,0),0)</f>
        <v>0</v>
      </c>
      <c r="U34" s="181" cm="1">
        <f t="array" ref="U34">INDEX('Control panel'!$E$17:$E$19,MATCH($F$34,'Control panel'!$C$17:$C$19,0),0)</f>
        <v>0</v>
      </c>
      <c r="V34" s="181" cm="1">
        <f t="array" ref="V34">INDEX('Control panel'!$E$17:$E$19,MATCH($F$34,'Control panel'!$C$17:$C$19,0),0)</f>
        <v>0</v>
      </c>
      <c r="W34" s="181" cm="1">
        <f t="array" ref="W34">INDEX('Control panel'!$E$17:$E$19,MATCH($F$34,'Control panel'!$C$17:$C$19,0),0)</f>
        <v>0</v>
      </c>
      <c r="X34" s="181" cm="1">
        <f t="array" ref="X34">INDEX('Control panel'!$E$17:$E$19,MATCH($F$34,'Control panel'!$C$17:$C$19,0),0)</f>
        <v>0</v>
      </c>
      <c r="Y34" s="181" cm="1">
        <f t="array" ref="Y34">INDEX('Control panel'!$E$17:$E$19,MATCH($F$34,'Control panel'!$C$17:$C$19,0),0)</f>
        <v>0</v>
      </c>
      <c r="Z34" s="181" cm="1">
        <f t="array" ref="Z34">INDEX('Control panel'!$E$17:$E$19,MATCH($F$34,'Control panel'!$C$17:$C$19,0),0)</f>
        <v>0</v>
      </c>
      <c r="AA34" s="181" cm="1">
        <f t="array" ref="AA34">INDEX('Control panel'!$E$17:$E$19,MATCH($F$34,'Control panel'!$C$17:$C$19,0),0)</f>
        <v>0</v>
      </c>
      <c r="AB34" s="181" cm="1">
        <f t="array" ref="AB34">INDEX('Control panel'!$E$17:$E$19,MATCH($F$34,'Control panel'!$C$17:$C$19,0),0)</f>
        <v>0</v>
      </c>
      <c r="AC34" s="181" cm="1">
        <f t="array" ref="AC34">INDEX('Control panel'!$E$17:$E$19,MATCH($F$34,'Control panel'!$C$17:$C$19,0),0)</f>
        <v>0</v>
      </c>
      <c r="AD34" s="181" cm="1">
        <f t="array" ref="AD34">INDEX('Control panel'!$E$17:$E$19,MATCH($F$34,'Control panel'!$C$17:$C$19,0),0)</f>
        <v>0</v>
      </c>
      <c r="AE34" s="181" cm="1">
        <f t="array" ref="AE34">INDEX('Control panel'!$E$17:$E$19,MATCH($F$34,'Control panel'!$C$17:$C$19,0),0)</f>
        <v>0</v>
      </c>
      <c r="AF34" s="181" cm="1">
        <f t="array" ref="AF34">INDEX('Control panel'!$E$17:$E$19,MATCH($F$34,'Control panel'!$C$17:$C$19,0),0)</f>
        <v>0</v>
      </c>
      <c r="AG34" s="181" cm="1">
        <f t="array" ref="AG34">INDEX('Control panel'!$E$17:$E$19,MATCH($F$34,'Control panel'!$C$17:$C$19,0),0)</f>
        <v>0</v>
      </c>
      <c r="AH34" s="181" cm="1">
        <f t="array" ref="AH34">INDEX('Control panel'!$E$17:$E$19,MATCH($F$34,'Control panel'!$C$17:$C$19,0),0)</f>
        <v>0</v>
      </c>
      <c r="AI34" s="181" cm="1">
        <f t="array" ref="AI34">INDEX('Control panel'!$E$17:$E$19,MATCH($F$34,'Control panel'!$C$17:$C$19,0),0)</f>
        <v>0</v>
      </c>
      <c r="AJ34" s="181" cm="1">
        <f t="array" ref="AJ34">INDEX('Control panel'!$E$17:$E$19,MATCH($F$34,'Control panel'!$C$17:$C$19,0),0)</f>
        <v>0</v>
      </c>
      <c r="AK34" s="181" cm="1">
        <f t="array" ref="AK34">INDEX('Control panel'!$E$17:$E$19,MATCH($F$34,'Control panel'!$C$17:$C$19,0),0)</f>
        <v>0</v>
      </c>
      <c r="AL34" s="181" cm="1">
        <f t="array" ref="AL34">INDEX('Control panel'!$E$17:$E$19,MATCH($F$34,'Control panel'!$C$17:$C$19,0),0)</f>
        <v>0</v>
      </c>
      <c r="AM34" s="181" cm="1">
        <f t="array" ref="AM34">INDEX('Control panel'!$E$17:$E$19,MATCH($F$34,'Control panel'!$C$17:$C$19,0),0)</f>
        <v>0</v>
      </c>
      <c r="AN34" s="181" cm="1">
        <f t="array" ref="AN34">INDEX('Control panel'!$E$17:$E$19,MATCH($F$34,'Control panel'!$C$17:$C$19,0),0)</f>
        <v>0</v>
      </c>
      <c r="AO34" s="181" cm="1">
        <f t="array" ref="AO34">INDEX('Control panel'!$E$17:$E$19,MATCH($F$34,'Control panel'!$C$17:$C$19,0),0)</f>
        <v>0</v>
      </c>
      <c r="AP34" s="29"/>
    </row>
    <row r="35" spans="1:42" outlineLevel="1" x14ac:dyDescent="0.25">
      <c r="A35" s="12"/>
      <c r="B35" s="13"/>
      <c r="C35" s="45" t="s">
        <v>120</v>
      </c>
      <c r="D35" s="45"/>
      <c r="E35" s="15" t="s">
        <v>318</v>
      </c>
      <c r="F35" s="158" t="str">
        <f>Dashboard!$I$43</f>
        <v>2 Axle rigid</v>
      </c>
      <c r="G35" s="14"/>
      <c r="H35" s="62"/>
      <c r="I35" s="177">
        <f>IF($C$35=$F$35,I$13*Data!$E$207*Data!H$61,0)*(1+I34)*(1+Data!$E$91)</f>
        <v>109393.26611439293</v>
      </c>
      <c r="J35" s="177">
        <f>IF($C$35=$F$35,J$13*Data!$E$207*Data!I$61,0)*(1+J34)*(1+Data!$E$91)</f>
        <v>87389.961200423422</v>
      </c>
      <c r="K35" s="177">
        <f>IF($C$35=$F$35,K$13*Data!$E$207*Data!J$61,0)*(1+K34)*(1+Data!$E$91)</f>
        <v>87389.961200423422</v>
      </c>
      <c r="L35" s="177">
        <f>IF($C$35=$F$35,L$13*Data!$E$207*Data!K$61,0)*(1+L34)*(1+Data!$E$91)</f>
        <v>87389.961200423422</v>
      </c>
      <c r="M35" s="177">
        <f>IF($C$35=$F$35,M$13*Data!$E$207*Data!L$61,0)*(1+M34)*(1+Data!$E$91)</f>
        <v>87389.961200423422</v>
      </c>
      <c r="N35" s="177">
        <f>IF($C$35=$F$35,N$13*Data!$E$207*Data!M$61,0)*(1+N34)*(1+Data!$E$91)</f>
        <v>87389.961200423422</v>
      </c>
      <c r="O35" s="177">
        <f>IF($C$35=$F$35,O$13*Data!$E$207*Data!N$61,0)*(1+O34)*(1+Data!$E$91)</f>
        <v>87389.961200423422</v>
      </c>
      <c r="P35" s="177">
        <f>IF($C$35=$F$35,P$13*Data!$E$207*Data!O$61,0)*(1+P34)*(1+Data!$E$91)</f>
        <v>87389.961200423422</v>
      </c>
      <c r="Q35" s="177">
        <f>IF($C$35=$F$35,Q$13*Data!$E$207*Data!P$61,0)*(1+Q34)*(1+Data!$E$91)</f>
        <v>87389.961200423422</v>
      </c>
      <c r="R35" s="177">
        <f>IF($C$35=$F$35,R$13*Data!$E$207*Data!Q$61,0)*(1+R34)*(1+Data!$E$91)</f>
        <v>87389.961200423422</v>
      </c>
      <c r="S35" s="177">
        <f>IF($C$35=$F$35,S$13*Data!$E$207*Data!R$61,0)*(1+S34)*(1+Data!$E$91)</f>
        <v>87389.961200423422</v>
      </c>
      <c r="T35" s="177">
        <f>IF($C$35=$F$35,T$13*Data!$E$207*Data!S$61,0)*(1+T34)*(1+Data!$E$91)</f>
        <v>87389.961200423422</v>
      </c>
      <c r="U35" s="177">
        <f>IF($C$35=$F$35,U$13*Data!$E$207*Data!T$61,0)*(1+U34)*(1+Data!$E$91)</f>
        <v>0</v>
      </c>
      <c r="V35" s="177">
        <f>IF($C$35=$F$35,V$13*Data!$E$207*Data!U$61,0)*(1+V34)*(1+Data!$E$91)</f>
        <v>0</v>
      </c>
      <c r="W35" s="177">
        <f>IF($C$35=$F$35,W$13*Data!$E$207*Data!V$61,0)*(1+W34)*(1+Data!$E$91)</f>
        <v>0</v>
      </c>
      <c r="X35" s="177">
        <f>IF($C$35=$F$35,X$13*Data!$E$207*Data!W$61,0)*(1+X34)*(1+Data!$E$91)</f>
        <v>0</v>
      </c>
      <c r="Y35" s="177">
        <f>IF($C$35=$F$35,Y$13*Data!$E$207*Data!X$61,0)*(1+Y34)*(1+Data!$E$91)</f>
        <v>0</v>
      </c>
      <c r="Z35" s="177">
        <f>IF($C$35=$F$35,Z$13*Data!$E$207*Data!Y$61,0)*(1+Z34)*(1+Data!$E$91)</f>
        <v>0</v>
      </c>
      <c r="AA35" s="177">
        <f>IF($C$35=$F$35,AA$13*Data!$E$207*Data!Z$61,0)*(1+AA34)*(1+Data!$E$91)</f>
        <v>0</v>
      </c>
      <c r="AB35" s="177">
        <f>IF($C$35=$F$35,AB$13*Data!$E$207*Data!AA$61,0)*(1+AB34)*(1+Data!$E$91)</f>
        <v>0</v>
      </c>
      <c r="AC35" s="177">
        <f>IF($C$35=$F$35,AC$13*Data!$E$207*Data!AB$61,0)*(1+AC34)*(1+Data!$E$91)</f>
        <v>0</v>
      </c>
      <c r="AD35" s="177">
        <f>IF($C$35=$F$35,AD$13*Data!$E$207*Data!AC$61,0)*(1+AD34)*(1+Data!$E$91)</f>
        <v>0</v>
      </c>
      <c r="AE35" s="177">
        <f>IF($C$35=$F$35,AE$13*Data!$E$207*Data!AD$61,0)*(1+AE34)*(1+Data!$E$91)</f>
        <v>0</v>
      </c>
      <c r="AF35" s="177">
        <f>IF($C$35=$F$35,AF$13*Data!$E$207*Data!AE$61,0)*(1+AF34)*(1+Data!$E$91)</f>
        <v>0</v>
      </c>
      <c r="AG35" s="177">
        <f>IF($C$35=$F$35,AG$13*Data!$E$207*Data!AF$61,0)*(1+AG34)*(1+Data!$E$91)</f>
        <v>0</v>
      </c>
      <c r="AH35" s="177">
        <f>IF($C$35=$F$35,AH$13*Data!$E$207*Data!AG$61,0)*(1+AH34)*(1+Data!$E$91)</f>
        <v>0</v>
      </c>
      <c r="AI35" s="177">
        <f>IF($C$35=$F$35,AI$13*Data!$E$207*Data!AH$61,0)*(1+AI34)*(1+Data!$E$91)</f>
        <v>0</v>
      </c>
      <c r="AJ35" s="177">
        <f>IF($C$35=$F$35,AJ$13*Data!$E$207*Data!AI$61,0)*(1+AJ34)*(1+Data!$E$91)</f>
        <v>0</v>
      </c>
      <c r="AK35" s="177">
        <f>IF($C$35=$F$35,AK$13*Data!$E$207*Data!AJ$61,0)*(1+AK34)*(1+Data!$E$91)</f>
        <v>0</v>
      </c>
      <c r="AL35" s="177">
        <f>IF($C$35=$F$35,AL$13*Data!$E$207*Data!AK$61,0)*(1+AL34)*(1+Data!$E$91)</f>
        <v>0</v>
      </c>
      <c r="AM35" s="177">
        <f>IF($C$35=$F$35,AM$13*Data!$E$207*Data!AL$61,0)*(1+AM34)*(1+Data!$E$91)</f>
        <v>0</v>
      </c>
      <c r="AN35" s="177">
        <f>IF($C$35=$F$35,AN$13*Data!$E$207*Data!AM$61,0)*(1+AN34)*(1+Data!$E$91)</f>
        <v>0</v>
      </c>
      <c r="AO35" s="177">
        <f>IF($C$35=$F$35,AO$13*Data!$E$207*Data!AN$61,0)*(1+AO34)*(1+Data!$E$91)</f>
        <v>0</v>
      </c>
      <c r="AP35" s="29"/>
    </row>
    <row r="36" spans="1:42" outlineLevel="1" x14ac:dyDescent="0.25">
      <c r="A36" s="12"/>
      <c r="B36" s="13"/>
      <c r="C36" s="45" t="s">
        <v>124</v>
      </c>
      <c r="D36" s="45"/>
      <c r="E36" s="15" t="s">
        <v>318</v>
      </c>
      <c r="F36" s="158" t="str">
        <f>Dashboard!$I$43</f>
        <v>2 Axle rigid</v>
      </c>
      <c r="G36" s="14"/>
      <c r="H36" s="62"/>
      <c r="I36" s="177">
        <f>IF($C$36=$F$36,I$13*Data!$E$208*Data!H$61,0)*(1+I34)*(1+Data!$E$91)</f>
        <v>0</v>
      </c>
      <c r="J36" s="177">
        <f>IF($C$36=$F$36,J$13*Data!$E$208*Data!I$61,0)*(1+J34)*(1+Data!$E$91)</f>
        <v>0</v>
      </c>
      <c r="K36" s="177">
        <f>IF($C$36=$F$36,K$13*Data!$E$208*Data!J$61,0)*(1+K34)*(1+Data!$E$91)</f>
        <v>0</v>
      </c>
      <c r="L36" s="177">
        <f>IF($C$36=$F$36,L$13*Data!$E$208*Data!K$61,0)*(1+L34)*(1+Data!$E$91)</f>
        <v>0</v>
      </c>
      <c r="M36" s="177">
        <f>IF($C$36=$F$36,M$13*Data!$E$208*Data!L$61,0)*(1+M34)*(1+Data!$E$91)</f>
        <v>0</v>
      </c>
      <c r="N36" s="177">
        <f>IF($C$36=$F$36,N$13*Data!$E$208*Data!M$61,0)*(1+N34)*(1+Data!$E$91)</f>
        <v>0</v>
      </c>
      <c r="O36" s="177">
        <f>IF($C$36=$F$36,O$13*Data!$E$208*Data!N$61,0)*(1+O34)*(1+Data!$E$91)</f>
        <v>0</v>
      </c>
      <c r="P36" s="177">
        <f>IF($C$36=$F$36,P$13*Data!$E$208*Data!O$61,0)*(1+P34)*(1+Data!$E$91)</f>
        <v>0</v>
      </c>
      <c r="Q36" s="177">
        <f>IF($C$36=$F$36,Q$13*Data!$E$208*Data!P$61,0)*(1+Q34)*(1+Data!$E$91)</f>
        <v>0</v>
      </c>
      <c r="R36" s="177">
        <f>IF($C$36=$F$36,R$13*Data!$E$208*Data!Q$61,0)*(1+R34)*(1+Data!$E$91)</f>
        <v>0</v>
      </c>
      <c r="S36" s="177">
        <f>IF($C$36=$F$36,S$13*Data!$E$208*Data!R$61,0)*(1+S34)*(1+Data!$E$91)</f>
        <v>0</v>
      </c>
      <c r="T36" s="177">
        <f>IF($C$36=$F$36,T$13*Data!$E$208*Data!S$61,0)*(1+T34)*(1+Data!$E$91)</f>
        <v>0</v>
      </c>
      <c r="U36" s="177">
        <f>IF($C$36=$F$36,U$13*Data!$E$208*Data!T$61,0)*(1+U34)*(1+Data!$E$91)</f>
        <v>0</v>
      </c>
      <c r="V36" s="177">
        <f>IF($C$36=$F$36,V$13*Data!$E$208*Data!U$61,0)*(1+V34)*(1+Data!$E$91)</f>
        <v>0</v>
      </c>
      <c r="W36" s="177">
        <f>IF($C$36=$F$36,W$13*Data!$E$208*Data!V$61,0)*(1+W34)*(1+Data!$E$91)</f>
        <v>0</v>
      </c>
      <c r="X36" s="177">
        <f>IF($C$36=$F$36,X$13*Data!$E$208*Data!W$61,0)*(1+X34)*(1+Data!$E$91)</f>
        <v>0</v>
      </c>
      <c r="Y36" s="177">
        <f>IF($C$36=$F$36,Y$13*Data!$E$208*Data!X$61,0)*(1+Y34)*(1+Data!$E$91)</f>
        <v>0</v>
      </c>
      <c r="Z36" s="177">
        <f>IF($C$36=$F$36,Z$13*Data!$E$208*Data!Y$61,0)*(1+Z34)*(1+Data!$E$91)</f>
        <v>0</v>
      </c>
      <c r="AA36" s="177">
        <f>IF($C$36=$F$36,AA$13*Data!$E$208*Data!Z$61,0)*(1+AA34)*(1+Data!$E$91)</f>
        <v>0</v>
      </c>
      <c r="AB36" s="177">
        <f>IF($C$36=$F$36,AB$13*Data!$E$208*Data!AA$61,0)*(1+AB34)*(1+Data!$E$91)</f>
        <v>0</v>
      </c>
      <c r="AC36" s="177">
        <f>IF($C$36=$F$36,AC$13*Data!$E$208*Data!AB$61,0)*(1+AC34)*(1+Data!$E$91)</f>
        <v>0</v>
      </c>
      <c r="AD36" s="177">
        <f>IF($C$36=$F$36,AD$13*Data!$E$208*Data!AC$61,0)*(1+AD34)*(1+Data!$E$91)</f>
        <v>0</v>
      </c>
      <c r="AE36" s="177">
        <f>IF($C$36=$F$36,AE$13*Data!$E$208*Data!AD$61,0)*(1+AE34)*(1+Data!$E$91)</f>
        <v>0</v>
      </c>
      <c r="AF36" s="177">
        <f>IF($C$36=$F$36,AF$13*Data!$E$208*Data!AE$61,0)*(1+AF34)*(1+Data!$E$91)</f>
        <v>0</v>
      </c>
      <c r="AG36" s="177">
        <f>IF($C$36=$F$36,AG$13*Data!$E$208*Data!AF$61,0)*(1+AG34)*(1+Data!$E$91)</f>
        <v>0</v>
      </c>
      <c r="AH36" s="177">
        <f>IF($C$36=$F$36,AH$13*Data!$E$208*Data!AG$61,0)*(1+AH34)*(1+Data!$E$91)</f>
        <v>0</v>
      </c>
      <c r="AI36" s="177">
        <f>IF($C$36=$F$36,AI$13*Data!$E$208*Data!AH$61,0)*(1+AI34)*(1+Data!$E$91)</f>
        <v>0</v>
      </c>
      <c r="AJ36" s="177">
        <f>IF($C$36=$F$36,AJ$13*Data!$E$208*Data!AI$61,0)*(1+AJ34)*(1+Data!$E$91)</f>
        <v>0</v>
      </c>
      <c r="AK36" s="177">
        <f>IF($C$36=$F$36,AK$13*Data!$E$208*Data!AJ$61,0)*(1+AK34)*(1+Data!$E$91)</f>
        <v>0</v>
      </c>
      <c r="AL36" s="177">
        <f>IF($C$36=$F$36,AL$13*Data!$E$208*Data!AK$61,0)*(1+AL34)*(1+Data!$E$91)</f>
        <v>0</v>
      </c>
      <c r="AM36" s="177">
        <f>IF($C$36=$F$36,AM$13*Data!$E$208*Data!AL$61,0)*(1+AM34)*(1+Data!$E$91)</f>
        <v>0</v>
      </c>
      <c r="AN36" s="177">
        <f>IF($C$36=$F$36,AN$13*Data!$E$208*Data!AM$61,0)*(1+AN34)*(1+Data!$E$91)</f>
        <v>0</v>
      </c>
      <c r="AO36" s="177">
        <f>IF($C$36=$F$36,AO$13*Data!$E$208*Data!AN$61,0)*(1+AO34)*(1+Data!$E$91)</f>
        <v>0</v>
      </c>
      <c r="AP36" s="29"/>
    </row>
    <row r="37" spans="1:42" outlineLevel="1" x14ac:dyDescent="0.25">
      <c r="A37" s="12"/>
      <c r="B37" s="13"/>
      <c r="C37" s="45" t="s">
        <v>126</v>
      </c>
      <c r="D37" s="45"/>
      <c r="E37" s="15" t="s">
        <v>318</v>
      </c>
      <c r="F37" s="158" t="str">
        <f>Dashboard!$I$43</f>
        <v>2 Axle rigid</v>
      </c>
      <c r="G37" s="14"/>
      <c r="H37" s="62"/>
      <c r="I37" s="177">
        <f>IF($C$37=$F$37,I$13*Data!$E$209*Data!H$61,0)*(1+I34)*(1+Data!$E$91)</f>
        <v>0</v>
      </c>
      <c r="J37" s="177">
        <f>IF($C$37=$F$37,J$13*Data!$E$209*Data!I$61,0)*(1+J34)*(1+Data!$E$91)</f>
        <v>0</v>
      </c>
      <c r="K37" s="177">
        <f>IF($C$37=$F$37,K$13*Data!$E$209*Data!J$61,0)*(1+K34)*(1+Data!$E$91)</f>
        <v>0</v>
      </c>
      <c r="L37" s="177">
        <f>IF($C$37=$F$37,L$13*Data!$E$209*Data!K$61,0)*(1+L34)*(1+Data!$E$91)</f>
        <v>0</v>
      </c>
      <c r="M37" s="177">
        <f>IF($C$37=$F$37,M$13*Data!$E$209*Data!L$61,0)*(1+M34)*(1+Data!$E$91)</f>
        <v>0</v>
      </c>
      <c r="N37" s="177">
        <f>IF($C$37=$F$37,N$13*Data!$E$209*Data!M$61,0)*(1+N34)*(1+Data!$E$91)</f>
        <v>0</v>
      </c>
      <c r="O37" s="177">
        <f>IF($C$37=$F$37,O$13*Data!$E$209*Data!N$61,0)*(1+O34)*(1+Data!$E$91)</f>
        <v>0</v>
      </c>
      <c r="P37" s="177">
        <f>IF($C$37=$F$37,P$13*Data!$E$209*Data!O$61,0)*(1+P34)*(1+Data!$E$91)</f>
        <v>0</v>
      </c>
      <c r="Q37" s="177">
        <f>IF($C$37=$F$37,Q$13*Data!$E$209*Data!P$61,0)*(1+Q34)*(1+Data!$E$91)</f>
        <v>0</v>
      </c>
      <c r="R37" s="177">
        <f>IF($C$37=$F$37,R$13*Data!$E$209*Data!Q$61,0)*(1+R34)*(1+Data!$E$91)</f>
        <v>0</v>
      </c>
      <c r="S37" s="177">
        <f>IF($C$37=$F$37,S$13*Data!$E$209*Data!R$61,0)*(1+S34)*(1+Data!$E$91)</f>
        <v>0</v>
      </c>
      <c r="T37" s="177">
        <f>IF($C$37=$F$37,T$13*Data!$E$209*Data!S$61,0)*(1+T34)*(1+Data!$E$91)</f>
        <v>0</v>
      </c>
      <c r="U37" s="177">
        <f>IF($C$37=$F$37,U$13*Data!$E$209*Data!T$61,0)*(1+U34)*(1+Data!$E$91)</f>
        <v>0</v>
      </c>
      <c r="V37" s="177">
        <f>IF($C$37=$F$37,V$13*Data!$E$209*Data!U$61,0)*(1+V34)*(1+Data!$E$91)</f>
        <v>0</v>
      </c>
      <c r="W37" s="177">
        <f>IF($C$37=$F$37,W$13*Data!$E$209*Data!V$61,0)*(1+W34)*(1+Data!$E$91)</f>
        <v>0</v>
      </c>
      <c r="X37" s="177">
        <f>IF($C$37=$F$37,X$13*Data!$E$209*Data!W$61,0)*(1+X34)*(1+Data!$E$91)</f>
        <v>0</v>
      </c>
      <c r="Y37" s="177">
        <f>IF($C$37=$F$37,Y$13*Data!$E$209*Data!X$61,0)*(1+Y34)*(1+Data!$E$91)</f>
        <v>0</v>
      </c>
      <c r="Z37" s="177">
        <f>IF($C$37=$F$37,Z$13*Data!$E$209*Data!Y$61,0)*(1+Z34)*(1+Data!$E$91)</f>
        <v>0</v>
      </c>
      <c r="AA37" s="177">
        <f>IF($C$37=$F$37,AA$13*Data!$E$209*Data!Z$61,0)*(1+AA34)*(1+Data!$E$91)</f>
        <v>0</v>
      </c>
      <c r="AB37" s="177">
        <f>IF($C$37=$F$37,AB$13*Data!$E$209*Data!AA$61,0)*(1+AB34)*(1+Data!$E$91)</f>
        <v>0</v>
      </c>
      <c r="AC37" s="177">
        <f>IF($C$37=$F$37,AC$13*Data!$E$209*Data!AB$61,0)*(1+AC34)*(1+Data!$E$91)</f>
        <v>0</v>
      </c>
      <c r="AD37" s="177">
        <f>IF($C$37=$F$37,AD$13*Data!$E$209*Data!AC$61,0)*(1+AD34)*(1+Data!$E$91)</f>
        <v>0</v>
      </c>
      <c r="AE37" s="177">
        <f>IF($C$37=$F$37,AE$13*Data!$E$209*Data!AD$61,0)*(1+AE34)*(1+Data!$E$91)</f>
        <v>0</v>
      </c>
      <c r="AF37" s="177">
        <f>IF($C$37=$F$37,AF$13*Data!$E$209*Data!AE$61,0)*(1+AF34)*(1+Data!$E$91)</f>
        <v>0</v>
      </c>
      <c r="AG37" s="177">
        <f>IF($C$37=$F$37,AG$13*Data!$E$209*Data!AF$61,0)*(1+AG34)*(1+Data!$E$91)</f>
        <v>0</v>
      </c>
      <c r="AH37" s="177">
        <f>IF($C$37=$F$37,AH$13*Data!$E$209*Data!AG$61,0)*(1+AH34)*(1+Data!$E$91)</f>
        <v>0</v>
      </c>
      <c r="AI37" s="177">
        <f>IF($C$37=$F$37,AI$13*Data!$E$209*Data!AH$61,0)*(1+AI34)*(1+Data!$E$91)</f>
        <v>0</v>
      </c>
      <c r="AJ37" s="177">
        <f>IF($C$37=$F$37,AJ$13*Data!$E$209*Data!AI$61,0)*(1+AJ34)*(1+Data!$E$91)</f>
        <v>0</v>
      </c>
      <c r="AK37" s="177">
        <f>IF($C$37=$F$37,AK$13*Data!$E$209*Data!AJ$61,0)*(1+AK34)*(1+Data!$E$91)</f>
        <v>0</v>
      </c>
      <c r="AL37" s="177">
        <f>IF($C$37=$F$37,AL$13*Data!$E$209*Data!AK$61,0)*(1+AL34)*(1+Data!$E$91)</f>
        <v>0</v>
      </c>
      <c r="AM37" s="177">
        <f>IF($C$37=$F$37,AM$13*Data!$E$209*Data!AL$61,0)*(1+AM34)*(1+Data!$E$91)</f>
        <v>0</v>
      </c>
      <c r="AN37" s="177">
        <f>IF($C$37=$F$37,AN$13*Data!$E$209*Data!AM$61,0)*(1+AN34)*(1+Data!$E$91)</f>
        <v>0</v>
      </c>
      <c r="AO37" s="177">
        <f>IF($C$37=$F$37,AO$13*Data!$E$209*Data!AN$61,0)*(1+AO34)*(1+Data!$E$91)</f>
        <v>0</v>
      </c>
      <c r="AP37" s="17"/>
    </row>
    <row r="38" spans="1:42" outlineLevel="1" x14ac:dyDescent="0.25">
      <c r="A38" s="12"/>
      <c r="B38" s="13"/>
      <c r="C38" s="44"/>
      <c r="D38" s="44"/>
      <c r="E38" s="15"/>
      <c r="F38" s="16"/>
      <c r="G38" s="14"/>
      <c r="H38" s="4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17"/>
    </row>
    <row r="39" spans="1:42" outlineLevel="1" x14ac:dyDescent="0.25">
      <c r="A39" s="12"/>
      <c r="B39" s="13"/>
      <c r="C39" s="19" t="s">
        <v>512</v>
      </c>
      <c r="D39" s="45"/>
      <c r="E39" s="15"/>
      <c r="F39" s="158"/>
      <c r="G39" s="14"/>
      <c r="H39" s="28"/>
      <c r="I39" s="182">
        <f>SUM(I26:I28)+I30+I31+SUM(I35:I37)</f>
        <v>213326.70611439293</v>
      </c>
      <c r="J39" s="182">
        <f t="shared" ref="J39:W39" si="1">SUM(J26:J28)+J30+J31+SUM(J35:J37)</f>
        <v>191323.40120042342</v>
      </c>
      <c r="K39" s="182">
        <f t="shared" si="1"/>
        <v>191323.40120042342</v>
      </c>
      <c r="L39" s="182">
        <f t="shared" si="1"/>
        <v>191323.40120042342</v>
      </c>
      <c r="M39" s="182">
        <f t="shared" si="1"/>
        <v>191323.40120042342</v>
      </c>
      <c r="N39" s="182">
        <f t="shared" si="1"/>
        <v>191323.40120042342</v>
      </c>
      <c r="O39" s="182">
        <f t="shared" si="1"/>
        <v>191323.40120042342</v>
      </c>
      <c r="P39" s="182">
        <f t="shared" si="1"/>
        <v>191323.40120042342</v>
      </c>
      <c r="Q39" s="182">
        <f t="shared" si="1"/>
        <v>191323.40120042342</v>
      </c>
      <c r="R39" s="182">
        <f t="shared" si="1"/>
        <v>191323.40120042342</v>
      </c>
      <c r="S39" s="182">
        <f t="shared" si="1"/>
        <v>191323.40120042342</v>
      </c>
      <c r="T39" s="182">
        <f t="shared" si="1"/>
        <v>191323.40120042342</v>
      </c>
      <c r="U39" s="182">
        <f t="shared" si="1"/>
        <v>0</v>
      </c>
      <c r="V39" s="182">
        <f t="shared" si="1"/>
        <v>0</v>
      </c>
      <c r="W39" s="182">
        <f t="shared" si="1"/>
        <v>0</v>
      </c>
      <c r="X39" s="182">
        <f t="shared" ref="X39:AB39" si="2">SUM(X26:X28)+X30+X31+SUM(X35:X37)</f>
        <v>0</v>
      </c>
      <c r="Y39" s="182">
        <f t="shared" si="2"/>
        <v>0</v>
      </c>
      <c r="Z39" s="182">
        <f t="shared" si="2"/>
        <v>0</v>
      </c>
      <c r="AA39" s="182">
        <f t="shared" si="2"/>
        <v>0</v>
      </c>
      <c r="AB39" s="182">
        <f t="shared" si="2"/>
        <v>0</v>
      </c>
      <c r="AC39" s="182">
        <f t="shared" ref="AC39:AO39" si="3">SUM(AC26:AC28)+AC30+AC31+SUM(AC35:AC37)</f>
        <v>0</v>
      </c>
      <c r="AD39" s="182">
        <f t="shared" si="3"/>
        <v>0</v>
      </c>
      <c r="AE39" s="182">
        <f t="shared" si="3"/>
        <v>0</v>
      </c>
      <c r="AF39" s="182">
        <f t="shared" si="3"/>
        <v>0</v>
      </c>
      <c r="AG39" s="182">
        <f t="shared" si="3"/>
        <v>0</v>
      </c>
      <c r="AH39" s="182">
        <f t="shared" si="3"/>
        <v>0</v>
      </c>
      <c r="AI39" s="182">
        <f t="shared" si="3"/>
        <v>0</v>
      </c>
      <c r="AJ39" s="182">
        <f t="shared" si="3"/>
        <v>0</v>
      </c>
      <c r="AK39" s="182">
        <f t="shared" si="3"/>
        <v>0</v>
      </c>
      <c r="AL39" s="182">
        <f t="shared" si="3"/>
        <v>0</v>
      </c>
      <c r="AM39" s="182">
        <f t="shared" si="3"/>
        <v>0</v>
      </c>
      <c r="AN39" s="182">
        <f t="shared" si="3"/>
        <v>0</v>
      </c>
      <c r="AO39" s="182">
        <f t="shared" si="3"/>
        <v>0</v>
      </c>
      <c r="AP39" s="29"/>
    </row>
    <row r="40" spans="1:42" outlineLevel="1" x14ac:dyDescent="0.25">
      <c r="A40" s="12"/>
      <c r="B40" s="13"/>
      <c r="C40" s="45"/>
      <c r="D40" s="45"/>
      <c r="E40" s="15"/>
      <c r="F40" s="16"/>
      <c r="G40" s="14"/>
      <c r="H40" s="28"/>
      <c r="I40" s="177"/>
      <c r="J40" s="177"/>
      <c r="K40" s="177"/>
      <c r="L40" s="177"/>
      <c r="M40" s="177"/>
      <c r="N40" s="177"/>
      <c r="O40" s="177"/>
      <c r="P40" s="177"/>
      <c r="Q40" s="177"/>
      <c r="R40" s="177"/>
      <c r="S40" s="177"/>
      <c r="T40" s="177"/>
      <c r="U40" s="177"/>
      <c r="V40" s="177"/>
      <c r="W40" s="177"/>
      <c r="X40" s="28"/>
      <c r="Y40" s="28"/>
      <c r="Z40" s="28"/>
      <c r="AA40" s="28"/>
      <c r="AB40" s="28"/>
      <c r="AC40" s="28"/>
      <c r="AD40" s="28"/>
      <c r="AE40" s="28"/>
      <c r="AF40" s="28"/>
      <c r="AG40" s="28"/>
      <c r="AH40" s="28"/>
      <c r="AI40" s="28"/>
      <c r="AJ40" s="28"/>
      <c r="AK40" s="28"/>
      <c r="AL40" s="28"/>
      <c r="AM40" s="28"/>
      <c r="AN40" s="28"/>
      <c r="AO40" s="28"/>
      <c r="AP40" s="29"/>
    </row>
    <row r="41" spans="1:42" outlineLevel="1" x14ac:dyDescent="0.25">
      <c r="A41" s="12"/>
      <c r="B41" s="13"/>
      <c r="C41" s="37" t="s">
        <v>513</v>
      </c>
      <c r="D41" s="37"/>
      <c r="E41" s="38"/>
      <c r="F41" s="39"/>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17"/>
    </row>
    <row r="42" spans="1:42" s="140" customFormat="1" outlineLevel="1" x14ac:dyDescent="0.25">
      <c r="A42" s="78"/>
      <c r="B42" s="19"/>
      <c r="C42" s="44" t="s">
        <v>249</v>
      </c>
      <c r="D42" s="44"/>
      <c r="E42" s="21" t="s">
        <v>142</v>
      </c>
      <c r="F42" s="375" t="str">
        <f>Dashboard!I43</f>
        <v>2 Axle rigid</v>
      </c>
      <c r="G42" s="20"/>
      <c r="H42" s="49"/>
      <c r="I42" s="182">
        <f>-IF(COUNT($I$3:I$3)=(Dashboard!$I$31+1),INDEX(Data!$E$99:$E$101,MATCH('H2 Blending'!$F$42,Data!$B$99:$B$101,0)),0)</f>
        <v>0</v>
      </c>
      <c r="J42" s="182">
        <f>-IF(COUNT($I$3:J$3)=(Dashboard!$I$31+1),INDEX(Data!$E$99:$E$101,MATCH('H2 Blending'!$F$42,Data!$B$99:$B$101,0)),0)</f>
        <v>0</v>
      </c>
      <c r="K42" s="182">
        <f>-IF(COUNT($I$3:K$3)=(Dashboard!$I$31+1),INDEX(Data!$E$99:$E$101,MATCH('H2 Blending'!$F$42,Data!$B$99:$B$101,0)),0)</f>
        <v>0</v>
      </c>
      <c r="L42" s="182">
        <f>-IF(COUNT($I$3:L$3)=(Dashboard!$I$31+1),INDEX(Data!$E$99:$E$101,MATCH('H2 Blending'!$F$42,Data!$B$99:$B$101,0)),0)</f>
        <v>0</v>
      </c>
      <c r="M42" s="182">
        <f>-IF(COUNT($I$3:M$3)=(Dashboard!$I$31+1),INDEX(Data!$E$99:$E$101,MATCH('H2 Blending'!$F$42,Data!$B$99:$B$101,0)),0)</f>
        <v>0</v>
      </c>
      <c r="N42" s="182">
        <f>-IF(COUNT($I$3:N$3)=(Dashboard!$I$31+1),INDEX(Data!$E$99:$E$101,MATCH('H2 Blending'!$F$42,Data!$B$99:$B$101,0)),0)</f>
        <v>0</v>
      </c>
      <c r="O42" s="182">
        <f>-IF(COUNT($I$3:O$3)=(Dashboard!$I$31+1),INDEX(Data!$E$99:$E$101,MATCH('H2 Blending'!$F$42,Data!$B$99:$B$101,0)),0)</f>
        <v>0</v>
      </c>
      <c r="P42" s="182">
        <f>-IF(COUNT($I$3:P$3)=(Dashboard!$I$31+1),INDEX(Data!$E$99:$E$101,MATCH('H2 Blending'!$F$42,Data!$B$99:$B$101,0)),0)</f>
        <v>0</v>
      </c>
      <c r="Q42" s="182">
        <f>-IF(COUNT($I$3:Q$3)=(Dashboard!$I$31+1),INDEX(Data!$E$99:$E$101,MATCH('H2 Blending'!$F$42,Data!$B$99:$B$101,0)),0)</f>
        <v>0</v>
      </c>
      <c r="R42" s="182">
        <f>-IF(COUNT($I$3:R$3)=(Dashboard!$I$31+1),INDEX(Data!$E$99:$E$101,MATCH('H2 Blending'!$F$42,Data!$B$99:$B$101,0)),0)</f>
        <v>0</v>
      </c>
      <c r="S42" s="182">
        <f>-IF(COUNT($I$3:S$3)=(Dashboard!$I$31+1),INDEX(Data!$E$99:$E$101,MATCH('H2 Blending'!$F$42,Data!$B$99:$B$101,0)),0)</f>
        <v>0</v>
      </c>
      <c r="T42" s="182">
        <f>-IF(COUNT($I$3:T$3)=(Dashboard!$I$31+1),INDEX(Data!$E$99:$E$101,MATCH('H2 Blending'!$F$42,Data!$B$99:$B$101,0)),0)</f>
        <v>0</v>
      </c>
      <c r="U42" s="182">
        <f>-IF(COUNT($I$3:U$3)=(Dashboard!$I$31+1),INDEX(Data!$E$99:$E$101,MATCH('H2 Blending'!$F$42,Data!$B$99:$B$101,0)),0)</f>
        <v>-52500</v>
      </c>
      <c r="V42" s="182">
        <f>-IF(COUNT($I$3:V$3)=(Dashboard!$I$31+1),INDEX(Data!$E$99:$E$101,MATCH('H2 Blending'!$F$42,Data!$B$99:$B$101,0)),0)</f>
        <v>0</v>
      </c>
      <c r="W42" s="182">
        <f>-IF(COUNT($I$3:W$3)=(Dashboard!$I$31+1),INDEX(Data!$E$99:$E$101,MATCH('H2 Blending'!$F$42,Data!$B$99:$B$101,0)),0)</f>
        <v>0</v>
      </c>
      <c r="X42" s="182">
        <f>-IF(COUNT($I$3:X$3)=(Dashboard!$I$31+1),INDEX(Data!$E$99:$E$101,MATCH('H2 Blending'!$F$42,Data!$B$99:$B$101,0)),0)</f>
        <v>0</v>
      </c>
      <c r="Y42" s="182">
        <f>-IF(COUNT($I$3:Y$3)=(Dashboard!$I$31+1),INDEX(Data!$E$99:$E$101,MATCH('H2 Blending'!$F$42,Data!$B$99:$B$101,0)),0)</f>
        <v>0</v>
      </c>
      <c r="Z42" s="182">
        <f>-IF(COUNT($I$3:Z$3)=(Dashboard!$I$31+1),INDEX(Data!$E$99:$E$101,MATCH('H2 Blending'!$F$42,Data!$B$99:$B$101,0)),0)</f>
        <v>0</v>
      </c>
      <c r="AA42" s="182">
        <f>-IF(COUNT($I$3:AA$3)=(Dashboard!$I$31+1),INDEX(Data!$E$99:$E$101,MATCH('H2 Blending'!$F$42,Data!$B$99:$B$101,0)),0)</f>
        <v>0</v>
      </c>
      <c r="AB42" s="182">
        <f>-IF(COUNT($I$3:AB$3)=(Dashboard!$I$31+1),INDEX(Data!$E$99:$E$101,MATCH('H2 Blending'!$F$42,Data!$B$99:$B$101,0)),0)</f>
        <v>0</v>
      </c>
      <c r="AC42" s="182">
        <f>-IF(COUNT($I$3:AC$3)=(Dashboard!$I$31+1),INDEX(Data!$E$99:$E$101,MATCH('H2 Blending'!$F$42,Data!$B$99:$B$101,0)),0)</f>
        <v>0</v>
      </c>
      <c r="AD42" s="182">
        <f>-IF(COUNT($I$3:AD$3)=(Dashboard!$I$31+1),INDEX(Data!$E$99:$E$101,MATCH('H2 Blending'!$F$42,Data!$B$99:$B$101,0)),0)</f>
        <v>0</v>
      </c>
      <c r="AE42" s="182">
        <f>-IF(COUNT($I$3:AE$3)=(Dashboard!$I$31+1),INDEX(Data!$E$99:$E$101,MATCH('H2 Blending'!$F$42,Data!$B$99:$B$101,0)),0)</f>
        <v>0</v>
      </c>
      <c r="AF42" s="182">
        <f>-IF(COUNT($I$3:AF$3)=(Dashboard!$I$31+1),INDEX(Data!$E$99:$E$101,MATCH('H2 Blending'!$F$42,Data!$B$99:$B$101,0)),0)</f>
        <v>0</v>
      </c>
      <c r="AG42" s="182">
        <f>-IF(COUNT($I$3:AG$3)=(Dashboard!$I$31+1),INDEX(Data!$E$99:$E$101,MATCH('H2 Blending'!$F$42,Data!$B$99:$B$101,0)),0)</f>
        <v>0</v>
      </c>
      <c r="AH42" s="182">
        <f>-IF(COUNT($I$3:AH$3)=(Dashboard!$I$31+1),INDEX(Data!$E$99:$E$101,MATCH('H2 Blending'!$F$42,Data!$B$99:$B$101,0)),0)</f>
        <v>0</v>
      </c>
      <c r="AI42" s="182">
        <f>-IF(COUNT($I$3:AI$3)=(Dashboard!$I$31+1),INDEX(Data!$E$99:$E$101,MATCH('H2 Blending'!$F$42,Data!$B$99:$B$101,0)),0)</f>
        <v>0</v>
      </c>
      <c r="AJ42" s="182">
        <f>-IF(COUNT($I$3:AJ$3)=(Dashboard!$I$31+1),INDEX(Data!$E$99:$E$101,MATCH('H2 Blending'!$F$42,Data!$B$99:$B$101,0)),0)</f>
        <v>0</v>
      </c>
      <c r="AK42" s="182">
        <f>-IF(COUNT($I$3:AK$3)=(Dashboard!$I$31+1),INDEX(Data!$E$99:$E$101,MATCH('H2 Blending'!$F$42,Data!$B$99:$B$101,0)),0)</f>
        <v>0</v>
      </c>
      <c r="AL42" s="182">
        <f>-IF(COUNT($I$3:AL$3)=(Dashboard!$I$31+1),INDEX(Data!$E$99:$E$101,MATCH('H2 Blending'!$F$42,Data!$B$99:$B$101,0)),0)</f>
        <v>0</v>
      </c>
      <c r="AM42" s="182">
        <f>-IF(COUNT($I$3:AM$3)=(Dashboard!$I$31+1),INDEX(Data!$E$99:$E$101,MATCH('H2 Blending'!$F$42,Data!$B$99:$B$101,0)),0)</f>
        <v>0</v>
      </c>
      <c r="AN42" s="182">
        <f>-IF(COUNT($I$3:AN$3)=(Dashboard!$I$31+1),INDEX(Data!$E$99:$E$101,MATCH('H2 Blending'!$F$42,Data!$B$99:$B$101,0)),0)</f>
        <v>0</v>
      </c>
      <c r="AO42" s="182">
        <f>-IF(COUNT($I$3:AO$3)=(Dashboard!$I$31+1),INDEX(Data!$E$99:$E$101,MATCH('H2 Blending'!$F$42,Data!$B$99:$B$101,0)),0)</f>
        <v>0</v>
      </c>
      <c r="AP42" s="50"/>
    </row>
    <row r="43" spans="1:42" outlineLevel="1" x14ac:dyDescent="0.25">
      <c r="A43" s="12"/>
      <c r="B43" s="13"/>
      <c r="C43" s="14"/>
      <c r="D43" s="14"/>
      <c r="E43" s="15"/>
      <c r="F43" s="16"/>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7"/>
    </row>
    <row r="44" spans="1:42" outlineLevel="1" x14ac:dyDescent="0.25">
      <c r="A44" s="12"/>
      <c r="B44" s="13"/>
      <c r="C44" s="37" t="s">
        <v>479</v>
      </c>
      <c r="D44" s="37"/>
      <c r="E44" s="38" t="s">
        <v>54</v>
      </c>
      <c r="F44" s="39"/>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17"/>
    </row>
    <row r="45" spans="1:42" outlineLevel="1" x14ac:dyDescent="0.25">
      <c r="A45" s="12"/>
      <c r="B45" s="13"/>
      <c r="C45" s="14" t="s">
        <v>479</v>
      </c>
      <c r="D45" s="14"/>
      <c r="E45" s="15" t="s">
        <v>54</v>
      </c>
      <c r="F45" s="16"/>
      <c r="G45" s="96"/>
      <c r="H45" s="165"/>
      <c r="I45" s="165">
        <f>I39+I23+I42</f>
        <v>215355.62996581174</v>
      </c>
      <c r="J45" s="165">
        <f t="shared" ref="J45:AO45" si="4">J39+J23+J42</f>
        <v>193352.32505184223</v>
      </c>
      <c r="K45" s="165">
        <f t="shared" si="4"/>
        <v>193352.32505184223</v>
      </c>
      <c r="L45" s="165">
        <f t="shared" si="4"/>
        <v>193352.32505184223</v>
      </c>
      <c r="M45" s="165">
        <f t="shared" si="4"/>
        <v>193352.32505184223</v>
      </c>
      <c r="N45" s="165">
        <f t="shared" si="4"/>
        <v>193352.32505184223</v>
      </c>
      <c r="O45" s="165">
        <f t="shared" si="4"/>
        <v>193352.32505184223</v>
      </c>
      <c r="P45" s="165">
        <f t="shared" si="4"/>
        <v>193352.32505184223</v>
      </c>
      <c r="Q45" s="165">
        <f t="shared" si="4"/>
        <v>193352.32505184223</v>
      </c>
      <c r="R45" s="165">
        <f t="shared" si="4"/>
        <v>193352.32505184223</v>
      </c>
      <c r="S45" s="165">
        <f t="shared" si="4"/>
        <v>193352.32505184223</v>
      </c>
      <c r="T45" s="165">
        <f t="shared" si="4"/>
        <v>193352.32505184223</v>
      </c>
      <c r="U45" s="165">
        <f t="shared" si="4"/>
        <v>-52500</v>
      </c>
      <c r="V45" s="165">
        <f t="shared" si="4"/>
        <v>0</v>
      </c>
      <c r="W45" s="165">
        <f t="shared" si="4"/>
        <v>0</v>
      </c>
      <c r="X45" s="165">
        <f t="shared" si="4"/>
        <v>0</v>
      </c>
      <c r="Y45" s="165">
        <f t="shared" si="4"/>
        <v>0</v>
      </c>
      <c r="Z45" s="165">
        <f t="shared" si="4"/>
        <v>0</v>
      </c>
      <c r="AA45" s="165">
        <f t="shared" si="4"/>
        <v>0</v>
      </c>
      <c r="AB45" s="165">
        <f t="shared" si="4"/>
        <v>0</v>
      </c>
      <c r="AC45" s="165">
        <f t="shared" si="4"/>
        <v>0</v>
      </c>
      <c r="AD45" s="165">
        <f t="shared" si="4"/>
        <v>0</v>
      </c>
      <c r="AE45" s="165">
        <f t="shared" si="4"/>
        <v>0</v>
      </c>
      <c r="AF45" s="165">
        <f t="shared" si="4"/>
        <v>0</v>
      </c>
      <c r="AG45" s="165">
        <f t="shared" si="4"/>
        <v>0</v>
      </c>
      <c r="AH45" s="165">
        <f t="shared" si="4"/>
        <v>0</v>
      </c>
      <c r="AI45" s="165">
        <f t="shared" si="4"/>
        <v>0</v>
      </c>
      <c r="AJ45" s="165">
        <f t="shared" si="4"/>
        <v>0</v>
      </c>
      <c r="AK45" s="165">
        <f t="shared" si="4"/>
        <v>0</v>
      </c>
      <c r="AL45" s="165">
        <f t="shared" si="4"/>
        <v>0</v>
      </c>
      <c r="AM45" s="165">
        <f t="shared" si="4"/>
        <v>0</v>
      </c>
      <c r="AN45" s="165">
        <f t="shared" si="4"/>
        <v>0</v>
      </c>
      <c r="AO45" s="165">
        <f t="shared" si="4"/>
        <v>0</v>
      </c>
      <c r="AP45" s="29"/>
    </row>
    <row r="46" spans="1:42" s="140" customFormat="1" outlineLevel="1" x14ac:dyDescent="0.25">
      <c r="A46" s="78"/>
      <c r="B46" s="19"/>
      <c r="C46" s="20" t="s">
        <v>480</v>
      </c>
      <c r="D46" s="20"/>
      <c r="E46" s="15" t="s">
        <v>54</v>
      </c>
      <c r="F46" s="48"/>
      <c r="G46" s="95"/>
      <c r="H46" s="182"/>
      <c r="I46" s="182">
        <f>I45*Data!H$9</f>
        <v>207072.7211209728</v>
      </c>
      <c r="J46" s="182">
        <f>J45*Data!I$9</f>
        <v>178765.09342810855</v>
      </c>
      <c r="K46" s="182">
        <f>K45*Data!J$9</f>
        <v>171889.51291164284</v>
      </c>
      <c r="L46" s="182">
        <f>L45*Data!K$9</f>
        <v>165278.37779965656</v>
      </c>
      <c r="M46" s="182">
        <f>M45*Data!L$9</f>
        <v>158921.51711505436</v>
      </c>
      <c r="N46" s="182">
        <f>N45*Data!M$9</f>
        <v>152809.15107216768</v>
      </c>
      <c r="O46" s="182">
        <f>O45*Data!N$9</f>
        <v>146931.87603093046</v>
      </c>
      <c r="P46" s="182">
        <f>P45*Data!O$9</f>
        <v>141280.65002974079</v>
      </c>
      <c r="Q46" s="182">
        <f>Q45*Data!P$9</f>
        <v>135846.77887475074</v>
      </c>
      <c r="R46" s="182">
        <f>R45*Data!Q$9</f>
        <v>130621.90276418341</v>
      </c>
      <c r="S46" s="182">
        <f>S45*Data!R$9</f>
        <v>125597.98342709946</v>
      </c>
      <c r="T46" s="182">
        <f>T45*Data!S$9</f>
        <v>120767.29175682637</v>
      </c>
      <c r="U46" s="182">
        <f>U45*Data!T$9</f>
        <v>-31530.139522070596</v>
      </c>
      <c r="V46" s="182">
        <f>V45*Data!U$9</f>
        <v>0</v>
      </c>
      <c r="W46" s="182">
        <f>W45*Data!V$9</f>
        <v>0</v>
      </c>
      <c r="X46" s="182">
        <f>X45*Data!W$9</f>
        <v>0</v>
      </c>
      <c r="Y46" s="182">
        <f>Y45*Data!X$9</f>
        <v>0</v>
      </c>
      <c r="Z46" s="182">
        <f>Z45*Data!Y$9</f>
        <v>0</v>
      </c>
      <c r="AA46" s="182">
        <f>AA45*Data!Z$9</f>
        <v>0</v>
      </c>
      <c r="AB46" s="182">
        <f>AB45*Data!AA$9</f>
        <v>0</v>
      </c>
      <c r="AC46" s="182">
        <f>AC45*Data!AB$9</f>
        <v>0</v>
      </c>
      <c r="AD46" s="182">
        <f>AD45*Data!AC$9</f>
        <v>0</v>
      </c>
      <c r="AE46" s="182">
        <f>AE45*Data!AD$9</f>
        <v>0</v>
      </c>
      <c r="AF46" s="182">
        <f>AF45*Data!AE$9</f>
        <v>0</v>
      </c>
      <c r="AG46" s="182">
        <f>AG45*Data!AF$9</f>
        <v>0</v>
      </c>
      <c r="AH46" s="182">
        <f>AH45*Data!AG$9</f>
        <v>0</v>
      </c>
      <c r="AI46" s="182">
        <f>AI45*Data!AH$9</f>
        <v>0</v>
      </c>
      <c r="AJ46" s="182">
        <f>AJ45*Data!AI$9</f>
        <v>0</v>
      </c>
      <c r="AK46" s="182">
        <f>AK45*Data!AJ$9</f>
        <v>0</v>
      </c>
      <c r="AL46" s="182">
        <f>AL45*Data!AK$9</f>
        <v>0</v>
      </c>
      <c r="AM46" s="182">
        <f>AM45*Data!AL$9</f>
        <v>0</v>
      </c>
      <c r="AN46" s="182">
        <f>AN45*Data!AM$9</f>
        <v>0</v>
      </c>
      <c r="AO46" s="182">
        <f>AO45*Data!AN$9</f>
        <v>0</v>
      </c>
      <c r="AP46" s="50"/>
    </row>
    <row r="47" spans="1:42" outlineLevel="1" x14ac:dyDescent="0.25">
      <c r="A47" s="12"/>
      <c r="B47" s="13"/>
      <c r="C47" s="14" t="s">
        <v>479</v>
      </c>
      <c r="D47" s="14"/>
      <c r="E47" s="15" t="s">
        <v>142</v>
      </c>
      <c r="F47" s="16"/>
      <c r="G47" s="165">
        <f>SUM(I46:AO46)</f>
        <v>1804252.7168090635</v>
      </c>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9"/>
    </row>
    <row r="48" spans="1:42" outlineLevel="1" x14ac:dyDescent="0.25">
      <c r="A48" s="12"/>
      <c r="B48" s="13"/>
      <c r="C48" s="44" t="s">
        <v>514</v>
      </c>
      <c r="D48" s="44"/>
      <c r="E48" s="15" t="s">
        <v>261</v>
      </c>
      <c r="F48" s="16"/>
      <c r="G48" s="183">
        <f>G47/SUM(I13:AB13)</f>
        <v>1.6063503532844225</v>
      </c>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7"/>
    </row>
    <row r="49" spans="1:42" outlineLevel="1" x14ac:dyDescent="0.25">
      <c r="A49" s="12"/>
      <c r="B49" s="13"/>
      <c r="C49" s="14"/>
      <c r="D49" s="14"/>
      <c r="E49" s="15"/>
      <c r="F49" s="16"/>
      <c r="G49" s="14"/>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17"/>
    </row>
    <row r="50" spans="1:42" outlineLevel="1" x14ac:dyDescent="0.25">
      <c r="A50" s="12"/>
      <c r="B50" s="13"/>
      <c r="C50" s="19"/>
      <c r="D50" s="19"/>
      <c r="E50" s="15"/>
      <c r="F50" s="16"/>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row>
    <row r="51" spans="1:42" outlineLevel="1" x14ac:dyDescent="0.25">
      <c r="A51" s="12"/>
      <c r="B51" s="13"/>
      <c r="C51" s="37" t="s">
        <v>515</v>
      </c>
      <c r="D51" s="37"/>
      <c r="E51" s="38"/>
      <c r="F51" s="39"/>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17"/>
    </row>
    <row r="52" spans="1:42" outlineLevel="1" x14ac:dyDescent="0.25">
      <c r="A52" s="12"/>
      <c r="B52" s="13"/>
      <c r="C52" s="20" t="s">
        <v>516</v>
      </c>
      <c r="D52" s="45"/>
      <c r="E52" s="15"/>
      <c r="F52" s="16"/>
      <c r="G52" s="165"/>
      <c r="H52" s="165"/>
      <c r="I52" s="165"/>
      <c r="J52" s="165"/>
      <c r="K52" s="165"/>
      <c r="L52" s="165"/>
      <c r="M52" s="165"/>
      <c r="N52" s="165"/>
      <c r="O52" s="165"/>
      <c r="P52" s="165"/>
      <c r="Q52" s="165"/>
      <c r="R52" s="165"/>
      <c r="S52" s="165"/>
      <c r="T52" s="165"/>
      <c r="U52" s="28"/>
      <c r="V52" s="28"/>
      <c r="W52" s="28"/>
      <c r="X52" s="28"/>
      <c r="Y52" s="28"/>
      <c r="Z52" s="28"/>
      <c r="AA52" s="28"/>
      <c r="AB52" s="28"/>
      <c r="AC52" s="28"/>
      <c r="AD52" s="28"/>
      <c r="AE52" s="28"/>
      <c r="AF52" s="28"/>
      <c r="AG52" s="28"/>
      <c r="AH52" s="28"/>
      <c r="AI52" s="28"/>
      <c r="AJ52" s="28"/>
      <c r="AK52" s="28"/>
      <c r="AL52" s="28"/>
      <c r="AM52" s="28"/>
      <c r="AN52" s="28"/>
      <c r="AO52" s="28"/>
      <c r="AP52" s="29"/>
    </row>
    <row r="53" spans="1:42" outlineLevel="1" x14ac:dyDescent="0.25">
      <c r="A53" s="12"/>
      <c r="B53" s="13"/>
      <c r="C53" s="45" t="s">
        <v>517</v>
      </c>
      <c r="D53" s="45"/>
      <c r="E53" s="15" t="s">
        <v>342</v>
      </c>
      <c r="F53" s="179">
        <f>Data!$E$216</f>
        <v>0</v>
      </c>
      <c r="G53" s="165"/>
      <c r="H53" s="165"/>
      <c r="I53" s="165"/>
      <c r="J53" s="165"/>
      <c r="K53" s="165"/>
      <c r="L53" s="165"/>
      <c r="M53" s="165"/>
      <c r="N53" s="165"/>
      <c r="O53" s="165"/>
      <c r="P53" s="165"/>
      <c r="Q53" s="165"/>
      <c r="R53" s="165"/>
      <c r="S53" s="165"/>
      <c r="T53" s="165"/>
      <c r="U53" s="28"/>
      <c r="V53" s="28"/>
      <c r="W53" s="28"/>
      <c r="X53" s="28"/>
      <c r="Y53" s="28"/>
      <c r="Z53" s="28"/>
      <c r="AA53" s="28"/>
      <c r="AB53" s="28"/>
      <c r="AC53" s="28"/>
      <c r="AD53" s="28"/>
      <c r="AE53" s="28"/>
      <c r="AF53" s="28"/>
      <c r="AG53" s="28"/>
      <c r="AH53" s="28"/>
      <c r="AI53" s="28"/>
      <c r="AJ53" s="28"/>
      <c r="AK53" s="28"/>
      <c r="AL53" s="28"/>
      <c r="AM53" s="28"/>
      <c r="AN53" s="28"/>
      <c r="AO53" s="28"/>
      <c r="AP53" s="29"/>
    </row>
    <row r="54" spans="1:42" outlineLevel="1" x14ac:dyDescent="0.25">
      <c r="A54" s="12"/>
      <c r="B54" s="13"/>
      <c r="C54" s="45" t="s">
        <v>518</v>
      </c>
      <c r="D54" s="45"/>
      <c r="E54" s="15" t="s">
        <v>142</v>
      </c>
      <c r="F54" s="179"/>
      <c r="G54" s="186">
        <f>F53*Data!$G$16/1000</f>
        <v>0</v>
      </c>
      <c r="H54" s="165"/>
      <c r="I54" s="165"/>
      <c r="J54" s="165"/>
      <c r="K54" s="165"/>
      <c r="L54" s="165"/>
      <c r="M54" s="165"/>
      <c r="N54" s="165"/>
      <c r="O54" s="165"/>
      <c r="P54" s="165"/>
      <c r="Q54" s="165"/>
      <c r="R54" s="165"/>
      <c r="S54" s="165"/>
      <c r="T54" s="165"/>
      <c r="U54" s="28"/>
      <c r="V54" s="28"/>
      <c r="W54" s="28"/>
      <c r="X54" s="28"/>
      <c r="Y54" s="28"/>
      <c r="Z54" s="28"/>
      <c r="AA54" s="28"/>
      <c r="AB54" s="28"/>
      <c r="AC54" s="28"/>
      <c r="AD54" s="28"/>
      <c r="AE54" s="28"/>
      <c r="AF54" s="28"/>
      <c r="AG54" s="28"/>
      <c r="AH54" s="28"/>
      <c r="AI54" s="28"/>
      <c r="AJ54" s="28"/>
      <c r="AK54" s="28"/>
      <c r="AL54" s="28"/>
      <c r="AM54" s="28"/>
      <c r="AN54" s="28"/>
      <c r="AO54" s="28"/>
      <c r="AP54" s="29"/>
    </row>
    <row r="55" spans="1:42" outlineLevel="1" x14ac:dyDescent="0.25">
      <c r="A55" s="12"/>
      <c r="B55" s="13"/>
      <c r="C55" s="45" t="s">
        <v>518</v>
      </c>
      <c r="D55" s="45"/>
      <c r="E55" s="15" t="s">
        <v>261</v>
      </c>
      <c r="F55" s="179"/>
      <c r="G55" s="184">
        <f>G54/(SUM(H13:AN13))</f>
        <v>0</v>
      </c>
      <c r="H55" s="165"/>
      <c r="I55" s="165"/>
      <c r="J55" s="165"/>
      <c r="K55" s="165"/>
      <c r="L55" s="165"/>
      <c r="M55" s="165"/>
      <c r="N55" s="165"/>
      <c r="O55" s="165"/>
      <c r="P55" s="165"/>
      <c r="Q55" s="165"/>
      <c r="R55" s="165"/>
      <c r="S55" s="165"/>
      <c r="T55" s="165"/>
      <c r="U55" s="28"/>
      <c r="V55" s="28"/>
      <c r="W55" s="28"/>
      <c r="X55" s="28"/>
      <c r="Y55" s="28"/>
      <c r="Z55" s="28"/>
      <c r="AA55" s="28"/>
      <c r="AB55" s="28"/>
      <c r="AC55" s="28"/>
      <c r="AD55" s="28"/>
      <c r="AE55" s="28"/>
      <c r="AF55" s="28"/>
      <c r="AG55" s="28"/>
      <c r="AH55" s="28"/>
      <c r="AI55" s="28"/>
      <c r="AJ55" s="28"/>
      <c r="AK55" s="28"/>
      <c r="AL55" s="28"/>
      <c r="AM55" s="28"/>
      <c r="AN55" s="28"/>
      <c r="AO55" s="28"/>
      <c r="AP55" s="29"/>
    </row>
    <row r="56" spans="1:42" outlineLevel="1" x14ac:dyDescent="0.25">
      <c r="A56" s="12"/>
      <c r="B56" s="13"/>
      <c r="C56" s="20" t="s">
        <v>519</v>
      </c>
      <c r="D56" s="19"/>
      <c r="E56" s="15"/>
      <c r="F56" s="16"/>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7"/>
    </row>
    <row r="57" spans="1:42" outlineLevel="1" x14ac:dyDescent="0.25">
      <c r="A57" s="12"/>
      <c r="B57" s="13"/>
      <c r="C57" t="s">
        <v>520</v>
      </c>
      <c r="D57" s="14"/>
      <c r="E57" s="15" t="s">
        <v>521</v>
      </c>
      <c r="F57" s="16"/>
      <c r="G57" s="14"/>
      <c r="H57" s="141"/>
      <c r="I57" s="141">
        <f>I13</f>
        <v>93600</v>
      </c>
      <c r="J57" s="141">
        <f t="shared" ref="J57:AN57" si="5">J13</f>
        <v>93600</v>
      </c>
      <c r="K57" s="141">
        <f t="shared" si="5"/>
        <v>93600</v>
      </c>
      <c r="L57" s="141">
        <f t="shared" si="5"/>
        <v>93600</v>
      </c>
      <c r="M57" s="141">
        <f t="shared" si="5"/>
        <v>93600</v>
      </c>
      <c r="N57" s="141">
        <f t="shared" si="5"/>
        <v>93600</v>
      </c>
      <c r="O57" s="141">
        <f t="shared" si="5"/>
        <v>93600</v>
      </c>
      <c r="P57" s="141">
        <f t="shared" si="5"/>
        <v>93600</v>
      </c>
      <c r="Q57" s="141">
        <f t="shared" si="5"/>
        <v>93600</v>
      </c>
      <c r="R57" s="141">
        <f t="shared" si="5"/>
        <v>93600</v>
      </c>
      <c r="S57" s="141">
        <f t="shared" si="5"/>
        <v>93600</v>
      </c>
      <c r="T57" s="141">
        <f t="shared" si="5"/>
        <v>93600</v>
      </c>
      <c r="U57" s="141">
        <f t="shared" si="5"/>
        <v>0</v>
      </c>
      <c r="V57" s="141">
        <f t="shared" si="5"/>
        <v>0</v>
      </c>
      <c r="W57" s="141">
        <f t="shared" si="5"/>
        <v>0</v>
      </c>
      <c r="X57" s="141">
        <f t="shared" si="5"/>
        <v>0</v>
      </c>
      <c r="Y57" s="141">
        <f t="shared" si="5"/>
        <v>0</v>
      </c>
      <c r="Z57" s="141">
        <f t="shared" si="5"/>
        <v>0</v>
      </c>
      <c r="AA57" s="141">
        <f t="shared" si="5"/>
        <v>0</v>
      </c>
      <c r="AB57" s="141">
        <f t="shared" si="5"/>
        <v>0</v>
      </c>
      <c r="AC57" s="141">
        <f t="shared" si="5"/>
        <v>0</v>
      </c>
      <c r="AD57" s="141">
        <f t="shared" si="5"/>
        <v>0</v>
      </c>
      <c r="AE57" s="141">
        <f t="shared" si="5"/>
        <v>0</v>
      </c>
      <c r="AF57" s="141">
        <f t="shared" si="5"/>
        <v>0</v>
      </c>
      <c r="AG57" s="141">
        <f t="shared" si="5"/>
        <v>0</v>
      </c>
      <c r="AH57" s="141">
        <f t="shared" si="5"/>
        <v>0</v>
      </c>
      <c r="AI57" s="141">
        <f t="shared" si="5"/>
        <v>0</v>
      </c>
      <c r="AJ57" s="141">
        <f t="shared" si="5"/>
        <v>0</v>
      </c>
      <c r="AK57" s="141">
        <f t="shared" si="5"/>
        <v>0</v>
      </c>
      <c r="AL57" s="141">
        <f t="shared" si="5"/>
        <v>0</v>
      </c>
      <c r="AM57" s="141">
        <f t="shared" si="5"/>
        <v>0</v>
      </c>
      <c r="AN57" s="141">
        <f t="shared" si="5"/>
        <v>0</v>
      </c>
      <c r="AO57" s="141"/>
      <c r="AP57" s="14"/>
    </row>
    <row r="58" spans="1:42" outlineLevel="1" x14ac:dyDescent="0.25">
      <c r="A58" s="12"/>
      <c r="B58" s="13"/>
      <c r="C58" s="14" t="s">
        <v>535</v>
      </c>
      <c r="D58" s="14"/>
      <c r="E58" s="15"/>
      <c r="F58" s="16"/>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4"/>
      <c r="AH58" s="14"/>
      <c r="AI58" s="14"/>
      <c r="AJ58" s="14"/>
      <c r="AK58" s="14"/>
      <c r="AL58" s="14"/>
      <c r="AM58" s="14"/>
      <c r="AN58" s="14"/>
      <c r="AO58" s="14"/>
      <c r="AP58" s="14"/>
    </row>
    <row r="59" spans="1:42" ht="14.25" customHeight="1" outlineLevel="1" x14ac:dyDescent="0.25">
      <c r="A59" s="54"/>
      <c r="B59" s="13"/>
      <c r="C59" s="14" t="s">
        <v>205</v>
      </c>
      <c r="D59" s="14"/>
      <c r="E59" s="70" t="s">
        <v>352</v>
      </c>
      <c r="F59" s="201">
        <f>Data!E435/1000</f>
        <v>3.9065920426430943E-3</v>
      </c>
      <c r="G59" s="231">
        <f>SUM(I59:AO59)</f>
        <v>4387.8841822967242</v>
      </c>
      <c r="H59" s="56"/>
      <c r="I59" s="56">
        <f>I$57*$F59</f>
        <v>365.65701519139361</v>
      </c>
      <c r="J59" s="56">
        <f t="shared" ref="I59:J63" si="6">J$57*$F59</f>
        <v>365.65701519139361</v>
      </c>
      <c r="K59" s="56">
        <f t="shared" ref="K59:AC65" si="7">K$57*$F59</f>
        <v>365.65701519139361</v>
      </c>
      <c r="L59" s="56">
        <f t="shared" si="7"/>
        <v>365.65701519139361</v>
      </c>
      <c r="M59" s="56">
        <f t="shared" si="7"/>
        <v>365.65701519139361</v>
      </c>
      <c r="N59" s="56">
        <f t="shared" si="7"/>
        <v>365.65701519139361</v>
      </c>
      <c r="O59" s="56">
        <f t="shared" si="7"/>
        <v>365.65701519139361</v>
      </c>
      <c r="P59" s="56">
        <f t="shared" si="7"/>
        <v>365.65701519139361</v>
      </c>
      <c r="Q59" s="56">
        <f t="shared" si="7"/>
        <v>365.65701519139361</v>
      </c>
      <c r="R59" s="56">
        <f t="shared" si="7"/>
        <v>365.65701519139361</v>
      </c>
      <c r="S59" s="56">
        <f t="shared" si="7"/>
        <v>365.65701519139361</v>
      </c>
      <c r="T59" s="56">
        <f t="shared" si="7"/>
        <v>365.65701519139361</v>
      </c>
      <c r="U59" s="56">
        <f t="shared" si="7"/>
        <v>0</v>
      </c>
      <c r="V59" s="56">
        <f t="shared" si="7"/>
        <v>0</v>
      </c>
      <c r="W59" s="56">
        <f t="shared" si="7"/>
        <v>0</v>
      </c>
      <c r="X59" s="56">
        <f t="shared" si="7"/>
        <v>0</v>
      </c>
      <c r="Y59" s="56">
        <f t="shared" si="7"/>
        <v>0</v>
      </c>
      <c r="Z59" s="56">
        <f t="shared" si="7"/>
        <v>0</v>
      </c>
      <c r="AA59" s="56">
        <f t="shared" si="7"/>
        <v>0</v>
      </c>
      <c r="AB59" s="56">
        <f t="shared" si="7"/>
        <v>0</v>
      </c>
      <c r="AC59" s="56">
        <f t="shared" si="7"/>
        <v>0</v>
      </c>
      <c r="AD59" s="56">
        <f t="shared" ref="AC59:AN65" si="8">AD$57*$F59</f>
        <v>0</v>
      </c>
      <c r="AE59" s="56">
        <f t="shared" si="8"/>
        <v>0</v>
      </c>
      <c r="AF59" s="56">
        <f t="shared" si="8"/>
        <v>0</v>
      </c>
      <c r="AG59" s="56">
        <f t="shared" si="8"/>
        <v>0</v>
      </c>
      <c r="AH59" s="56">
        <f t="shared" si="8"/>
        <v>0</v>
      </c>
      <c r="AI59" s="56">
        <f t="shared" si="8"/>
        <v>0</v>
      </c>
      <c r="AJ59" s="56">
        <f t="shared" si="8"/>
        <v>0</v>
      </c>
      <c r="AK59" s="56">
        <f t="shared" si="8"/>
        <v>0</v>
      </c>
      <c r="AL59" s="56">
        <f t="shared" si="8"/>
        <v>0</v>
      </c>
      <c r="AM59" s="56">
        <f t="shared" si="8"/>
        <v>0</v>
      </c>
      <c r="AN59" s="56">
        <f t="shared" si="8"/>
        <v>0</v>
      </c>
      <c r="AO59" s="56"/>
      <c r="AP59" s="29"/>
    </row>
    <row r="60" spans="1:42" outlineLevel="1" x14ac:dyDescent="0.25">
      <c r="A60" s="54"/>
      <c r="B60" s="13"/>
      <c r="C60" s="14" t="s">
        <v>484</v>
      </c>
      <c r="D60" s="14"/>
      <c r="E60" s="70" t="s">
        <v>352</v>
      </c>
      <c r="F60" s="201">
        <f>Data!E436/1000</f>
        <v>1.0161174916159967</v>
      </c>
      <c r="G60" s="231">
        <f t="shared" ref="G60:G72" si="9">SUM(I60:AO60)</f>
        <v>1141303.1665830878</v>
      </c>
      <c r="H60" s="231"/>
      <c r="I60" s="56">
        <f t="shared" si="6"/>
        <v>95108.597215257294</v>
      </c>
      <c r="J60" s="56">
        <f t="shared" si="6"/>
        <v>95108.597215257294</v>
      </c>
      <c r="K60" s="56">
        <f t="shared" si="7"/>
        <v>95108.597215257294</v>
      </c>
      <c r="L60" s="56">
        <f t="shared" si="7"/>
        <v>95108.597215257294</v>
      </c>
      <c r="M60" s="56">
        <f t="shared" si="7"/>
        <v>95108.597215257294</v>
      </c>
      <c r="N60" s="56">
        <f t="shared" si="7"/>
        <v>95108.597215257294</v>
      </c>
      <c r="O60" s="56">
        <f t="shared" si="7"/>
        <v>95108.597215257294</v>
      </c>
      <c r="P60" s="56">
        <f t="shared" si="7"/>
        <v>95108.597215257294</v>
      </c>
      <c r="Q60" s="56">
        <f t="shared" si="7"/>
        <v>95108.597215257294</v>
      </c>
      <c r="R60" s="56">
        <f t="shared" si="7"/>
        <v>95108.597215257294</v>
      </c>
      <c r="S60" s="56">
        <f t="shared" si="7"/>
        <v>95108.597215257294</v>
      </c>
      <c r="T60" s="56">
        <f t="shared" si="7"/>
        <v>95108.597215257294</v>
      </c>
      <c r="U60" s="56">
        <f t="shared" si="7"/>
        <v>0</v>
      </c>
      <c r="V60" s="56">
        <f t="shared" si="7"/>
        <v>0</v>
      </c>
      <c r="W60" s="56">
        <f t="shared" si="7"/>
        <v>0</v>
      </c>
      <c r="X60" s="56">
        <f t="shared" si="7"/>
        <v>0</v>
      </c>
      <c r="Y60" s="56">
        <f t="shared" si="7"/>
        <v>0</v>
      </c>
      <c r="Z60" s="56">
        <f t="shared" si="7"/>
        <v>0</v>
      </c>
      <c r="AA60" s="56">
        <f t="shared" si="7"/>
        <v>0</v>
      </c>
      <c r="AB60" s="56">
        <f t="shared" si="7"/>
        <v>0</v>
      </c>
      <c r="AC60" s="56">
        <f t="shared" si="8"/>
        <v>0</v>
      </c>
      <c r="AD60" s="56">
        <f t="shared" si="8"/>
        <v>0</v>
      </c>
      <c r="AE60" s="56">
        <f t="shared" si="8"/>
        <v>0</v>
      </c>
      <c r="AF60" s="56">
        <f t="shared" si="8"/>
        <v>0</v>
      </c>
      <c r="AG60" s="56">
        <f t="shared" si="8"/>
        <v>0</v>
      </c>
      <c r="AH60" s="56">
        <f t="shared" si="8"/>
        <v>0</v>
      </c>
      <c r="AI60" s="56">
        <f t="shared" si="8"/>
        <v>0</v>
      </c>
      <c r="AJ60" s="56">
        <f t="shared" si="8"/>
        <v>0</v>
      </c>
      <c r="AK60" s="56">
        <f t="shared" si="8"/>
        <v>0</v>
      </c>
      <c r="AL60" s="56">
        <f t="shared" si="8"/>
        <v>0</v>
      </c>
      <c r="AM60" s="56">
        <f t="shared" si="8"/>
        <v>0</v>
      </c>
      <c r="AN60" s="56">
        <f t="shared" si="8"/>
        <v>0</v>
      </c>
      <c r="AO60" s="56"/>
      <c r="AP60" s="29"/>
    </row>
    <row r="61" spans="1:42" outlineLevel="1" x14ac:dyDescent="0.25">
      <c r="A61" s="54"/>
      <c r="B61" s="13"/>
      <c r="C61" s="14" t="s">
        <v>285</v>
      </c>
      <c r="D61" s="14"/>
      <c r="E61" s="70" t="s">
        <v>352</v>
      </c>
      <c r="F61" s="201">
        <f>Data!E437/1000</f>
        <v>2.8470339849987793E-4</v>
      </c>
      <c r="G61" s="231">
        <f t="shared" si="9"/>
        <v>319.77885719506293</v>
      </c>
      <c r="H61" s="56"/>
      <c r="I61" s="56">
        <f>I$57*$F61</f>
        <v>26.648238099588575</v>
      </c>
      <c r="J61" s="56">
        <f t="shared" si="6"/>
        <v>26.648238099588575</v>
      </c>
      <c r="K61" s="56">
        <f t="shared" si="7"/>
        <v>26.648238099588575</v>
      </c>
      <c r="L61" s="56">
        <f t="shared" si="7"/>
        <v>26.648238099588575</v>
      </c>
      <c r="M61" s="56">
        <f t="shared" si="7"/>
        <v>26.648238099588575</v>
      </c>
      <c r="N61" s="56">
        <f t="shared" si="7"/>
        <v>26.648238099588575</v>
      </c>
      <c r="O61" s="56">
        <f t="shared" si="7"/>
        <v>26.648238099588575</v>
      </c>
      <c r="P61" s="56">
        <f t="shared" si="7"/>
        <v>26.648238099588575</v>
      </c>
      <c r="Q61" s="56">
        <f t="shared" si="7"/>
        <v>26.648238099588575</v>
      </c>
      <c r="R61" s="56">
        <f t="shared" si="7"/>
        <v>26.648238099588575</v>
      </c>
      <c r="S61" s="56">
        <f t="shared" si="7"/>
        <v>26.648238099588575</v>
      </c>
      <c r="T61" s="56">
        <f t="shared" si="7"/>
        <v>26.648238099588575</v>
      </c>
      <c r="U61" s="56">
        <f t="shared" si="7"/>
        <v>0</v>
      </c>
      <c r="V61" s="56">
        <f t="shared" si="7"/>
        <v>0</v>
      </c>
      <c r="W61" s="56">
        <f t="shared" si="7"/>
        <v>0</v>
      </c>
      <c r="X61" s="56">
        <f t="shared" si="7"/>
        <v>0</v>
      </c>
      <c r="Y61" s="56">
        <f t="shared" si="7"/>
        <v>0</v>
      </c>
      <c r="Z61" s="56">
        <f t="shared" si="7"/>
        <v>0</v>
      </c>
      <c r="AA61" s="56">
        <f t="shared" si="7"/>
        <v>0</v>
      </c>
      <c r="AB61" s="56">
        <f t="shared" si="7"/>
        <v>0</v>
      </c>
      <c r="AC61" s="56">
        <f t="shared" si="8"/>
        <v>0</v>
      </c>
      <c r="AD61" s="56">
        <f t="shared" si="8"/>
        <v>0</v>
      </c>
      <c r="AE61" s="56">
        <f t="shared" si="8"/>
        <v>0</v>
      </c>
      <c r="AF61" s="56">
        <f t="shared" si="8"/>
        <v>0</v>
      </c>
      <c r="AG61" s="56">
        <f t="shared" si="8"/>
        <v>0</v>
      </c>
      <c r="AH61" s="56">
        <f t="shared" si="8"/>
        <v>0</v>
      </c>
      <c r="AI61" s="56">
        <f t="shared" si="8"/>
        <v>0</v>
      </c>
      <c r="AJ61" s="56">
        <f t="shared" si="8"/>
        <v>0</v>
      </c>
      <c r="AK61" s="56">
        <f t="shared" si="8"/>
        <v>0</v>
      </c>
      <c r="AL61" s="56">
        <f t="shared" si="8"/>
        <v>0</v>
      </c>
      <c r="AM61" s="56">
        <f t="shared" si="8"/>
        <v>0</v>
      </c>
      <c r="AN61" s="56">
        <f t="shared" si="8"/>
        <v>0</v>
      </c>
      <c r="AO61" s="56"/>
      <c r="AP61" s="29"/>
    </row>
    <row r="62" spans="1:42" outlineLevel="1" x14ac:dyDescent="0.25">
      <c r="A62" s="54"/>
      <c r="B62" s="13"/>
      <c r="C62" s="14" t="s">
        <v>220</v>
      </c>
      <c r="D62" s="14"/>
      <c r="E62" s="70" t="s">
        <v>352</v>
      </c>
      <c r="F62" s="201">
        <f>Data!E438/1000</f>
        <v>1.0339278110249E-2</v>
      </c>
      <c r="G62" s="231">
        <f t="shared" si="9"/>
        <v>11613.077173431673</v>
      </c>
      <c r="H62" s="56"/>
      <c r="I62" s="56">
        <f t="shared" si="6"/>
        <v>967.7564311193064</v>
      </c>
      <c r="J62" s="56">
        <f t="shared" si="6"/>
        <v>967.7564311193064</v>
      </c>
      <c r="K62" s="56">
        <f t="shared" si="7"/>
        <v>967.7564311193064</v>
      </c>
      <c r="L62" s="56">
        <f t="shared" si="7"/>
        <v>967.7564311193064</v>
      </c>
      <c r="M62" s="56">
        <f t="shared" si="7"/>
        <v>967.7564311193064</v>
      </c>
      <c r="N62" s="56">
        <f t="shared" si="7"/>
        <v>967.7564311193064</v>
      </c>
      <c r="O62" s="56">
        <f t="shared" si="7"/>
        <v>967.7564311193064</v>
      </c>
      <c r="P62" s="56">
        <f t="shared" si="7"/>
        <v>967.7564311193064</v>
      </c>
      <c r="Q62" s="56">
        <f t="shared" si="7"/>
        <v>967.7564311193064</v>
      </c>
      <c r="R62" s="56">
        <f t="shared" si="7"/>
        <v>967.7564311193064</v>
      </c>
      <c r="S62" s="56">
        <f t="shared" si="7"/>
        <v>967.7564311193064</v>
      </c>
      <c r="T62" s="56">
        <f t="shared" si="7"/>
        <v>967.7564311193064</v>
      </c>
      <c r="U62" s="56">
        <f t="shared" si="7"/>
        <v>0</v>
      </c>
      <c r="V62" s="56">
        <f t="shared" si="7"/>
        <v>0</v>
      </c>
      <c r="W62" s="56">
        <f t="shared" si="7"/>
        <v>0</v>
      </c>
      <c r="X62" s="56">
        <f t="shared" si="7"/>
        <v>0</v>
      </c>
      <c r="Y62" s="56">
        <f t="shared" si="7"/>
        <v>0</v>
      </c>
      <c r="Z62" s="56">
        <f t="shared" si="7"/>
        <v>0</v>
      </c>
      <c r="AA62" s="56">
        <f t="shared" si="7"/>
        <v>0</v>
      </c>
      <c r="AB62" s="56">
        <f t="shared" si="7"/>
        <v>0</v>
      </c>
      <c r="AC62" s="56">
        <f t="shared" si="8"/>
        <v>0</v>
      </c>
      <c r="AD62" s="56">
        <f t="shared" si="8"/>
        <v>0</v>
      </c>
      <c r="AE62" s="56">
        <f t="shared" si="8"/>
        <v>0</v>
      </c>
      <c r="AF62" s="56">
        <f t="shared" si="8"/>
        <v>0</v>
      </c>
      <c r="AG62" s="56">
        <f t="shared" si="8"/>
        <v>0</v>
      </c>
      <c r="AH62" s="56">
        <f t="shared" si="8"/>
        <v>0</v>
      </c>
      <c r="AI62" s="56">
        <f t="shared" si="8"/>
        <v>0</v>
      </c>
      <c r="AJ62" s="56">
        <f t="shared" si="8"/>
        <v>0</v>
      </c>
      <c r="AK62" s="56">
        <f t="shared" si="8"/>
        <v>0</v>
      </c>
      <c r="AL62" s="56">
        <f t="shared" si="8"/>
        <v>0</v>
      </c>
      <c r="AM62" s="56">
        <f t="shared" si="8"/>
        <v>0</v>
      </c>
      <c r="AN62" s="56">
        <f t="shared" si="8"/>
        <v>0</v>
      </c>
      <c r="AO62" s="56"/>
      <c r="AP62" s="29"/>
    </row>
    <row r="63" spans="1:42" outlineLevel="1" x14ac:dyDescent="0.25">
      <c r="A63" s="54"/>
      <c r="B63" s="13"/>
      <c r="C63" s="14" t="s">
        <v>212</v>
      </c>
      <c r="D63" s="14"/>
      <c r="E63" s="70" t="s">
        <v>352</v>
      </c>
      <c r="F63" s="201">
        <f>Data!E439/1000</f>
        <v>1.1276795525219016E-3</v>
      </c>
      <c r="G63" s="231">
        <f t="shared" si="9"/>
        <v>1266.6096733925997</v>
      </c>
      <c r="H63" s="56"/>
      <c r="I63" s="56">
        <f t="shared" si="6"/>
        <v>105.55080611605</v>
      </c>
      <c r="J63" s="56">
        <f t="shared" si="6"/>
        <v>105.55080611605</v>
      </c>
      <c r="K63" s="56">
        <f t="shared" si="7"/>
        <v>105.55080611605</v>
      </c>
      <c r="L63" s="56">
        <f t="shared" si="7"/>
        <v>105.55080611605</v>
      </c>
      <c r="M63" s="56">
        <f t="shared" si="7"/>
        <v>105.55080611605</v>
      </c>
      <c r="N63" s="56">
        <f t="shared" si="7"/>
        <v>105.55080611605</v>
      </c>
      <c r="O63" s="56">
        <f t="shared" si="7"/>
        <v>105.55080611605</v>
      </c>
      <c r="P63" s="56">
        <f t="shared" si="7"/>
        <v>105.55080611605</v>
      </c>
      <c r="Q63" s="56">
        <f t="shared" si="7"/>
        <v>105.55080611605</v>
      </c>
      <c r="R63" s="56">
        <f t="shared" si="7"/>
        <v>105.55080611605</v>
      </c>
      <c r="S63" s="56">
        <f t="shared" si="7"/>
        <v>105.55080611605</v>
      </c>
      <c r="T63" s="56">
        <f t="shared" si="7"/>
        <v>105.55080611605</v>
      </c>
      <c r="U63" s="56">
        <f t="shared" si="7"/>
        <v>0</v>
      </c>
      <c r="V63" s="56">
        <f t="shared" si="7"/>
        <v>0</v>
      </c>
      <c r="W63" s="56">
        <f t="shared" si="7"/>
        <v>0</v>
      </c>
      <c r="X63" s="56">
        <f t="shared" si="7"/>
        <v>0</v>
      </c>
      <c r="Y63" s="56">
        <f t="shared" si="7"/>
        <v>0</v>
      </c>
      <c r="Z63" s="56">
        <f t="shared" si="7"/>
        <v>0</v>
      </c>
      <c r="AA63" s="56">
        <f t="shared" si="7"/>
        <v>0</v>
      </c>
      <c r="AB63" s="56">
        <f t="shared" si="7"/>
        <v>0</v>
      </c>
      <c r="AC63" s="56">
        <f t="shared" si="8"/>
        <v>0</v>
      </c>
      <c r="AD63" s="56">
        <f t="shared" si="8"/>
        <v>0</v>
      </c>
      <c r="AE63" s="56">
        <f t="shared" si="8"/>
        <v>0</v>
      </c>
      <c r="AF63" s="56">
        <f t="shared" si="8"/>
        <v>0</v>
      </c>
      <c r="AG63" s="56">
        <f t="shared" si="8"/>
        <v>0</v>
      </c>
      <c r="AH63" s="56">
        <f t="shared" si="8"/>
        <v>0</v>
      </c>
      <c r="AI63" s="56">
        <f t="shared" si="8"/>
        <v>0</v>
      </c>
      <c r="AJ63" s="56">
        <f t="shared" si="8"/>
        <v>0</v>
      </c>
      <c r="AK63" s="56">
        <f t="shared" si="8"/>
        <v>0</v>
      </c>
      <c r="AL63" s="56">
        <f t="shared" si="8"/>
        <v>0</v>
      </c>
      <c r="AM63" s="56">
        <f t="shared" si="8"/>
        <v>0</v>
      </c>
      <c r="AN63" s="56">
        <f t="shared" si="8"/>
        <v>0</v>
      </c>
      <c r="AO63" s="56"/>
      <c r="AP63" s="29"/>
    </row>
    <row r="64" spans="1:42" outlineLevel="1" x14ac:dyDescent="0.25">
      <c r="A64" s="54"/>
      <c r="B64" s="13"/>
      <c r="C64" s="14" t="s">
        <v>485</v>
      </c>
      <c r="D64" s="14"/>
      <c r="E64" s="70" t="s">
        <v>352</v>
      </c>
      <c r="F64" s="201">
        <f>Data!E440/1000</f>
        <v>1.5802381815554559E-4</v>
      </c>
      <c r="G64" s="231">
        <f t="shared" si="9"/>
        <v>177.49235255230874</v>
      </c>
      <c r="H64" s="56"/>
      <c r="I64" s="56">
        <f>I$57*$F64</f>
        <v>14.791029379359067</v>
      </c>
      <c r="J64" s="56">
        <f t="shared" ref="J64:X65" si="10">J$57*$F64</f>
        <v>14.791029379359067</v>
      </c>
      <c r="K64" s="56">
        <f t="shared" si="10"/>
        <v>14.791029379359067</v>
      </c>
      <c r="L64" s="56">
        <f t="shared" si="10"/>
        <v>14.791029379359067</v>
      </c>
      <c r="M64" s="56">
        <f t="shared" si="10"/>
        <v>14.791029379359067</v>
      </c>
      <c r="N64" s="56">
        <f t="shared" si="10"/>
        <v>14.791029379359067</v>
      </c>
      <c r="O64" s="56">
        <f t="shared" si="10"/>
        <v>14.791029379359067</v>
      </c>
      <c r="P64" s="56">
        <f t="shared" si="10"/>
        <v>14.791029379359067</v>
      </c>
      <c r="Q64" s="56">
        <f t="shared" si="10"/>
        <v>14.791029379359067</v>
      </c>
      <c r="R64" s="56">
        <f t="shared" si="10"/>
        <v>14.791029379359067</v>
      </c>
      <c r="S64" s="56">
        <f t="shared" si="10"/>
        <v>14.791029379359067</v>
      </c>
      <c r="T64" s="56">
        <f t="shared" si="10"/>
        <v>14.791029379359067</v>
      </c>
      <c r="U64" s="56">
        <f t="shared" si="10"/>
        <v>0</v>
      </c>
      <c r="V64" s="56">
        <f t="shared" si="10"/>
        <v>0</v>
      </c>
      <c r="W64" s="56">
        <f t="shared" si="10"/>
        <v>0</v>
      </c>
      <c r="X64" s="56">
        <f t="shared" si="10"/>
        <v>0</v>
      </c>
      <c r="Y64" s="56">
        <f t="shared" si="7"/>
        <v>0</v>
      </c>
      <c r="Z64" s="56">
        <f t="shared" si="7"/>
        <v>0</v>
      </c>
      <c r="AA64" s="56">
        <f t="shared" si="7"/>
        <v>0</v>
      </c>
      <c r="AB64" s="56">
        <f t="shared" si="7"/>
        <v>0</v>
      </c>
      <c r="AC64" s="56">
        <f t="shared" si="8"/>
        <v>0</v>
      </c>
      <c r="AD64" s="56">
        <f t="shared" si="8"/>
        <v>0</v>
      </c>
      <c r="AE64" s="56">
        <f t="shared" si="8"/>
        <v>0</v>
      </c>
      <c r="AF64" s="56">
        <f t="shared" si="8"/>
        <v>0</v>
      </c>
      <c r="AG64" s="56">
        <f t="shared" si="8"/>
        <v>0</v>
      </c>
      <c r="AH64" s="56">
        <f t="shared" si="8"/>
        <v>0</v>
      </c>
      <c r="AI64" s="56">
        <f t="shared" si="8"/>
        <v>0</v>
      </c>
      <c r="AJ64" s="56">
        <f t="shared" si="8"/>
        <v>0</v>
      </c>
      <c r="AK64" s="56">
        <f t="shared" si="8"/>
        <v>0</v>
      </c>
      <c r="AL64" s="56">
        <f t="shared" si="8"/>
        <v>0</v>
      </c>
      <c r="AM64" s="56">
        <f t="shared" si="8"/>
        <v>0</v>
      </c>
      <c r="AN64" s="56">
        <f t="shared" si="8"/>
        <v>0</v>
      </c>
      <c r="AO64" s="56"/>
      <c r="AP64" s="29"/>
    </row>
    <row r="65" spans="1:42" outlineLevel="1" x14ac:dyDescent="0.25">
      <c r="A65" s="54"/>
      <c r="B65" s="13"/>
      <c r="C65" s="14" t="s">
        <v>214</v>
      </c>
      <c r="D65" s="14"/>
      <c r="E65" s="70" t="s">
        <v>352</v>
      </c>
      <c r="F65" s="201">
        <f>Data!E441/1000</f>
        <v>1.1708913527999993E-5</v>
      </c>
      <c r="G65" s="231">
        <f t="shared" si="9"/>
        <v>13.151451674649588</v>
      </c>
      <c r="H65" s="56"/>
      <c r="I65" s="56">
        <f>I$57*$F65</f>
        <v>1.0959543062207993</v>
      </c>
      <c r="J65" s="56">
        <f t="shared" si="10"/>
        <v>1.0959543062207993</v>
      </c>
      <c r="K65" s="56">
        <f t="shared" si="7"/>
        <v>1.0959543062207993</v>
      </c>
      <c r="L65" s="56">
        <f t="shared" si="7"/>
        <v>1.0959543062207993</v>
      </c>
      <c r="M65" s="56">
        <f t="shared" si="7"/>
        <v>1.0959543062207993</v>
      </c>
      <c r="N65" s="56">
        <f t="shared" si="7"/>
        <v>1.0959543062207993</v>
      </c>
      <c r="O65" s="56">
        <f t="shared" si="7"/>
        <v>1.0959543062207993</v>
      </c>
      <c r="P65" s="56">
        <f t="shared" si="7"/>
        <v>1.0959543062207993</v>
      </c>
      <c r="Q65" s="56">
        <f t="shared" si="7"/>
        <v>1.0959543062207993</v>
      </c>
      <c r="R65" s="56">
        <f t="shared" si="7"/>
        <v>1.0959543062207993</v>
      </c>
      <c r="S65" s="56">
        <f t="shared" si="7"/>
        <v>1.0959543062207993</v>
      </c>
      <c r="T65" s="56">
        <f t="shared" si="7"/>
        <v>1.0959543062207993</v>
      </c>
      <c r="U65" s="56">
        <f t="shared" si="7"/>
        <v>0</v>
      </c>
      <c r="V65" s="56">
        <f t="shared" si="7"/>
        <v>0</v>
      </c>
      <c r="W65" s="56">
        <f t="shared" si="7"/>
        <v>0</v>
      </c>
      <c r="X65" s="56">
        <f t="shared" si="7"/>
        <v>0</v>
      </c>
      <c r="Y65" s="56">
        <f t="shared" si="7"/>
        <v>0</v>
      </c>
      <c r="Z65" s="56">
        <f t="shared" si="7"/>
        <v>0</v>
      </c>
      <c r="AA65" s="56">
        <f t="shared" si="7"/>
        <v>0</v>
      </c>
      <c r="AB65" s="56">
        <f t="shared" si="7"/>
        <v>0</v>
      </c>
      <c r="AC65" s="56">
        <f t="shared" si="8"/>
        <v>0</v>
      </c>
      <c r="AD65" s="56">
        <f t="shared" si="8"/>
        <v>0</v>
      </c>
      <c r="AE65" s="56">
        <f t="shared" si="8"/>
        <v>0</v>
      </c>
      <c r="AF65" s="56">
        <f t="shared" si="8"/>
        <v>0</v>
      </c>
      <c r="AG65" s="56">
        <f t="shared" si="8"/>
        <v>0</v>
      </c>
      <c r="AH65" s="56">
        <f t="shared" si="8"/>
        <v>0</v>
      </c>
      <c r="AI65" s="56">
        <f t="shared" si="8"/>
        <v>0</v>
      </c>
      <c r="AJ65" s="56">
        <f t="shared" si="8"/>
        <v>0</v>
      </c>
      <c r="AK65" s="56">
        <f t="shared" si="8"/>
        <v>0</v>
      </c>
      <c r="AL65" s="56">
        <f t="shared" si="8"/>
        <v>0</v>
      </c>
      <c r="AM65" s="56">
        <f t="shared" si="8"/>
        <v>0</v>
      </c>
      <c r="AN65" s="56">
        <f t="shared" si="8"/>
        <v>0</v>
      </c>
      <c r="AO65" s="56"/>
      <c r="AP65" s="29"/>
    </row>
    <row r="66" spans="1:42" outlineLevel="1" x14ac:dyDescent="0.25">
      <c r="A66" s="12"/>
      <c r="B66" s="13"/>
      <c r="C66" s="14"/>
      <c r="D66" s="14"/>
      <c r="E66" s="15"/>
      <c r="F66" s="16"/>
      <c r="G66" s="231">
        <f t="shared" si="9"/>
        <v>0</v>
      </c>
      <c r="H66" s="159"/>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14"/>
      <c r="AP66" s="14"/>
    </row>
    <row r="67" spans="1:42" outlineLevel="1" x14ac:dyDescent="0.25">
      <c r="A67" s="54"/>
      <c r="B67" s="13"/>
      <c r="C67" s="14" t="s">
        <v>205</v>
      </c>
      <c r="D67" s="14"/>
      <c r="E67" s="70" t="s">
        <v>474</v>
      </c>
      <c r="F67" s="200">
        <f>Data!$E$35/1000</f>
        <v>3.4099438202247192E-3</v>
      </c>
      <c r="G67" s="231">
        <f t="shared" si="9"/>
        <v>14.962438551284505</v>
      </c>
      <c r="H67" s="56"/>
      <c r="I67" s="56">
        <f>I$59*$F67</f>
        <v>1.246869879273709</v>
      </c>
      <c r="J67" s="56">
        <f>J$59*$F67</f>
        <v>1.246869879273709</v>
      </c>
      <c r="K67" s="56">
        <f t="shared" ref="K67:AN67" si="11">K$59*$F67</f>
        <v>1.246869879273709</v>
      </c>
      <c r="L67" s="56">
        <f t="shared" si="11"/>
        <v>1.246869879273709</v>
      </c>
      <c r="M67" s="56">
        <f t="shared" si="11"/>
        <v>1.246869879273709</v>
      </c>
      <c r="N67" s="56">
        <f t="shared" si="11"/>
        <v>1.246869879273709</v>
      </c>
      <c r="O67" s="56">
        <f t="shared" si="11"/>
        <v>1.246869879273709</v>
      </c>
      <c r="P67" s="56">
        <f t="shared" si="11"/>
        <v>1.246869879273709</v>
      </c>
      <c r="Q67" s="56">
        <f t="shared" si="11"/>
        <v>1.246869879273709</v>
      </c>
      <c r="R67" s="56">
        <f t="shared" si="11"/>
        <v>1.246869879273709</v>
      </c>
      <c r="S67" s="56">
        <f t="shared" si="11"/>
        <v>1.246869879273709</v>
      </c>
      <c r="T67" s="56">
        <f t="shared" si="11"/>
        <v>1.246869879273709</v>
      </c>
      <c r="U67" s="56">
        <f t="shared" si="11"/>
        <v>0</v>
      </c>
      <c r="V67" s="56">
        <f t="shared" si="11"/>
        <v>0</v>
      </c>
      <c r="W67" s="56">
        <f t="shared" si="11"/>
        <v>0</v>
      </c>
      <c r="X67" s="56">
        <f t="shared" si="11"/>
        <v>0</v>
      </c>
      <c r="Y67" s="56">
        <f t="shared" si="11"/>
        <v>0</v>
      </c>
      <c r="Z67" s="56">
        <f t="shared" si="11"/>
        <v>0</v>
      </c>
      <c r="AA67" s="56">
        <f t="shared" si="11"/>
        <v>0</v>
      </c>
      <c r="AB67" s="56">
        <f t="shared" si="11"/>
        <v>0</v>
      </c>
      <c r="AC67" s="56">
        <f t="shared" si="11"/>
        <v>0</v>
      </c>
      <c r="AD67" s="56">
        <f t="shared" si="11"/>
        <v>0</v>
      </c>
      <c r="AE67" s="56">
        <f t="shared" si="11"/>
        <v>0</v>
      </c>
      <c r="AF67" s="56">
        <f t="shared" si="11"/>
        <v>0</v>
      </c>
      <c r="AG67" s="56">
        <f t="shared" si="11"/>
        <v>0</v>
      </c>
      <c r="AH67" s="56">
        <f t="shared" si="11"/>
        <v>0</v>
      </c>
      <c r="AI67" s="56">
        <f t="shared" si="11"/>
        <v>0</v>
      </c>
      <c r="AJ67" s="56">
        <f t="shared" si="11"/>
        <v>0</v>
      </c>
      <c r="AK67" s="56">
        <f t="shared" si="11"/>
        <v>0</v>
      </c>
      <c r="AL67" s="56">
        <f t="shared" si="11"/>
        <v>0</v>
      </c>
      <c r="AM67" s="56">
        <f t="shared" si="11"/>
        <v>0</v>
      </c>
      <c r="AN67" s="56">
        <f t="shared" si="11"/>
        <v>0</v>
      </c>
      <c r="AO67" s="56"/>
      <c r="AP67" s="29"/>
    </row>
    <row r="68" spans="1:42" outlineLevel="1" x14ac:dyDescent="0.25">
      <c r="A68" s="54"/>
      <c r="B68" s="13"/>
      <c r="C68" s="14" t="s">
        <v>484</v>
      </c>
      <c r="D68" s="14"/>
      <c r="E68" s="70" t="s">
        <v>474</v>
      </c>
      <c r="F68" s="200"/>
      <c r="G68" s="231">
        <f>SUM(I68:AO68)</f>
        <v>166535.15372391552</v>
      </c>
      <c r="H68" s="56"/>
      <c r="I68" s="56">
        <f>I$60*Data!H$16/1000</f>
        <v>9225.5339298799572</v>
      </c>
      <c r="J68" s="56">
        <f>J$60*Data!I$16/1000</f>
        <v>10176.619902032529</v>
      </c>
      <c r="K68" s="56">
        <f>K$60*Data!J$16/1000</f>
        <v>11032.597276969846</v>
      </c>
      <c r="L68" s="56">
        <f>L$60*Data!K$16/1000</f>
        <v>11983.683249122418</v>
      </c>
      <c r="M68" s="56">
        <f>M$60*Data!L$16/1000</f>
        <v>12934.769221274992</v>
      </c>
      <c r="N68" s="56">
        <f>N$60*Data!M$16/1000</f>
        <v>13885.855193427564</v>
      </c>
      <c r="O68" s="56">
        <f>O$60*Data!N$16/1000</f>
        <v>14741.832568364882</v>
      </c>
      <c r="P68" s="56">
        <f>P$60*Data!O$16/1000</f>
        <v>15312.484151656425</v>
      </c>
      <c r="Q68" s="56">
        <f>Q$60*Data!P$16/1000</f>
        <v>15883.135734947968</v>
      </c>
      <c r="R68" s="56">
        <f>R$60*Data!Q$16/1000</f>
        <v>16548.89591545477</v>
      </c>
      <c r="S68" s="56">
        <f>S$60*Data!R$16/1000</f>
        <v>17119.547498746313</v>
      </c>
      <c r="T68" s="56">
        <f>T$60*Data!S$16/1000</f>
        <v>17690.199082037856</v>
      </c>
      <c r="U68" s="56">
        <f>U$60*Data!T$16/1000</f>
        <v>0</v>
      </c>
      <c r="V68" s="56">
        <f>V$60*Data!U$16/1000</f>
        <v>0</v>
      </c>
      <c r="W68" s="56">
        <f>W$60*Data!V$16/1000</f>
        <v>0</v>
      </c>
      <c r="X68" s="56">
        <f>X$60*Data!W$16/1000</f>
        <v>0</v>
      </c>
      <c r="Y68" s="56">
        <f>Y$60*Data!X$16/1000</f>
        <v>0</v>
      </c>
      <c r="Z68" s="56">
        <f>Z$60*Data!Y$16/1000</f>
        <v>0</v>
      </c>
      <c r="AA68" s="56">
        <f>AA$60*Data!Z$16/1000</f>
        <v>0</v>
      </c>
      <c r="AB68" s="56">
        <f>AB$60*Data!AA$16/1000</f>
        <v>0</v>
      </c>
      <c r="AC68" s="56">
        <f>AC$60*Data!AB$16/1000</f>
        <v>0</v>
      </c>
      <c r="AD68" s="56">
        <f>AD$60*Data!AC$16/1000</f>
        <v>0</v>
      </c>
      <c r="AE68" s="56">
        <f>AE$60*Data!AD$16/1000</f>
        <v>0</v>
      </c>
      <c r="AF68" s="56">
        <f>AF$60*Data!AE$16/1000</f>
        <v>0</v>
      </c>
      <c r="AG68" s="56">
        <f>AG$60*Data!AF$16/1000</f>
        <v>0</v>
      </c>
      <c r="AH68" s="56">
        <f>AH$60*Data!AG$16/1000</f>
        <v>0</v>
      </c>
      <c r="AI68" s="56">
        <f>AI$60*Data!AH$16/1000</f>
        <v>0</v>
      </c>
      <c r="AJ68" s="56">
        <f>AJ$60*Data!AI$16/1000</f>
        <v>0</v>
      </c>
      <c r="AK68" s="56">
        <f>AK$60*Data!AJ$16/1000</f>
        <v>0</v>
      </c>
      <c r="AL68" s="56">
        <f>AL$60*Data!AK$16/1000</f>
        <v>0</v>
      </c>
      <c r="AM68" s="56">
        <f>AM$60*Data!AL$16/1000</f>
        <v>0</v>
      </c>
      <c r="AN68" s="56">
        <f>AN$60*Data!AM$16/1000</f>
        <v>0</v>
      </c>
      <c r="AO68" s="56"/>
      <c r="AP68" s="29"/>
    </row>
    <row r="69" spans="1:42" outlineLevel="1" x14ac:dyDescent="0.25">
      <c r="A69" s="54"/>
      <c r="B69" s="13"/>
      <c r="C69" s="14" t="s">
        <v>285</v>
      </c>
      <c r="D69" s="14"/>
      <c r="E69" s="70" t="s">
        <v>474</v>
      </c>
      <c r="F69" s="200">
        <f>Data!$E$36/1000</f>
        <v>1.0822865168539326</v>
      </c>
      <c r="G69" s="231">
        <f t="shared" si="9"/>
        <v>346.09234551717572</v>
      </c>
      <c r="H69" s="56"/>
      <c r="I69" s="56">
        <f>I$61*$F69</f>
        <v>28.84102879309798</v>
      </c>
      <c r="J69" s="56">
        <f>J$61*$F69</f>
        <v>28.84102879309798</v>
      </c>
      <c r="K69" s="56">
        <f t="shared" ref="K69:AN69" si="12">K$61*$F69</f>
        <v>28.84102879309798</v>
      </c>
      <c r="L69" s="56">
        <f t="shared" si="12"/>
        <v>28.84102879309798</v>
      </c>
      <c r="M69" s="56">
        <f t="shared" si="12"/>
        <v>28.84102879309798</v>
      </c>
      <c r="N69" s="56">
        <f t="shared" si="12"/>
        <v>28.84102879309798</v>
      </c>
      <c r="O69" s="56">
        <f t="shared" si="12"/>
        <v>28.84102879309798</v>
      </c>
      <c r="P69" s="56">
        <f t="shared" si="12"/>
        <v>28.84102879309798</v>
      </c>
      <c r="Q69" s="56">
        <f t="shared" si="12"/>
        <v>28.84102879309798</v>
      </c>
      <c r="R69" s="56">
        <f t="shared" si="12"/>
        <v>28.84102879309798</v>
      </c>
      <c r="S69" s="56">
        <f t="shared" si="12"/>
        <v>28.84102879309798</v>
      </c>
      <c r="T69" s="56">
        <f t="shared" si="12"/>
        <v>28.84102879309798</v>
      </c>
      <c r="U69" s="56">
        <f t="shared" si="12"/>
        <v>0</v>
      </c>
      <c r="V69" s="56">
        <f t="shared" si="12"/>
        <v>0</v>
      </c>
      <c r="W69" s="56">
        <f t="shared" si="12"/>
        <v>0</v>
      </c>
      <c r="X69" s="56">
        <f t="shared" si="12"/>
        <v>0</v>
      </c>
      <c r="Y69" s="56">
        <f t="shared" si="12"/>
        <v>0</v>
      </c>
      <c r="Z69" s="56">
        <f t="shared" si="12"/>
        <v>0</v>
      </c>
      <c r="AA69" s="56">
        <f t="shared" si="12"/>
        <v>0</v>
      </c>
      <c r="AB69" s="56">
        <f t="shared" si="12"/>
        <v>0</v>
      </c>
      <c r="AC69" s="56">
        <f t="shared" si="12"/>
        <v>0</v>
      </c>
      <c r="AD69" s="56">
        <f t="shared" si="12"/>
        <v>0</v>
      </c>
      <c r="AE69" s="56">
        <f t="shared" si="12"/>
        <v>0</v>
      </c>
      <c r="AF69" s="56">
        <f t="shared" si="12"/>
        <v>0</v>
      </c>
      <c r="AG69" s="56">
        <f t="shared" si="12"/>
        <v>0</v>
      </c>
      <c r="AH69" s="56">
        <f t="shared" si="12"/>
        <v>0</v>
      </c>
      <c r="AI69" s="56">
        <f t="shared" si="12"/>
        <v>0</v>
      </c>
      <c r="AJ69" s="56">
        <f t="shared" si="12"/>
        <v>0</v>
      </c>
      <c r="AK69" s="56">
        <f t="shared" si="12"/>
        <v>0</v>
      </c>
      <c r="AL69" s="56">
        <f t="shared" si="12"/>
        <v>0</v>
      </c>
      <c r="AM69" s="56">
        <f t="shared" si="12"/>
        <v>0</v>
      </c>
      <c r="AN69" s="56">
        <f t="shared" si="12"/>
        <v>0</v>
      </c>
      <c r="AO69" s="56"/>
      <c r="AP69" s="29"/>
    </row>
    <row r="70" spans="1:42" outlineLevel="1" x14ac:dyDescent="0.25">
      <c r="A70" s="54"/>
      <c r="B70" s="13"/>
      <c r="C70" s="14" t="s">
        <v>220</v>
      </c>
      <c r="D70" s="14"/>
      <c r="E70" s="70" t="s">
        <v>474</v>
      </c>
      <c r="F70" s="200">
        <f>Data!$E$37/1000</f>
        <v>371.00188764044947</v>
      </c>
      <c r="G70" s="231">
        <f t="shared" si="9"/>
        <v>4308473.5526573686</v>
      </c>
      <c r="H70" s="63">
        <f>G70/G74</f>
        <v>0.94014209286966877</v>
      </c>
      <c r="I70" s="56">
        <f>I$62*$F70</f>
        <v>359039.46272144729</v>
      </c>
      <c r="J70" s="56">
        <f>J$62*$F70</f>
        <v>359039.46272144729</v>
      </c>
      <c r="K70" s="56">
        <f t="shared" ref="K70:AN70" si="13">K$62*$F70</f>
        <v>359039.46272144729</v>
      </c>
      <c r="L70" s="56">
        <f t="shared" si="13"/>
        <v>359039.46272144729</v>
      </c>
      <c r="M70" s="56">
        <f t="shared" si="13"/>
        <v>359039.46272144729</v>
      </c>
      <c r="N70" s="56">
        <f t="shared" si="13"/>
        <v>359039.46272144729</v>
      </c>
      <c r="O70" s="56">
        <f t="shared" si="13"/>
        <v>359039.46272144729</v>
      </c>
      <c r="P70" s="56">
        <f t="shared" si="13"/>
        <v>359039.46272144729</v>
      </c>
      <c r="Q70" s="56">
        <f t="shared" si="13"/>
        <v>359039.46272144729</v>
      </c>
      <c r="R70" s="56">
        <f t="shared" si="13"/>
        <v>359039.46272144729</v>
      </c>
      <c r="S70" s="56">
        <f t="shared" si="13"/>
        <v>359039.46272144729</v>
      </c>
      <c r="T70" s="56">
        <f t="shared" si="13"/>
        <v>359039.46272144729</v>
      </c>
      <c r="U70" s="56">
        <f t="shared" si="13"/>
        <v>0</v>
      </c>
      <c r="V70" s="56">
        <f t="shared" si="13"/>
        <v>0</v>
      </c>
      <c r="W70" s="56">
        <f t="shared" si="13"/>
        <v>0</v>
      </c>
      <c r="X70" s="56">
        <f t="shared" si="13"/>
        <v>0</v>
      </c>
      <c r="Y70" s="56">
        <f t="shared" si="13"/>
        <v>0</v>
      </c>
      <c r="Z70" s="56">
        <f t="shared" si="13"/>
        <v>0</v>
      </c>
      <c r="AA70" s="56">
        <f t="shared" si="13"/>
        <v>0</v>
      </c>
      <c r="AB70" s="56">
        <f t="shared" si="13"/>
        <v>0</v>
      </c>
      <c r="AC70" s="56">
        <f t="shared" si="13"/>
        <v>0</v>
      </c>
      <c r="AD70" s="56">
        <f t="shared" si="13"/>
        <v>0</v>
      </c>
      <c r="AE70" s="56">
        <f t="shared" si="13"/>
        <v>0</v>
      </c>
      <c r="AF70" s="56">
        <f t="shared" si="13"/>
        <v>0</v>
      </c>
      <c r="AG70" s="56">
        <f t="shared" si="13"/>
        <v>0</v>
      </c>
      <c r="AH70" s="56">
        <f t="shared" si="13"/>
        <v>0</v>
      </c>
      <c r="AI70" s="56">
        <f t="shared" si="13"/>
        <v>0</v>
      </c>
      <c r="AJ70" s="56">
        <f t="shared" si="13"/>
        <v>0</v>
      </c>
      <c r="AK70" s="56">
        <f t="shared" si="13"/>
        <v>0</v>
      </c>
      <c r="AL70" s="56">
        <f t="shared" si="13"/>
        <v>0</v>
      </c>
      <c r="AM70" s="56">
        <f t="shared" si="13"/>
        <v>0</v>
      </c>
      <c r="AN70" s="56">
        <f t="shared" si="13"/>
        <v>0</v>
      </c>
      <c r="AO70" s="56"/>
      <c r="AP70" s="29"/>
    </row>
    <row r="71" spans="1:42" outlineLevel="1" x14ac:dyDescent="0.25">
      <c r="A71" s="54"/>
      <c r="B71" s="13"/>
      <c r="C71" s="14" t="s">
        <v>212</v>
      </c>
      <c r="D71" s="14"/>
      <c r="E71" s="70" t="s">
        <v>474</v>
      </c>
      <c r="F71" s="200">
        <f>Data!$E$39/1000</f>
        <v>0</v>
      </c>
      <c r="G71" s="231">
        <f t="shared" si="9"/>
        <v>0</v>
      </c>
      <c r="H71" s="56"/>
      <c r="I71" s="56">
        <f>I$63*$F71</f>
        <v>0</v>
      </c>
      <c r="J71" s="56">
        <f>J$63*$F71</f>
        <v>0</v>
      </c>
      <c r="K71" s="56">
        <f t="shared" ref="K71:AN71" si="14">K$63*$F71</f>
        <v>0</v>
      </c>
      <c r="L71" s="56">
        <f t="shared" si="14"/>
        <v>0</v>
      </c>
      <c r="M71" s="56">
        <f t="shared" si="14"/>
        <v>0</v>
      </c>
      <c r="N71" s="56">
        <f t="shared" si="14"/>
        <v>0</v>
      </c>
      <c r="O71" s="56">
        <f t="shared" si="14"/>
        <v>0</v>
      </c>
      <c r="P71" s="56">
        <f t="shared" si="14"/>
        <v>0</v>
      </c>
      <c r="Q71" s="56">
        <f t="shared" si="14"/>
        <v>0</v>
      </c>
      <c r="R71" s="56">
        <f t="shared" si="14"/>
        <v>0</v>
      </c>
      <c r="S71" s="56">
        <f t="shared" si="14"/>
        <v>0</v>
      </c>
      <c r="T71" s="56">
        <f t="shared" si="14"/>
        <v>0</v>
      </c>
      <c r="U71" s="56">
        <f t="shared" si="14"/>
        <v>0</v>
      </c>
      <c r="V71" s="56">
        <f t="shared" si="14"/>
        <v>0</v>
      </c>
      <c r="W71" s="56">
        <f t="shared" si="14"/>
        <v>0</v>
      </c>
      <c r="X71" s="56">
        <f t="shared" si="14"/>
        <v>0</v>
      </c>
      <c r="Y71" s="56">
        <f t="shared" si="14"/>
        <v>0</v>
      </c>
      <c r="Z71" s="56">
        <f t="shared" si="14"/>
        <v>0</v>
      </c>
      <c r="AA71" s="56">
        <f t="shared" si="14"/>
        <v>0</v>
      </c>
      <c r="AB71" s="56">
        <f t="shared" si="14"/>
        <v>0</v>
      </c>
      <c r="AC71" s="56">
        <f t="shared" si="14"/>
        <v>0</v>
      </c>
      <c r="AD71" s="56">
        <f t="shared" si="14"/>
        <v>0</v>
      </c>
      <c r="AE71" s="56">
        <f t="shared" si="14"/>
        <v>0</v>
      </c>
      <c r="AF71" s="56">
        <f t="shared" si="14"/>
        <v>0</v>
      </c>
      <c r="AG71" s="56">
        <f t="shared" si="14"/>
        <v>0</v>
      </c>
      <c r="AH71" s="56">
        <f t="shared" si="14"/>
        <v>0</v>
      </c>
      <c r="AI71" s="56">
        <f t="shared" si="14"/>
        <v>0</v>
      </c>
      <c r="AJ71" s="56">
        <f t="shared" si="14"/>
        <v>0</v>
      </c>
      <c r="AK71" s="56">
        <f t="shared" si="14"/>
        <v>0</v>
      </c>
      <c r="AL71" s="56">
        <f t="shared" si="14"/>
        <v>0</v>
      </c>
      <c r="AM71" s="56">
        <f t="shared" si="14"/>
        <v>0</v>
      </c>
      <c r="AN71" s="56">
        <f t="shared" si="14"/>
        <v>0</v>
      </c>
      <c r="AO71" s="56"/>
      <c r="AP71" s="29"/>
    </row>
    <row r="72" spans="1:42" outlineLevel="1" x14ac:dyDescent="0.25">
      <c r="A72" s="54"/>
      <c r="B72" s="13"/>
      <c r="C72" s="14" t="s">
        <v>485</v>
      </c>
      <c r="D72" s="14"/>
      <c r="E72" s="70" t="s">
        <v>474</v>
      </c>
      <c r="F72" s="200">
        <f>Data!$E$40/1000</f>
        <v>605.20914606741576</v>
      </c>
      <c r="G72" s="231">
        <f t="shared" si="9"/>
        <v>107419.9951216795</v>
      </c>
      <c r="H72" s="56"/>
      <c r="I72" s="56">
        <f>I$64*$F72</f>
        <v>8951.6662601399585</v>
      </c>
      <c r="J72" s="56">
        <f>J$64*$F72</f>
        <v>8951.6662601399585</v>
      </c>
      <c r="K72" s="56">
        <f t="shared" ref="K72:AN72" si="15">K$64*$F72</f>
        <v>8951.6662601399585</v>
      </c>
      <c r="L72" s="56">
        <f t="shared" si="15"/>
        <v>8951.6662601399585</v>
      </c>
      <c r="M72" s="56">
        <f t="shared" si="15"/>
        <v>8951.6662601399585</v>
      </c>
      <c r="N72" s="56">
        <f t="shared" si="15"/>
        <v>8951.6662601399585</v>
      </c>
      <c r="O72" s="56">
        <f t="shared" si="15"/>
        <v>8951.6662601399585</v>
      </c>
      <c r="P72" s="56">
        <f t="shared" si="15"/>
        <v>8951.6662601399585</v>
      </c>
      <c r="Q72" s="56">
        <f t="shared" si="15"/>
        <v>8951.6662601399585</v>
      </c>
      <c r="R72" s="56">
        <f t="shared" si="15"/>
        <v>8951.6662601399585</v>
      </c>
      <c r="S72" s="56">
        <f t="shared" si="15"/>
        <v>8951.6662601399585</v>
      </c>
      <c r="T72" s="56">
        <f t="shared" si="15"/>
        <v>8951.6662601399585</v>
      </c>
      <c r="U72" s="56">
        <f t="shared" si="15"/>
        <v>0</v>
      </c>
      <c r="V72" s="56">
        <f t="shared" si="15"/>
        <v>0</v>
      </c>
      <c r="W72" s="56">
        <f t="shared" si="15"/>
        <v>0</v>
      </c>
      <c r="X72" s="56">
        <f t="shared" si="15"/>
        <v>0</v>
      </c>
      <c r="Y72" s="56">
        <f t="shared" si="15"/>
        <v>0</v>
      </c>
      <c r="Z72" s="56">
        <f t="shared" si="15"/>
        <v>0</v>
      </c>
      <c r="AA72" s="56">
        <f t="shared" si="15"/>
        <v>0</v>
      </c>
      <c r="AB72" s="56">
        <f t="shared" si="15"/>
        <v>0</v>
      </c>
      <c r="AC72" s="56">
        <f t="shared" si="15"/>
        <v>0</v>
      </c>
      <c r="AD72" s="56">
        <f t="shared" si="15"/>
        <v>0</v>
      </c>
      <c r="AE72" s="56">
        <f t="shared" si="15"/>
        <v>0</v>
      </c>
      <c r="AF72" s="56">
        <f t="shared" si="15"/>
        <v>0</v>
      </c>
      <c r="AG72" s="56">
        <f t="shared" si="15"/>
        <v>0</v>
      </c>
      <c r="AH72" s="56">
        <f t="shared" si="15"/>
        <v>0</v>
      </c>
      <c r="AI72" s="56">
        <f t="shared" si="15"/>
        <v>0</v>
      </c>
      <c r="AJ72" s="56">
        <f t="shared" si="15"/>
        <v>0</v>
      </c>
      <c r="AK72" s="56">
        <f t="shared" si="15"/>
        <v>0</v>
      </c>
      <c r="AL72" s="56">
        <f t="shared" si="15"/>
        <v>0</v>
      </c>
      <c r="AM72" s="56">
        <f t="shared" si="15"/>
        <v>0</v>
      </c>
      <c r="AN72" s="56">
        <f t="shared" si="15"/>
        <v>0</v>
      </c>
      <c r="AO72" s="56"/>
      <c r="AP72" s="29"/>
    </row>
    <row r="73" spans="1:42" outlineLevel="1" x14ac:dyDescent="0.25">
      <c r="A73" s="54"/>
      <c r="B73" s="13"/>
      <c r="C73" s="14" t="s">
        <v>214</v>
      </c>
      <c r="D73" s="14"/>
      <c r="E73" s="70" t="s">
        <v>474</v>
      </c>
      <c r="F73" s="200">
        <f>Data!$E$41/1000</f>
        <v>0</v>
      </c>
      <c r="G73" s="231">
        <f>SUM(I73:AO73)</f>
        <v>0</v>
      </c>
      <c r="H73" s="56"/>
      <c r="I73" s="56">
        <f>I$65*$F73</f>
        <v>0</v>
      </c>
      <c r="J73" s="56">
        <f>J$65*$F73</f>
        <v>0</v>
      </c>
      <c r="K73" s="56">
        <f t="shared" ref="K73:AN73" si="16">K$65*$F73</f>
        <v>0</v>
      </c>
      <c r="L73" s="56">
        <f t="shared" si="16"/>
        <v>0</v>
      </c>
      <c r="M73" s="56">
        <f t="shared" si="16"/>
        <v>0</v>
      </c>
      <c r="N73" s="56">
        <f t="shared" si="16"/>
        <v>0</v>
      </c>
      <c r="O73" s="56">
        <f t="shared" si="16"/>
        <v>0</v>
      </c>
      <c r="P73" s="56">
        <f t="shared" si="16"/>
        <v>0</v>
      </c>
      <c r="Q73" s="56">
        <f t="shared" si="16"/>
        <v>0</v>
      </c>
      <c r="R73" s="56">
        <f t="shared" si="16"/>
        <v>0</v>
      </c>
      <c r="S73" s="56">
        <f t="shared" si="16"/>
        <v>0</v>
      </c>
      <c r="T73" s="56">
        <f t="shared" si="16"/>
        <v>0</v>
      </c>
      <c r="U73" s="56">
        <f t="shared" si="16"/>
        <v>0</v>
      </c>
      <c r="V73" s="56">
        <f t="shared" si="16"/>
        <v>0</v>
      </c>
      <c r="W73" s="56">
        <f t="shared" si="16"/>
        <v>0</v>
      </c>
      <c r="X73" s="56">
        <f t="shared" si="16"/>
        <v>0</v>
      </c>
      <c r="Y73" s="56">
        <f t="shared" si="16"/>
        <v>0</v>
      </c>
      <c r="Z73" s="56">
        <f t="shared" si="16"/>
        <v>0</v>
      </c>
      <c r="AA73" s="56">
        <f t="shared" si="16"/>
        <v>0</v>
      </c>
      <c r="AB73" s="56">
        <f t="shared" si="16"/>
        <v>0</v>
      </c>
      <c r="AC73" s="56">
        <f t="shared" si="16"/>
        <v>0</v>
      </c>
      <c r="AD73" s="56">
        <f t="shared" si="16"/>
        <v>0</v>
      </c>
      <c r="AE73" s="56">
        <f t="shared" si="16"/>
        <v>0</v>
      </c>
      <c r="AF73" s="56">
        <f t="shared" si="16"/>
        <v>0</v>
      </c>
      <c r="AG73" s="56">
        <f t="shared" si="16"/>
        <v>0</v>
      </c>
      <c r="AH73" s="56">
        <f t="shared" si="16"/>
        <v>0</v>
      </c>
      <c r="AI73" s="56">
        <f t="shared" si="16"/>
        <v>0</v>
      </c>
      <c r="AJ73" s="56">
        <f t="shared" si="16"/>
        <v>0</v>
      </c>
      <c r="AK73" s="56">
        <f t="shared" si="16"/>
        <v>0</v>
      </c>
      <c r="AL73" s="56">
        <f t="shared" si="16"/>
        <v>0</v>
      </c>
      <c r="AM73" s="56">
        <f t="shared" si="16"/>
        <v>0</v>
      </c>
      <c r="AN73" s="56">
        <f t="shared" si="16"/>
        <v>0</v>
      </c>
      <c r="AO73" s="56"/>
      <c r="AP73" s="29"/>
    </row>
    <row r="74" spans="1:42" outlineLevel="1" x14ac:dyDescent="0.25">
      <c r="A74" s="12"/>
      <c r="B74" s="13"/>
      <c r="C74" s="20" t="s">
        <v>536</v>
      </c>
      <c r="D74" s="14"/>
      <c r="E74" s="70" t="s">
        <v>474</v>
      </c>
      <c r="F74" s="16"/>
      <c r="G74" s="231">
        <f>SUM(I74:AO74)</f>
        <v>4582789.7562870309</v>
      </c>
      <c r="H74" s="185"/>
      <c r="I74" s="185">
        <f>SUM(I67:I73)</f>
        <v>377246.75081013958</v>
      </c>
      <c r="J74" s="185">
        <f>SUM(J67:J73)</f>
        <v>378197.83678229217</v>
      </c>
      <c r="K74" s="185">
        <f t="shared" ref="K74:AO74" si="17">SUM(K67:K73)</f>
        <v>379053.81415722944</v>
      </c>
      <c r="L74" s="185">
        <f t="shared" si="17"/>
        <v>380004.90012938203</v>
      </c>
      <c r="M74" s="185">
        <f t="shared" si="17"/>
        <v>380955.98610153463</v>
      </c>
      <c r="N74" s="185">
        <f t="shared" si="17"/>
        <v>381907.07207368716</v>
      </c>
      <c r="O74" s="185">
        <f t="shared" si="17"/>
        <v>382763.04944862449</v>
      </c>
      <c r="P74" s="185">
        <f t="shared" si="17"/>
        <v>383333.70103191602</v>
      </c>
      <c r="Q74" s="185">
        <f t="shared" si="17"/>
        <v>383904.35261520761</v>
      </c>
      <c r="R74" s="185">
        <f t="shared" si="17"/>
        <v>384570.11279571441</v>
      </c>
      <c r="S74" s="185">
        <f t="shared" si="17"/>
        <v>385140.76437900594</v>
      </c>
      <c r="T74" s="185">
        <f t="shared" si="17"/>
        <v>385711.41596229747</v>
      </c>
      <c r="U74" s="185">
        <f t="shared" si="17"/>
        <v>0</v>
      </c>
      <c r="V74" s="185">
        <f t="shared" si="17"/>
        <v>0</v>
      </c>
      <c r="W74" s="185">
        <f t="shared" si="17"/>
        <v>0</v>
      </c>
      <c r="X74" s="185">
        <f t="shared" si="17"/>
        <v>0</v>
      </c>
      <c r="Y74" s="185">
        <f t="shared" si="17"/>
        <v>0</v>
      </c>
      <c r="Z74" s="185">
        <f t="shared" si="17"/>
        <v>0</v>
      </c>
      <c r="AA74" s="185">
        <f t="shared" si="17"/>
        <v>0</v>
      </c>
      <c r="AB74" s="185">
        <f t="shared" si="17"/>
        <v>0</v>
      </c>
      <c r="AC74" s="185">
        <f t="shared" ref="AC74:AN74" si="18">SUM(AC67:AC73)</f>
        <v>0</v>
      </c>
      <c r="AD74" s="185">
        <f t="shared" si="18"/>
        <v>0</v>
      </c>
      <c r="AE74" s="185">
        <f t="shared" si="18"/>
        <v>0</v>
      </c>
      <c r="AF74" s="185">
        <f t="shared" si="18"/>
        <v>0</v>
      </c>
      <c r="AG74" s="185">
        <f t="shared" si="18"/>
        <v>0</v>
      </c>
      <c r="AH74" s="185">
        <f t="shared" si="18"/>
        <v>0</v>
      </c>
      <c r="AI74" s="185">
        <f t="shared" si="18"/>
        <v>0</v>
      </c>
      <c r="AJ74" s="185">
        <f t="shared" si="18"/>
        <v>0</v>
      </c>
      <c r="AK74" s="185">
        <f t="shared" si="18"/>
        <v>0</v>
      </c>
      <c r="AL74" s="185">
        <f t="shared" si="18"/>
        <v>0</v>
      </c>
      <c r="AM74" s="185">
        <f t="shared" si="18"/>
        <v>0</v>
      </c>
      <c r="AN74" s="185">
        <f t="shared" si="18"/>
        <v>0</v>
      </c>
      <c r="AO74" s="185">
        <f t="shared" si="17"/>
        <v>0</v>
      </c>
      <c r="AP74" s="14"/>
    </row>
    <row r="75" spans="1:42" outlineLevel="1" x14ac:dyDescent="0.25">
      <c r="A75" s="12"/>
      <c r="B75" s="13"/>
      <c r="C75" s="14"/>
      <c r="D75" s="14"/>
      <c r="E75" s="15"/>
      <c r="F75" s="16"/>
      <c r="G75" s="159"/>
      <c r="H75" s="159"/>
      <c r="I75" s="159"/>
      <c r="J75" s="159"/>
      <c r="K75" s="159"/>
      <c r="L75" s="159"/>
      <c r="M75" s="159"/>
      <c r="N75" s="159"/>
      <c r="O75" s="159"/>
      <c r="P75" s="159"/>
      <c r="Q75" s="159"/>
      <c r="R75" s="159"/>
      <c r="S75" s="159"/>
      <c r="T75" s="159"/>
      <c r="U75" s="159"/>
      <c r="V75" s="159"/>
      <c r="W75" s="159"/>
      <c r="X75" s="14"/>
      <c r="Y75" s="14"/>
      <c r="Z75" s="14"/>
      <c r="AA75" s="14"/>
      <c r="AB75" s="14"/>
      <c r="AC75" s="14"/>
      <c r="AD75" s="14"/>
      <c r="AE75" s="14"/>
      <c r="AF75" s="14"/>
      <c r="AG75" s="14"/>
      <c r="AH75" s="14"/>
      <c r="AI75" s="14"/>
      <c r="AJ75" s="14"/>
      <c r="AK75" s="14"/>
      <c r="AL75" s="14"/>
      <c r="AM75" s="14"/>
      <c r="AN75" s="14"/>
      <c r="AO75" s="14"/>
      <c r="AP75" s="14"/>
    </row>
    <row r="76" spans="1:42" outlineLevel="1" x14ac:dyDescent="0.25">
      <c r="A76" s="12"/>
      <c r="B76" s="13"/>
      <c r="C76" s="14" t="s">
        <v>523</v>
      </c>
      <c r="D76" s="14"/>
      <c r="E76" s="15" t="s">
        <v>474</v>
      </c>
      <c r="F76" s="48"/>
      <c r="G76" s="185"/>
      <c r="H76" s="185"/>
      <c r="I76" s="185">
        <f>I74*Data!H$9</f>
        <v>362737.26039436494</v>
      </c>
      <c r="J76" s="185">
        <f>J74*Data!I$9</f>
        <v>349665.1597469417</v>
      </c>
      <c r="K76" s="185">
        <f>K74*Data!J$9</f>
        <v>336977.46052609867</v>
      </c>
      <c r="L76" s="185">
        <f>L74*Data!K$9</f>
        <v>324829.78124242811</v>
      </c>
      <c r="M76" s="185">
        <f>M74*Data!L$9</f>
        <v>313118.05145909009</v>
      </c>
      <c r="N76" s="185">
        <f>N74*Data!M$9</f>
        <v>301826.70653890463</v>
      </c>
      <c r="O76" s="185">
        <f>O74*Data!N$9</f>
        <v>290868.45951155195</v>
      </c>
      <c r="P76" s="185">
        <f>P74*Data!O$9</f>
        <v>280098.18059117987</v>
      </c>
      <c r="Q76" s="185">
        <f>Q74*Data!P$9</f>
        <v>269726.10587842297</v>
      </c>
      <c r="R76" s="185">
        <f>R74*Data!Q$9</f>
        <v>259801.78860608037</v>
      </c>
      <c r="S76" s="185">
        <f>S74*Data!R$9</f>
        <v>250180.09650830374</v>
      </c>
      <c r="T76" s="185">
        <f>T74*Data!S$9</f>
        <v>240914.21239940025</v>
      </c>
      <c r="U76" s="185">
        <f>U74*Data!T$9</f>
        <v>0</v>
      </c>
      <c r="V76" s="185">
        <f>V74*Data!U$9</f>
        <v>0</v>
      </c>
      <c r="W76" s="185">
        <f>W74*Data!V$9</f>
        <v>0</v>
      </c>
      <c r="X76" s="185">
        <f>X74*Data!W$9</f>
        <v>0</v>
      </c>
      <c r="Y76" s="185">
        <f>Y74*Data!X$9</f>
        <v>0</v>
      </c>
      <c r="Z76" s="185">
        <f>Z74*Data!Y$9</f>
        <v>0</v>
      </c>
      <c r="AA76" s="185">
        <f>AA74*Data!Z$9</f>
        <v>0</v>
      </c>
      <c r="AB76" s="185">
        <f>AB74*Data!AA$9</f>
        <v>0</v>
      </c>
      <c r="AC76" s="185">
        <f>AC74*Data!AB$9</f>
        <v>0</v>
      </c>
      <c r="AD76" s="185">
        <f>AD74*Data!AC$9</f>
        <v>0</v>
      </c>
      <c r="AE76" s="185">
        <f>AE74*Data!AD$9</f>
        <v>0</v>
      </c>
      <c r="AF76" s="185">
        <f>AF74*Data!AE$9</f>
        <v>0</v>
      </c>
      <c r="AG76" s="185">
        <f>AG74*Data!AF$9</f>
        <v>0</v>
      </c>
      <c r="AH76" s="185">
        <f>AH74*Data!AG$9</f>
        <v>0</v>
      </c>
      <c r="AI76" s="185">
        <f>AI74*Data!AH$9</f>
        <v>0</v>
      </c>
      <c r="AJ76" s="185">
        <f>AJ74*Data!AI$9</f>
        <v>0</v>
      </c>
      <c r="AK76" s="185">
        <f>AK74*Data!AJ$9</f>
        <v>0</v>
      </c>
      <c r="AL76" s="185">
        <f>AL74*Data!AK$9</f>
        <v>0</v>
      </c>
      <c r="AM76" s="185">
        <f>AM74*Data!AL$9</f>
        <v>0</v>
      </c>
      <c r="AN76" s="185">
        <f>AN74*Data!AM$9</f>
        <v>0</v>
      </c>
      <c r="AO76" s="185">
        <f>AO74*Data!AN$9</f>
        <v>0</v>
      </c>
      <c r="AP76" s="14"/>
    </row>
    <row r="77" spans="1:42" outlineLevel="1" x14ac:dyDescent="0.25">
      <c r="A77" s="12"/>
      <c r="B77" s="13"/>
      <c r="C77" s="14" t="s">
        <v>489</v>
      </c>
      <c r="D77" s="13"/>
      <c r="E77" s="15" t="s">
        <v>142</v>
      </c>
      <c r="F77" s="16"/>
      <c r="G77" s="159">
        <f>SUM(H76:AO76)</f>
        <v>3580743.2634027675</v>
      </c>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row>
    <row r="78" spans="1:42" outlineLevel="1" x14ac:dyDescent="0.25">
      <c r="A78" s="12"/>
      <c r="B78" s="13"/>
      <c r="C78" s="41" t="s">
        <v>62</v>
      </c>
      <c r="D78" s="41"/>
      <c r="E78" s="15" t="s">
        <v>261</v>
      </c>
      <c r="F78" s="16"/>
      <c r="G78" s="184">
        <f>G77/(SUM(H57:AO57))</f>
        <v>3.1879836746819512</v>
      </c>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7"/>
    </row>
    <row r="79" spans="1:42" outlineLevel="1" x14ac:dyDescent="0.25">
      <c r="A79" s="12"/>
      <c r="B79" s="13"/>
      <c r="C79" s="14"/>
      <c r="D79" s="14"/>
      <c r="E79" s="15"/>
      <c r="F79" s="16"/>
      <c r="G79" s="14"/>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17"/>
    </row>
    <row r="80" spans="1:42" ht="18.75" outlineLevel="1" x14ac:dyDescent="0.3">
      <c r="A80" s="12"/>
      <c r="B80" s="13"/>
      <c r="C80" s="205" t="s">
        <v>524</v>
      </c>
      <c r="D80" s="14"/>
      <c r="E80" s="15" t="s">
        <v>261</v>
      </c>
      <c r="F80" s="16"/>
      <c r="G80" s="204">
        <f>G48+G55+G78</f>
        <v>4.7943340279663733</v>
      </c>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17"/>
    </row>
    <row r="81" spans="1:42" outlineLevel="1" x14ac:dyDescent="0.25">
      <c r="A81" s="12"/>
      <c r="B81" s="13"/>
      <c r="C81" s="14"/>
      <c r="D81" s="14"/>
      <c r="E81" s="15"/>
      <c r="F81" s="16"/>
      <c r="G81" s="14"/>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17"/>
    </row>
    <row r="82" spans="1:42" outlineLevel="1" x14ac:dyDescent="0.25">
      <c r="A82" s="23"/>
      <c r="B82" s="23"/>
      <c r="C82" s="24" t="s">
        <v>525</v>
      </c>
      <c r="D82" s="24"/>
      <c r="E82" s="25"/>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7"/>
    </row>
    <row r="83" spans="1:42" outlineLevel="1" x14ac:dyDescent="0.25">
      <c r="A83" s="12"/>
      <c r="B83" s="13"/>
      <c r="C83" s="13"/>
      <c r="D83" s="14"/>
      <c r="E83" s="15"/>
      <c r="F83" s="16"/>
      <c r="G83" s="14"/>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17"/>
    </row>
    <row r="84" spans="1:42" outlineLevel="1" x14ac:dyDescent="0.25">
      <c r="A84" s="12"/>
      <c r="B84" s="13"/>
      <c r="C84" s="37" t="s">
        <v>537</v>
      </c>
      <c r="D84" s="37"/>
      <c r="E84" s="38"/>
      <c r="F84" s="39"/>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17"/>
    </row>
    <row r="85" spans="1:42" outlineLevel="1" x14ac:dyDescent="0.25">
      <c r="A85" s="12"/>
      <c r="B85" s="13"/>
      <c r="C85" s="96" t="s">
        <v>526</v>
      </c>
      <c r="D85" s="14"/>
      <c r="E85" s="15" t="s">
        <v>142</v>
      </c>
      <c r="F85" s="16"/>
      <c r="G85" s="141">
        <f>G47</f>
        <v>1804252.7168090635</v>
      </c>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17"/>
    </row>
    <row r="86" spans="1:42" outlineLevel="1" x14ac:dyDescent="0.25">
      <c r="A86" s="12"/>
      <c r="B86" s="13"/>
      <c r="C86" s="96" t="s">
        <v>527</v>
      </c>
      <c r="D86" s="14"/>
      <c r="E86" s="15" t="s">
        <v>474</v>
      </c>
      <c r="F86" s="16"/>
      <c r="G86" s="238">
        <f>G85/Dashboard!$I$31</f>
        <v>150354.39306742194</v>
      </c>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17"/>
    </row>
    <row r="87" spans="1:42" outlineLevel="1" x14ac:dyDescent="0.25">
      <c r="A87" s="12"/>
      <c r="B87" s="13"/>
      <c r="C87" s="96" t="s">
        <v>528</v>
      </c>
      <c r="D87" s="14"/>
      <c r="E87" s="15" t="s">
        <v>529</v>
      </c>
      <c r="F87" s="16"/>
      <c r="G87" s="151">
        <f>SUM(I60:AB60)</f>
        <v>1141303.1665830878</v>
      </c>
      <c r="H87" s="14"/>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17"/>
    </row>
    <row r="88" spans="1:42" outlineLevel="1" x14ac:dyDescent="0.25">
      <c r="A88" s="12"/>
      <c r="B88" s="13"/>
      <c r="C88" s="96" t="s">
        <v>530</v>
      </c>
      <c r="D88" s="14"/>
      <c r="E88" s="15" t="s">
        <v>531</v>
      </c>
      <c r="F88" s="16"/>
      <c r="G88" s="151">
        <f>G87/Dashboard!$I$31</f>
        <v>95108.597215257309</v>
      </c>
      <c r="H88" s="14"/>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17"/>
    </row>
    <row r="89" spans="1:42" outlineLevel="1" x14ac:dyDescent="0.25">
      <c r="A89" s="12"/>
      <c r="B89" s="13"/>
      <c r="C89" s="14"/>
      <c r="D89" s="14"/>
      <c r="E89" s="15"/>
      <c r="F89" s="16"/>
      <c r="G89" s="20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29"/>
    </row>
    <row r="90" spans="1:42" outlineLevel="1" x14ac:dyDescent="0.25">
      <c r="A90" s="12"/>
      <c r="B90" s="13"/>
      <c r="C90" s="37" t="s">
        <v>538</v>
      </c>
      <c r="D90" s="37"/>
      <c r="E90" s="38"/>
      <c r="F90" s="39"/>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17"/>
    </row>
    <row r="91" spans="1:42" outlineLevel="1" x14ac:dyDescent="0.25">
      <c r="A91" s="12"/>
      <c r="B91" s="13"/>
      <c r="C91" s="14" t="s">
        <v>539</v>
      </c>
      <c r="D91" s="14"/>
      <c r="E91" s="15" t="s">
        <v>142</v>
      </c>
      <c r="F91" s="16"/>
      <c r="G91" s="177">
        <f>G86-'Diesel (BAU)'!$G$91</f>
        <v>-5300.8141570253938</v>
      </c>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17"/>
    </row>
    <row r="92" spans="1:42" outlineLevel="1" x14ac:dyDescent="0.25">
      <c r="A92" s="12"/>
      <c r="B92" s="13"/>
      <c r="C92" s="14" t="s">
        <v>540</v>
      </c>
      <c r="D92" s="44"/>
      <c r="E92" s="15" t="s">
        <v>529</v>
      </c>
      <c r="F92" s="16"/>
      <c r="G92" s="177">
        <f>'Diesel (BAU)'!$G$93-'H2 Blending'!G88</f>
        <v>142.87721164034156</v>
      </c>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17"/>
    </row>
    <row r="93" spans="1:42" ht="18.75" outlineLevel="1" x14ac:dyDescent="0.3">
      <c r="A93" s="12"/>
      <c r="B93" s="13"/>
      <c r="C93" s="221" t="s">
        <v>542</v>
      </c>
      <c r="D93" s="45"/>
      <c r="E93" s="15"/>
      <c r="F93" s="16"/>
      <c r="G93" s="220">
        <f>G91/G92</f>
        <v>-37.100487167743005</v>
      </c>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29"/>
    </row>
    <row r="94" spans="1:42" ht="18.75" outlineLevel="1" x14ac:dyDescent="0.3">
      <c r="A94" s="12"/>
      <c r="B94" s="13"/>
      <c r="C94" s="120"/>
      <c r="D94" s="45"/>
      <c r="E94" s="15"/>
      <c r="F94" s="16"/>
      <c r="G94" s="22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29"/>
    </row>
    <row r="95" spans="1:42" x14ac:dyDescent="0.25">
      <c r="A95" s="89"/>
      <c r="B95" s="89"/>
      <c r="C95" s="90" t="s">
        <v>173</v>
      </c>
      <c r="D95" s="91"/>
      <c r="E95" s="92"/>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3"/>
    </row>
    <row r="96" spans="1:42" outlineLevel="1" x14ac:dyDescent="0.25">
      <c r="A96" s="23"/>
      <c r="B96" s="23"/>
      <c r="C96" s="24" t="s">
        <v>505</v>
      </c>
      <c r="D96" s="24"/>
      <c r="E96" s="25"/>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7"/>
    </row>
    <row r="97" spans="1:42" outlineLevel="1" x14ac:dyDescent="0.25">
      <c r="A97" s="13"/>
      <c r="B97" s="13"/>
      <c r="C97" s="30"/>
      <c r="D97" s="30"/>
      <c r="E97" s="31"/>
      <c r="F97" s="16"/>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3"/>
    </row>
    <row r="98" spans="1:42" outlineLevel="1" x14ac:dyDescent="0.25">
      <c r="A98" s="12"/>
      <c r="B98" s="13"/>
      <c r="C98" s="14"/>
      <c r="D98" s="14"/>
      <c r="E98" s="15"/>
      <c r="F98" s="16"/>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7"/>
    </row>
    <row r="99" spans="1:42" outlineLevel="1" x14ac:dyDescent="0.25">
      <c r="A99" s="12"/>
      <c r="B99" s="13"/>
      <c r="C99" s="37" t="s">
        <v>506</v>
      </c>
      <c r="D99" s="37"/>
      <c r="E99" s="38"/>
      <c r="F99" s="39"/>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17"/>
    </row>
    <row r="100" spans="1:42" outlineLevel="1" x14ac:dyDescent="0.25">
      <c r="A100" s="12"/>
      <c r="B100" s="13"/>
      <c r="C100" s="136" t="s">
        <v>507</v>
      </c>
      <c r="D100" s="41"/>
      <c r="E100" s="15" t="s">
        <v>465</v>
      </c>
      <c r="F100" s="16"/>
      <c r="G100" s="14"/>
      <c r="H100" s="141"/>
      <c r="I100" s="141">
        <f>Route!I18</f>
        <v>51480</v>
      </c>
      <c r="J100" s="141">
        <f>Route!J18</f>
        <v>51480</v>
      </c>
      <c r="K100" s="141">
        <f>Route!K18</f>
        <v>51480</v>
      </c>
      <c r="L100" s="141">
        <f>Route!L18</f>
        <v>51480</v>
      </c>
      <c r="M100" s="141">
        <f>Route!M18</f>
        <v>51480</v>
      </c>
      <c r="N100" s="141">
        <f>Route!N18</f>
        <v>51480</v>
      </c>
      <c r="O100" s="141">
        <f>Route!O18</f>
        <v>51480</v>
      </c>
      <c r="P100" s="141">
        <f>Route!P18</f>
        <v>51480</v>
      </c>
      <c r="Q100" s="141">
        <f>Route!Q18</f>
        <v>51480</v>
      </c>
      <c r="R100" s="141">
        <f>Route!R18</f>
        <v>51480</v>
      </c>
      <c r="S100" s="141">
        <f>Route!S18</f>
        <v>51480</v>
      </c>
      <c r="T100" s="141">
        <f>Route!T18</f>
        <v>51480</v>
      </c>
      <c r="U100" s="141">
        <f>Route!U18</f>
        <v>51480</v>
      </c>
      <c r="V100" s="141">
        <f>Route!V18</f>
        <v>51480</v>
      </c>
      <c r="W100" s="141">
        <f>Route!W18</f>
        <v>51480</v>
      </c>
      <c r="X100" s="141">
        <f>Route!X18</f>
        <v>51480</v>
      </c>
      <c r="Y100" s="141">
        <f>Route!Y18</f>
        <v>51480</v>
      </c>
      <c r="Z100" s="141">
        <f>Route!Z18</f>
        <v>51480</v>
      </c>
      <c r="AA100" s="141">
        <f>Route!AA18</f>
        <v>51480</v>
      </c>
      <c r="AB100" s="141">
        <f>Route!AB18</f>
        <v>51480</v>
      </c>
      <c r="AC100" s="141">
        <f>Route!AC18</f>
        <v>51480</v>
      </c>
      <c r="AD100" s="141">
        <f>Route!AD18</f>
        <v>51480</v>
      </c>
      <c r="AE100" s="141">
        <f>Route!AE18</f>
        <v>51480</v>
      </c>
      <c r="AF100" s="141">
        <f>Route!AF18</f>
        <v>51480</v>
      </c>
      <c r="AG100" s="141">
        <f>Route!AG18</f>
        <v>51480</v>
      </c>
      <c r="AH100" s="141">
        <f>Route!AH18</f>
        <v>51480</v>
      </c>
      <c r="AI100" s="141">
        <f>Route!AI18</f>
        <v>51480</v>
      </c>
      <c r="AJ100" s="141">
        <f>Route!AJ18</f>
        <v>51480</v>
      </c>
      <c r="AK100" s="141">
        <f>Route!AK18</f>
        <v>51480</v>
      </c>
      <c r="AL100" s="141">
        <f>Route!AL18</f>
        <v>51480</v>
      </c>
      <c r="AM100" s="141">
        <f>Route!AM18</f>
        <v>51480</v>
      </c>
      <c r="AN100" s="141">
        <f>Route!AN18</f>
        <v>51480</v>
      </c>
      <c r="AO100" s="141">
        <f>Route!AO18</f>
        <v>51480</v>
      </c>
      <c r="AP100" s="17"/>
    </row>
    <row r="101" spans="1:42" outlineLevel="1" x14ac:dyDescent="0.25">
      <c r="A101" s="12"/>
      <c r="B101" s="13"/>
      <c r="C101" s="136" t="s">
        <v>534</v>
      </c>
      <c r="D101" s="41"/>
      <c r="E101" s="15" t="s">
        <v>465</v>
      </c>
      <c r="F101" s="16"/>
      <c r="G101" s="14"/>
      <c r="H101" s="141"/>
      <c r="I101" s="159">
        <f>IF(COUNT($I$3:I3)&lt;=(Dashboard!$I$31),I100,0)</f>
        <v>51480</v>
      </c>
      <c r="J101" s="159">
        <f>IF(COUNT($I$3:J3)&lt;=(Dashboard!$I$31),J100,0)</f>
        <v>51480</v>
      </c>
      <c r="K101" s="159">
        <f>IF(COUNT($I$3:K3)&lt;=(Dashboard!$I$31),K100,0)</f>
        <v>51480</v>
      </c>
      <c r="L101" s="159">
        <f>IF(COUNT($I$3:L3)&lt;=(Dashboard!$I$31),L100,0)</f>
        <v>51480</v>
      </c>
      <c r="M101" s="159">
        <f>IF(COUNT($I$3:M3)&lt;=(Dashboard!$I$31),M100,0)</f>
        <v>51480</v>
      </c>
      <c r="N101" s="159">
        <f>IF(COUNT($I$3:N3)&lt;=(Dashboard!$I$31),N100,0)</f>
        <v>51480</v>
      </c>
      <c r="O101" s="159">
        <f>IF(COUNT($I$3:O3)&lt;=(Dashboard!$I$31),O100,0)</f>
        <v>51480</v>
      </c>
      <c r="P101" s="159">
        <f>IF(COUNT($I$3:P3)&lt;=(Dashboard!$I$31),P100,0)</f>
        <v>51480</v>
      </c>
      <c r="Q101" s="159">
        <f>IF(COUNT($I$3:Q3)&lt;=(Dashboard!$I$31),Q100,0)</f>
        <v>51480</v>
      </c>
      <c r="R101" s="159">
        <f>IF(COUNT($I$3:R3)&lt;=(Dashboard!$I$31),R100,0)</f>
        <v>51480</v>
      </c>
      <c r="S101" s="159">
        <f>IF(COUNT($I$3:S3)&lt;=(Dashboard!$I$31),S100,0)</f>
        <v>51480</v>
      </c>
      <c r="T101" s="159">
        <f>IF(COUNT($I$3:T3)&lt;=(Dashboard!$I$31),T100,0)</f>
        <v>51480</v>
      </c>
      <c r="U101" s="159">
        <f>IF(COUNT($I$3:U3)&lt;=(Dashboard!$I$31),U100,0)</f>
        <v>0</v>
      </c>
      <c r="V101" s="159">
        <f>IF(COUNT($I$3:V3)&lt;=(Dashboard!$I$31),V100,0)</f>
        <v>0</v>
      </c>
      <c r="W101" s="159">
        <f>IF(COUNT($I$3:W3)&lt;=(Dashboard!$I$31),W100,0)</f>
        <v>0</v>
      </c>
      <c r="X101" s="159">
        <f>IF(COUNT($I$3:X3)&lt;=(Dashboard!$I$31),X100,0)</f>
        <v>0</v>
      </c>
      <c r="Y101" s="159">
        <f>IF(COUNT($I$3:Y3)&lt;=(Dashboard!$I$31),Y100,0)</f>
        <v>0</v>
      </c>
      <c r="Z101" s="159">
        <f>IF(COUNT($I$3:Z3)&lt;=(Dashboard!$I$31),Z100,0)</f>
        <v>0</v>
      </c>
      <c r="AA101" s="159">
        <f>IF(COUNT($I$3:AA3)&lt;=(Dashboard!$I$31),AA100,0)</f>
        <v>0</v>
      </c>
      <c r="AB101" s="159">
        <f>IF(COUNT($I$3:AB3)&lt;=(Dashboard!$I$31),AB100,0)</f>
        <v>0</v>
      </c>
      <c r="AC101" s="159">
        <f>IF(COUNT($I$3:AC3)&lt;=(Dashboard!$I$31),AC100,0)</f>
        <v>0</v>
      </c>
      <c r="AD101" s="159">
        <f>IF(COUNT($I$3:AD3)&lt;=(Dashboard!$I$31),AD100,0)</f>
        <v>0</v>
      </c>
      <c r="AE101" s="159">
        <f>IF(COUNT($I$3:AE3)&lt;=(Dashboard!$I$31),AE100,0)</f>
        <v>0</v>
      </c>
      <c r="AF101" s="159">
        <f>IF(COUNT($I$3:AF3)&lt;=(Dashboard!$I$31),AF100,0)</f>
        <v>0</v>
      </c>
      <c r="AG101" s="159">
        <f>IF(COUNT($I$3:AG3)&lt;=(Dashboard!$I$31),AG100,0)</f>
        <v>0</v>
      </c>
      <c r="AH101" s="159">
        <f>IF(COUNT($I$3:AH3)&lt;=(Dashboard!$I$31),AH100,0)</f>
        <v>0</v>
      </c>
      <c r="AI101" s="159">
        <f>IF(COUNT($I$3:AI3)&lt;=(Dashboard!$I$31),AI100,0)</f>
        <v>0</v>
      </c>
      <c r="AJ101" s="159">
        <f>IF(COUNT($I$3:AJ3)&lt;=(Dashboard!$I$31),AJ100,0)</f>
        <v>0</v>
      </c>
      <c r="AK101" s="159">
        <f>IF(COUNT($I$3:AK3)&lt;=(Dashboard!$I$31),AK100,0)</f>
        <v>0</v>
      </c>
      <c r="AL101" s="159">
        <f>IF(COUNT($I$3:AL3)&lt;=(Dashboard!$I$31),AL100,0)</f>
        <v>0</v>
      </c>
      <c r="AM101" s="159">
        <f>IF(COUNT($I$3:AM3)&lt;=(Dashboard!$I$31),AM100,0)</f>
        <v>0</v>
      </c>
      <c r="AN101" s="159">
        <f>IF(COUNT($I$3:AN3)&lt;=(Dashboard!$I$31),AN100,0)</f>
        <v>0</v>
      </c>
      <c r="AO101" s="159">
        <f>IF(COUNT($I$3:AO3)&lt;=(Dashboard!$I$31),AO100,0)</f>
        <v>0</v>
      </c>
      <c r="AP101" s="17"/>
    </row>
    <row r="102" spans="1:42" outlineLevel="1" x14ac:dyDescent="0.25">
      <c r="A102" s="12"/>
      <c r="B102" s="13"/>
      <c r="C102" s="14"/>
      <c r="D102" s="14"/>
      <c r="E102" s="15"/>
      <c r="F102" s="16"/>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7"/>
    </row>
    <row r="103" spans="1:42" outlineLevel="1" x14ac:dyDescent="0.25">
      <c r="A103" s="12"/>
      <c r="B103" s="13"/>
      <c r="C103" s="37" t="s">
        <v>508</v>
      </c>
      <c r="D103" s="37"/>
      <c r="E103" s="38"/>
      <c r="F103" s="39"/>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17"/>
    </row>
    <row r="104" spans="1:42" outlineLevel="1" x14ac:dyDescent="0.25">
      <c r="A104" s="12"/>
      <c r="B104" s="13"/>
      <c r="C104" s="95" t="s">
        <v>254</v>
      </c>
      <c r="D104" s="14"/>
      <c r="E104" s="15"/>
      <c r="F104" s="16"/>
      <c r="G104" s="14"/>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29"/>
    </row>
    <row r="105" spans="1:42" outlineLevel="1" x14ac:dyDescent="0.25">
      <c r="A105" s="12"/>
      <c r="B105" s="13"/>
      <c r="C105" s="96" t="s">
        <v>120</v>
      </c>
      <c r="D105" s="14"/>
      <c r="E105" s="15" t="s">
        <v>142</v>
      </c>
      <c r="F105" s="158" t="str">
        <f>Dashboard!$I$53</f>
        <v>3 Axle rigid</v>
      </c>
      <c r="G105" s="14"/>
      <c r="H105" s="150">
        <f>IF(C105=F105,Data!$E$189,0)</f>
        <v>0</v>
      </c>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29"/>
    </row>
    <row r="106" spans="1:42" outlineLevel="1" x14ac:dyDescent="0.25">
      <c r="A106" s="12"/>
      <c r="B106" s="13"/>
      <c r="C106" s="96" t="s">
        <v>124</v>
      </c>
      <c r="D106" s="14"/>
      <c r="E106" s="15" t="s">
        <v>142</v>
      </c>
      <c r="F106" s="158" t="str">
        <f>Dashboard!$I$53</f>
        <v>3 Axle rigid</v>
      </c>
      <c r="G106" s="14"/>
      <c r="H106" s="150">
        <f>IF(C106=F106,Data!$E$190,0)</f>
        <v>19041.599999999999</v>
      </c>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29"/>
    </row>
    <row r="107" spans="1:42" outlineLevel="1" x14ac:dyDescent="0.25">
      <c r="A107" s="12"/>
      <c r="B107" s="13"/>
      <c r="C107" s="96" t="s">
        <v>126</v>
      </c>
      <c r="D107" s="14"/>
      <c r="E107" s="15" t="s">
        <v>142</v>
      </c>
      <c r="F107" s="158" t="str">
        <f>Dashboard!$I$53</f>
        <v>3 Axle rigid</v>
      </c>
      <c r="G107" s="14"/>
      <c r="H107" s="150">
        <f>IF(C107=F107,Data!$E$191,0)</f>
        <v>0</v>
      </c>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29"/>
    </row>
    <row r="108" spans="1:42" outlineLevel="1" x14ac:dyDescent="0.25">
      <c r="A108" s="12"/>
      <c r="B108" s="13"/>
      <c r="C108" s="20" t="s">
        <v>509</v>
      </c>
      <c r="D108" s="14"/>
      <c r="E108" s="15" t="s">
        <v>142</v>
      </c>
      <c r="F108" s="16"/>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7"/>
    </row>
    <row r="109" spans="1:42" outlineLevel="1" x14ac:dyDescent="0.25">
      <c r="A109" s="12"/>
      <c r="B109" s="13"/>
      <c r="C109" s="45"/>
      <c r="D109" s="45"/>
      <c r="E109" s="15"/>
      <c r="F109" s="16"/>
      <c r="G109" s="14"/>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9"/>
    </row>
    <row r="110" spans="1:42" outlineLevel="1" x14ac:dyDescent="0.25">
      <c r="A110" s="12"/>
      <c r="B110" s="13"/>
      <c r="C110" s="19" t="s">
        <v>510</v>
      </c>
      <c r="D110" s="45"/>
      <c r="E110" s="15"/>
      <c r="F110" s="16"/>
      <c r="G110" s="14"/>
      <c r="H110" s="182">
        <f>SUM(H105:H109)</f>
        <v>19041.599999999999</v>
      </c>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9"/>
    </row>
    <row r="111" spans="1:42" s="140" customFormat="1" outlineLevel="1" x14ac:dyDescent="0.25">
      <c r="A111" s="78"/>
      <c r="B111" s="19"/>
      <c r="C111" s="95" t="s">
        <v>511</v>
      </c>
      <c r="D111" s="20"/>
      <c r="E111" s="21"/>
      <c r="F111" s="48"/>
      <c r="G111" s="20"/>
      <c r="H111" s="20"/>
      <c r="I111" s="244">
        <f>IF(I101&gt;0,-PMT(Data!$E$10,Dashboard!$I$31,'H2 Blending'!$H$110,0,0),0)</f>
        <v>2028.923851418815</v>
      </c>
      <c r="J111" s="244">
        <f>IF(J101&gt;0,-PMT(Data!$E$10,Dashboard!$I$31,'H2 Blending'!$H$110,0,0),0)</f>
        <v>2028.923851418815</v>
      </c>
      <c r="K111" s="244">
        <f>IF(K101&gt;0,-PMT(Data!$E$10,Dashboard!$I$31,'H2 Blending'!$H$110,0,0),0)</f>
        <v>2028.923851418815</v>
      </c>
      <c r="L111" s="244">
        <f>IF(L101&gt;0,-PMT(Data!$E$10,Dashboard!$I$31,'H2 Blending'!$H$110,0,0),0)</f>
        <v>2028.923851418815</v>
      </c>
      <c r="M111" s="244">
        <f>IF(M101&gt;0,-PMT(Data!$E$10,Dashboard!$I$31,'H2 Blending'!$H$110,0,0),0)</f>
        <v>2028.923851418815</v>
      </c>
      <c r="N111" s="244">
        <f>IF(N101&gt;0,-PMT(Data!$E$10,Dashboard!$I$31,'H2 Blending'!$H$110,0,0),0)</f>
        <v>2028.923851418815</v>
      </c>
      <c r="O111" s="244">
        <f>IF(O101&gt;0,-PMT(Data!$E$10,Dashboard!$I$31,'H2 Blending'!$H$110,0,0),0)</f>
        <v>2028.923851418815</v>
      </c>
      <c r="P111" s="244">
        <f>IF(P101&gt;0,-PMT(Data!$E$10,Dashboard!$I$31,'H2 Blending'!$H$110,0,0),0)</f>
        <v>2028.923851418815</v>
      </c>
      <c r="Q111" s="244">
        <f>IF(Q101&gt;0,-PMT(Data!$E$10,Dashboard!$I$31,'H2 Blending'!$H$110,0,0),0)</f>
        <v>2028.923851418815</v>
      </c>
      <c r="R111" s="244">
        <f>IF(R101&gt;0,-PMT(Data!$E$10,Dashboard!$I$31,'H2 Blending'!$H$110,0,0),0)</f>
        <v>2028.923851418815</v>
      </c>
      <c r="S111" s="244">
        <f>IF(S101&gt;0,-PMT(Data!$E$10,Dashboard!$I$31,'H2 Blending'!$H$110,0,0),0)</f>
        <v>2028.923851418815</v>
      </c>
      <c r="T111" s="244">
        <f>IF(T101&gt;0,-PMT(Data!$E$10,Dashboard!$I$31,'H2 Blending'!$H$110,0,0),0)</f>
        <v>2028.923851418815</v>
      </c>
      <c r="U111" s="244">
        <f>IF(U101&gt;0,-PMT(Data!$E$10,Dashboard!$I$31,'H2 Blending'!$H$110,0,0),0)</f>
        <v>0</v>
      </c>
      <c r="V111" s="244">
        <f>IF(V101&gt;0,-PMT(Data!$E$10,Dashboard!$I$31,'H2 Blending'!$H$110,0,0),0)</f>
        <v>0</v>
      </c>
      <c r="W111" s="244">
        <f>IF(W101&gt;0,-PMT(Data!$E$10,Dashboard!$I$31,'H2 Blending'!$H$110,0,0),0)</f>
        <v>0</v>
      </c>
      <c r="X111" s="244">
        <f>IF(X101&gt;0,-PMT(Data!$E$10,Dashboard!$I$31,'H2 Blending'!$H$110,0,0),0)</f>
        <v>0</v>
      </c>
      <c r="Y111" s="244">
        <f>IF(Y101&gt;0,-PMT(Data!$E$10,Dashboard!$I$31,'H2 Blending'!$H$110,0,0),0)</f>
        <v>0</v>
      </c>
      <c r="Z111" s="244">
        <f>IF(Z101&gt;0,-PMT(Data!$E$10,Dashboard!$I$31,'H2 Blending'!$H$110,0,0),0)</f>
        <v>0</v>
      </c>
      <c r="AA111" s="244">
        <f>IF(AA101&gt;0,-PMT(Data!$E$10,Dashboard!$I$31,'H2 Blending'!$H$110,0,0),0)</f>
        <v>0</v>
      </c>
      <c r="AB111" s="244">
        <f>IF(AB101&gt;0,-PMT(Data!$E$10,Dashboard!$I$31,'H2 Blending'!$H$110,0,0),0)</f>
        <v>0</v>
      </c>
      <c r="AC111" s="244">
        <f>IF(AC101&gt;0,-PMT(Data!$E$10,Dashboard!$I$31,'H2 Blending'!$H$110,0,0),0)</f>
        <v>0</v>
      </c>
      <c r="AD111" s="244">
        <f>IF(AD101&gt;0,-PMT(Data!$E$10,Dashboard!$I$31,'H2 Blending'!$H$110,0,0),0)</f>
        <v>0</v>
      </c>
      <c r="AE111" s="244">
        <f>IF(AE101&gt;0,-PMT(Data!$E$10,Dashboard!$I$31,'H2 Blending'!$H$110,0,0),0)</f>
        <v>0</v>
      </c>
      <c r="AF111" s="244">
        <f>IF(AF101&gt;0,-PMT(Data!$E$10,Dashboard!$I$31,'H2 Blending'!$H$110,0,0),0)</f>
        <v>0</v>
      </c>
      <c r="AG111" s="244">
        <f>IF(AG101&gt;0,-PMT(Data!$E$10,Dashboard!$I$31,'H2 Blending'!$H$110,0,0),0)</f>
        <v>0</v>
      </c>
      <c r="AH111" s="244">
        <f>IF(AH101&gt;0,-PMT(Data!$E$10,Dashboard!$I$31,'H2 Blending'!$H$110,0,0),0)</f>
        <v>0</v>
      </c>
      <c r="AI111" s="244">
        <f>IF(AI101&gt;0,-PMT(Data!$E$10,Dashboard!$I$31,'H2 Blending'!$H$110,0,0),0)</f>
        <v>0</v>
      </c>
      <c r="AJ111" s="244">
        <f>IF(AJ101&gt;0,-PMT(Data!$E$10,Dashboard!$I$31,'H2 Blending'!$H$110,0,0),0)</f>
        <v>0</v>
      </c>
      <c r="AK111" s="244">
        <f>IF(AK101&gt;0,-PMT(Data!$E$10,Dashboard!$I$31,'H2 Blending'!$H$110,0,0),0)</f>
        <v>0</v>
      </c>
      <c r="AL111" s="244">
        <f>IF(AL101&gt;0,-PMT(Data!$E$10,Dashboard!$I$31,'H2 Blending'!$H$110,0,0),0)</f>
        <v>0</v>
      </c>
      <c r="AM111" s="244">
        <f>IF(AM101&gt;0,-PMT(Data!$E$10,Dashboard!$I$31,'H2 Blending'!$H$110,0,0),0)</f>
        <v>0</v>
      </c>
      <c r="AN111" s="244">
        <f>IF(AN101&gt;0,-PMT(Data!$E$10,Dashboard!$I$31,'H2 Blending'!$H$110,0,0),0)</f>
        <v>0</v>
      </c>
      <c r="AO111" s="244">
        <f>IF(AO101&gt;0,-PMT(Data!$E$10,Dashboard!$I$31,'H2 Blending'!$H$110,0,0),0)</f>
        <v>0</v>
      </c>
      <c r="AP111" s="370"/>
    </row>
    <row r="112" spans="1:42" outlineLevel="1" x14ac:dyDescent="0.25">
      <c r="A112" s="12"/>
      <c r="B112" s="13"/>
      <c r="C112" s="37" t="s">
        <v>472</v>
      </c>
      <c r="D112" s="37"/>
      <c r="E112" s="38"/>
      <c r="F112" s="39"/>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17"/>
    </row>
    <row r="113" spans="1:42" outlineLevel="1" x14ac:dyDescent="0.25">
      <c r="A113" s="12"/>
      <c r="B113" s="13"/>
      <c r="C113" s="44" t="s">
        <v>258</v>
      </c>
      <c r="D113" s="44"/>
      <c r="E113" s="15"/>
      <c r="F113" s="16"/>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7"/>
    </row>
    <row r="114" spans="1:42" outlineLevel="1" x14ac:dyDescent="0.25">
      <c r="A114" s="12"/>
      <c r="B114" s="13"/>
      <c r="C114" s="45" t="s">
        <v>120</v>
      </c>
      <c r="D114" s="45"/>
      <c r="E114" s="15" t="s">
        <v>474</v>
      </c>
      <c r="F114" s="158" t="str">
        <f>Dashboard!$I$53</f>
        <v>3 Axle rigid</v>
      </c>
      <c r="G114" s="14"/>
      <c r="H114" s="177"/>
      <c r="I114" s="177">
        <f>IF($C$114=$F$114,Data!$E$195*I$101,0)</f>
        <v>0</v>
      </c>
      <c r="J114" s="177">
        <f>IF($C$114=$F$114,Data!$E$195*J$101,0)</f>
        <v>0</v>
      </c>
      <c r="K114" s="177">
        <f>IF($C$114=$F$114,Data!$E$195*K$101,0)</f>
        <v>0</v>
      </c>
      <c r="L114" s="177">
        <f>IF($C$114=$F$114,Data!$E$195*L$101,0)</f>
        <v>0</v>
      </c>
      <c r="M114" s="177">
        <f>IF($C$114=$F$114,Data!$E$195*M$101,0)</f>
        <v>0</v>
      </c>
      <c r="N114" s="177">
        <f>IF($C$114=$F$114,Data!$E$195*N$101,0)</f>
        <v>0</v>
      </c>
      <c r="O114" s="177">
        <f>IF($C$114=$F$114,Data!$E$195*O$101,0)</f>
        <v>0</v>
      </c>
      <c r="P114" s="177">
        <f>IF($C$114=$F$114,Data!$E$195*P$101,0)</f>
        <v>0</v>
      </c>
      <c r="Q114" s="177">
        <f>IF($C$114=$F$114,Data!$E$195*Q$101,0)</f>
        <v>0</v>
      </c>
      <c r="R114" s="177">
        <f>IF($C$114=$F$114,Data!$E$195*R$101,0)</f>
        <v>0</v>
      </c>
      <c r="S114" s="177">
        <f>IF($C$114=$F$114,Data!$E$195*S$101,0)</f>
        <v>0</v>
      </c>
      <c r="T114" s="177">
        <f>IF($C$114=$F$114,Data!$E$195*T$101,0)</f>
        <v>0</v>
      </c>
      <c r="U114" s="177">
        <f>IF($C$114=$F$114,Data!$E$195*U$101,0)</f>
        <v>0</v>
      </c>
      <c r="V114" s="177">
        <f>IF($C$114=$F$114,Data!$E$195*V$101,0)</f>
        <v>0</v>
      </c>
      <c r="W114" s="177">
        <f>IF($C$114=$F$114,Data!$E$195*W$101,0)</f>
        <v>0</v>
      </c>
      <c r="X114" s="177">
        <f>IF($C$114=$F$114,Data!$E$195*X$101,0)</f>
        <v>0</v>
      </c>
      <c r="Y114" s="177">
        <f>IF($C$114=$F$114,Data!$E$195*Y$101,0)</f>
        <v>0</v>
      </c>
      <c r="Z114" s="177">
        <f>IF($C$114=$F$114,Data!$E$195*Z$101,0)</f>
        <v>0</v>
      </c>
      <c r="AA114" s="177">
        <f>IF($C$114=$F$114,Data!$E$195*AA$101,0)</f>
        <v>0</v>
      </c>
      <c r="AB114" s="177">
        <f>IF($C$114=$F$114,Data!$E$195*AB$101,0)</f>
        <v>0</v>
      </c>
      <c r="AC114" s="177">
        <f>IF($C$114=$F$114,Data!$E$195*AC$101,0)</f>
        <v>0</v>
      </c>
      <c r="AD114" s="177">
        <f>IF($C$114=$F$114,Data!$E$195*AD$101,0)</f>
        <v>0</v>
      </c>
      <c r="AE114" s="177">
        <f>IF($C$114=$F$114,Data!$E$195*AE$101,0)</f>
        <v>0</v>
      </c>
      <c r="AF114" s="177">
        <f>IF($C$114=$F$114,Data!$E$195*AF$101,0)</f>
        <v>0</v>
      </c>
      <c r="AG114" s="177">
        <f>IF($C$114=$F$114,Data!$E$195*AG$101,0)</f>
        <v>0</v>
      </c>
      <c r="AH114" s="177">
        <f>IF($C$114=$F$114,Data!$E$195*AH$101,0)</f>
        <v>0</v>
      </c>
      <c r="AI114" s="177">
        <f>IF($C$114=$F$114,Data!$E$195*AI$101,0)</f>
        <v>0</v>
      </c>
      <c r="AJ114" s="177">
        <f>IF($C$114=$F$114,Data!$E$195*AJ$101,0)</f>
        <v>0</v>
      </c>
      <c r="AK114" s="177">
        <f>IF($C$114=$F$114,Data!$E$195*AK$101,0)</f>
        <v>0</v>
      </c>
      <c r="AL114" s="177">
        <f>IF($C$114=$F$114,Data!$E$195*AL$101,0)</f>
        <v>0</v>
      </c>
      <c r="AM114" s="177">
        <f>IF($C$114=$F$114,Data!$E$195*AM$101,0)</f>
        <v>0</v>
      </c>
      <c r="AN114" s="177">
        <f>IF($C$114=$F$114,Data!$E$195*AN$101,0)</f>
        <v>0</v>
      </c>
      <c r="AO114" s="177">
        <f>IF($C$114=$F$114,Data!$E$195*AO$101,0)</f>
        <v>0</v>
      </c>
      <c r="AP114" s="29"/>
    </row>
    <row r="115" spans="1:42" outlineLevel="1" x14ac:dyDescent="0.25">
      <c r="A115" s="12"/>
      <c r="B115" s="13"/>
      <c r="C115" s="45" t="s">
        <v>124</v>
      </c>
      <c r="D115" s="45"/>
      <c r="E115" s="15" t="s">
        <v>474</v>
      </c>
      <c r="F115" s="158" t="str">
        <f>Dashboard!$I$53</f>
        <v>3 Axle rigid</v>
      </c>
      <c r="G115" s="14"/>
      <c r="H115" s="177"/>
      <c r="I115" s="177">
        <f>IF($C$115=$F$115,Data!$E$196*I$101,0)</f>
        <v>44125.714285714283</v>
      </c>
      <c r="J115" s="177">
        <f>IF($C$115=$F$115,Data!$E$196*J$101,0)</f>
        <v>44125.714285714283</v>
      </c>
      <c r="K115" s="177">
        <f>IF($C$115=$F$115,Data!$E$196*K$101,0)</f>
        <v>44125.714285714283</v>
      </c>
      <c r="L115" s="177">
        <f>IF($C$115=$F$115,Data!$E$196*L$101,0)</f>
        <v>44125.714285714283</v>
      </c>
      <c r="M115" s="177">
        <f>IF($C$115=$F$115,Data!$E$196*M$101,0)</f>
        <v>44125.714285714283</v>
      </c>
      <c r="N115" s="177">
        <f>IF($C$115=$F$115,Data!$E$196*N$101,0)</f>
        <v>44125.714285714283</v>
      </c>
      <c r="O115" s="177">
        <f>IF($C$115=$F$115,Data!$E$196*O$101,0)</f>
        <v>44125.714285714283</v>
      </c>
      <c r="P115" s="177">
        <f>IF($C$115=$F$115,Data!$E$196*P$101,0)</f>
        <v>44125.714285714283</v>
      </c>
      <c r="Q115" s="177">
        <f>IF($C$115=$F$115,Data!$E$196*Q$101,0)</f>
        <v>44125.714285714283</v>
      </c>
      <c r="R115" s="177">
        <f>IF($C$115=$F$115,Data!$E$196*R$101,0)</f>
        <v>44125.714285714283</v>
      </c>
      <c r="S115" s="177">
        <f>IF($C$115=$F$115,Data!$E$196*S$101,0)</f>
        <v>44125.714285714283</v>
      </c>
      <c r="T115" s="177">
        <f>IF($C$115=$F$115,Data!$E$196*T$101,0)</f>
        <v>44125.714285714283</v>
      </c>
      <c r="U115" s="177">
        <f>IF($C$115=$F$115,Data!$E$196*U$101,0)</f>
        <v>0</v>
      </c>
      <c r="V115" s="177">
        <f>IF($C$115=$F$115,Data!$E$196*V$101,0)</f>
        <v>0</v>
      </c>
      <c r="W115" s="177">
        <f>IF($C$115=$F$115,Data!$E$196*W$101,0)</f>
        <v>0</v>
      </c>
      <c r="X115" s="177">
        <f>IF($C$115=$F$115,Data!$E$196*X$101,0)</f>
        <v>0</v>
      </c>
      <c r="Y115" s="177">
        <f>IF($C$115=$F$115,Data!$E$196*Y$101,0)</f>
        <v>0</v>
      </c>
      <c r="Z115" s="177">
        <f>IF($C$115=$F$115,Data!$E$196*Z$101,0)</f>
        <v>0</v>
      </c>
      <c r="AA115" s="177">
        <f>IF($C$115=$F$115,Data!$E$196*AA$101,0)</f>
        <v>0</v>
      </c>
      <c r="AB115" s="177">
        <f>IF($C$115=$F$115,Data!$E$196*AB$101,0)</f>
        <v>0</v>
      </c>
      <c r="AC115" s="177">
        <f>IF($C$115=$F$115,Data!$E$196*AC$101,0)</f>
        <v>0</v>
      </c>
      <c r="AD115" s="177">
        <f>IF($C$115=$F$115,Data!$E$196*AD$101,0)</f>
        <v>0</v>
      </c>
      <c r="AE115" s="177">
        <f>IF($C$115=$F$115,Data!$E$196*AE$101,0)</f>
        <v>0</v>
      </c>
      <c r="AF115" s="177">
        <f>IF($C$115=$F$115,Data!$E$196*AF$101,0)</f>
        <v>0</v>
      </c>
      <c r="AG115" s="177">
        <f>IF($C$115=$F$115,Data!$E$196*AG$101,0)</f>
        <v>0</v>
      </c>
      <c r="AH115" s="177">
        <f>IF($C$115=$F$115,Data!$E$196*AH$101,0)</f>
        <v>0</v>
      </c>
      <c r="AI115" s="177">
        <f>IF($C$115=$F$115,Data!$E$196*AI$101,0)</f>
        <v>0</v>
      </c>
      <c r="AJ115" s="177">
        <f>IF($C$115=$F$115,Data!$E$196*AJ$101,0)</f>
        <v>0</v>
      </c>
      <c r="AK115" s="177">
        <f>IF($C$115=$F$115,Data!$E$196*AK$101,0)</f>
        <v>0</v>
      </c>
      <c r="AL115" s="177">
        <f>IF($C$115=$F$115,Data!$E$196*AL$101,0)</f>
        <v>0</v>
      </c>
      <c r="AM115" s="177">
        <f>IF($C$115=$F$115,Data!$E$196*AM$101,0)</f>
        <v>0</v>
      </c>
      <c r="AN115" s="177">
        <f>IF($C$115=$F$115,Data!$E$196*AN$101,0)</f>
        <v>0</v>
      </c>
      <c r="AO115" s="177">
        <f>IF($C$115=$F$115,Data!$E$196*AO$101,0)</f>
        <v>0</v>
      </c>
      <c r="AP115" s="29"/>
    </row>
    <row r="116" spans="1:42" outlineLevel="1" x14ac:dyDescent="0.25">
      <c r="A116" s="12"/>
      <c r="B116" s="13"/>
      <c r="C116" s="45" t="s">
        <v>126</v>
      </c>
      <c r="D116" s="45"/>
      <c r="E116" s="15" t="s">
        <v>474</v>
      </c>
      <c r="F116" s="158" t="str">
        <f>Dashboard!$I$53</f>
        <v>3 Axle rigid</v>
      </c>
      <c r="G116" s="14"/>
      <c r="H116" s="177"/>
      <c r="I116" s="177">
        <f>IF($C$116=$F$116,Data!$E$197*I$101,0)</f>
        <v>0</v>
      </c>
      <c r="J116" s="177">
        <f>IF($C$116=$F$116,Data!$E$197*J$101,0)</f>
        <v>0</v>
      </c>
      <c r="K116" s="177">
        <f>IF($C$116=$F$116,Data!$E$197*K$101,0)</f>
        <v>0</v>
      </c>
      <c r="L116" s="177">
        <f>IF($C$116=$F$116,Data!$E$197*L$101,0)</f>
        <v>0</v>
      </c>
      <c r="M116" s="177">
        <f>IF($C$116=$F$116,Data!$E$197*M$101,0)</f>
        <v>0</v>
      </c>
      <c r="N116" s="177">
        <f>IF($C$116=$F$116,Data!$E$197*N$101,0)</f>
        <v>0</v>
      </c>
      <c r="O116" s="177">
        <f>IF($C$116=$F$116,Data!$E$197*O$101,0)</f>
        <v>0</v>
      </c>
      <c r="P116" s="177">
        <f>IF($C$116=$F$116,Data!$E$197*P$101,0)</f>
        <v>0</v>
      </c>
      <c r="Q116" s="177">
        <f>IF($C$116=$F$116,Data!$E$197*Q$101,0)</f>
        <v>0</v>
      </c>
      <c r="R116" s="177">
        <f>IF($C$116=$F$116,Data!$E$197*R$101,0)</f>
        <v>0</v>
      </c>
      <c r="S116" s="177">
        <f>IF($C$116=$F$116,Data!$E$197*S$101,0)</f>
        <v>0</v>
      </c>
      <c r="T116" s="177">
        <f>IF($C$116=$F$116,Data!$E$197*T$101,0)</f>
        <v>0</v>
      </c>
      <c r="U116" s="177">
        <f>IF($C$116=$F$116,Data!$E$197*U$101,0)</f>
        <v>0</v>
      </c>
      <c r="V116" s="177">
        <f>IF($C$116=$F$116,Data!$E$197*V$101,0)</f>
        <v>0</v>
      </c>
      <c r="W116" s="177">
        <f>IF($C$116=$F$116,Data!$E$197*W$101,0)</f>
        <v>0</v>
      </c>
      <c r="X116" s="177">
        <f>IF($C$116=$F$116,Data!$E$197*X$101,0)</f>
        <v>0</v>
      </c>
      <c r="Y116" s="177">
        <f>IF($C$116=$F$116,Data!$E$197*Y$101,0)</f>
        <v>0</v>
      </c>
      <c r="Z116" s="177">
        <f>IF($C$116=$F$116,Data!$E$197*Z$101,0)</f>
        <v>0</v>
      </c>
      <c r="AA116" s="177">
        <f>IF($C$116=$F$116,Data!$E$197*AA$101,0)</f>
        <v>0</v>
      </c>
      <c r="AB116" s="177">
        <f>IF($C$116=$F$116,Data!$E$197*AB$101,0)</f>
        <v>0</v>
      </c>
      <c r="AC116" s="177">
        <f>IF($C$116=$F$116,Data!$E$197*AC$101,0)</f>
        <v>0</v>
      </c>
      <c r="AD116" s="177">
        <f>IF($C$116=$F$116,Data!$E$197*AD$101,0)</f>
        <v>0</v>
      </c>
      <c r="AE116" s="177">
        <f>IF($C$116=$F$116,Data!$E$197*AE$101,0)</f>
        <v>0</v>
      </c>
      <c r="AF116" s="177">
        <f>IF($C$116=$F$116,Data!$E$197*AF$101,0)</f>
        <v>0</v>
      </c>
      <c r="AG116" s="177">
        <f>IF($C$116=$F$116,Data!$E$197*AG$101,0)</f>
        <v>0</v>
      </c>
      <c r="AH116" s="177">
        <f>IF($C$116=$F$116,Data!$E$197*AH$101,0)</f>
        <v>0</v>
      </c>
      <c r="AI116" s="177">
        <f>IF($C$116=$F$116,Data!$E$197*AI$101,0)</f>
        <v>0</v>
      </c>
      <c r="AJ116" s="177">
        <f>IF($C$116=$F$116,Data!$E$197*AJ$101,0)</f>
        <v>0</v>
      </c>
      <c r="AK116" s="177">
        <f>IF($C$116=$F$116,Data!$E$197*AK$101,0)</f>
        <v>0</v>
      </c>
      <c r="AL116" s="177">
        <f>IF($C$116=$F$116,Data!$E$197*AL$101,0)</f>
        <v>0</v>
      </c>
      <c r="AM116" s="177">
        <f>IF($C$116=$F$116,Data!$E$197*AM$101,0)</f>
        <v>0</v>
      </c>
      <c r="AN116" s="177">
        <f>IF($C$116=$F$116,Data!$E$197*AN$101,0)</f>
        <v>0</v>
      </c>
      <c r="AO116" s="177">
        <f>IF($C$116=$F$116,Data!$E$197*AO$101,0)</f>
        <v>0</v>
      </c>
      <c r="AP116" s="29"/>
    </row>
    <row r="117" spans="1:42" outlineLevel="1" x14ac:dyDescent="0.25">
      <c r="A117" s="12"/>
      <c r="B117" s="13"/>
      <c r="C117" s="45"/>
      <c r="D117" s="45"/>
      <c r="E117" s="15"/>
      <c r="F117" s="16"/>
      <c r="G117" s="14"/>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9"/>
    </row>
    <row r="118" spans="1:42" outlineLevel="1" x14ac:dyDescent="0.25">
      <c r="A118" s="12"/>
      <c r="B118" s="13"/>
      <c r="C118" s="44" t="s">
        <v>532</v>
      </c>
      <c r="D118" s="45"/>
      <c r="E118" s="15" t="s">
        <v>318</v>
      </c>
      <c r="F118" s="16"/>
      <c r="G118" s="14"/>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9"/>
    </row>
    <row r="119" spans="1:42" outlineLevel="1" x14ac:dyDescent="0.25">
      <c r="A119" s="12"/>
      <c r="B119" s="13"/>
      <c r="C119" s="44" t="s">
        <v>260</v>
      </c>
      <c r="D119" s="14"/>
      <c r="E119" s="15" t="s">
        <v>318</v>
      </c>
      <c r="F119" s="16"/>
      <c r="G119" s="14"/>
      <c r="H119" s="151"/>
      <c r="I119" s="151">
        <f>Data!$E$199*I$101</f>
        <v>18553.392</v>
      </c>
      <c r="J119" s="151">
        <f>Data!$E$199*J$101</f>
        <v>18553.392</v>
      </c>
      <c r="K119" s="151">
        <f>Data!$E$199*K$101</f>
        <v>18553.392</v>
      </c>
      <c r="L119" s="151">
        <f>Data!$E$199*L$101</f>
        <v>18553.392</v>
      </c>
      <c r="M119" s="151">
        <f>Data!$E$199*M$101</f>
        <v>18553.392</v>
      </c>
      <c r="N119" s="151">
        <f>Data!$E$199*N$101</f>
        <v>18553.392</v>
      </c>
      <c r="O119" s="151">
        <f>Data!$E$199*O$101</f>
        <v>18553.392</v>
      </c>
      <c r="P119" s="151">
        <f>Data!$E$199*P$101</f>
        <v>18553.392</v>
      </c>
      <c r="Q119" s="151">
        <f>Data!$E$199*Q$101</f>
        <v>18553.392</v>
      </c>
      <c r="R119" s="151">
        <f>Data!$E$199*R$101</f>
        <v>18553.392</v>
      </c>
      <c r="S119" s="151">
        <f>Data!$E$199*S$101</f>
        <v>18553.392</v>
      </c>
      <c r="T119" s="151">
        <f>Data!$E$199*T$101</f>
        <v>18553.392</v>
      </c>
      <c r="U119" s="151">
        <f>Data!$E$199*U$101</f>
        <v>0</v>
      </c>
      <c r="V119" s="151">
        <f>Data!$E$199*V$101</f>
        <v>0</v>
      </c>
      <c r="W119" s="151">
        <f>Data!$E$199*W$101</f>
        <v>0</v>
      </c>
      <c r="X119" s="151">
        <f>Data!$E$199*X$101</f>
        <v>0</v>
      </c>
      <c r="Y119" s="151">
        <f>Data!$E$199*Y$101</f>
        <v>0</v>
      </c>
      <c r="Z119" s="151">
        <f>Data!$E$199*Z$101</f>
        <v>0</v>
      </c>
      <c r="AA119" s="151">
        <f>Data!$E$199*AA$101</f>
        <v>0</v>
      </c>
      <c r="AB119" s="151">
        <f>Data!$E$199*AB$101</f>
        <v>0</v>
      </c>
      <c r="AC119" s="151">
        <f>Data!$E$199*AC$101</f>
        <v>0</v>
      </c>
      <c r="AD119" s="151">
        <f>Data!$E$199*AD$101</f>
        <v>0</v>
      </c>
      <c r="AE119" s="151">
        <f>Data!$E$199*AE$101</f>
        <v>0</v>
      </c>
      <c r="AF119" s="151">
        <f>Data!$E$199*AF$101</f>
        <v>0</v>
      </c>
      <c r="AG119" s="151">
        <f>Data!$E$199*AG$101</f>
        <v>0</v>
      </c>
      <c r="AH119" s="151">
        <f>Data!$E$199*AH$101</f>
        <v>0</v>
      </c>
      <c r="AI119" s="151">
        <f>Data!$E$199*AI$101</f>
        <v>0</v>
      </c>
      <c r="AJ119" s="151">
        <f>Data!$E$199*AJ$101</f>
        <v>0</v>
      </c>
      <c r="AK119" s="151">
        <f>Data!$E$199*AK$101</f>
        <v>0</v>
      </c>
      <c r="AL119" s="151">
        <f>Data!$E$199*AL$101</f>
        <v>0</v>
      </c>
      <c r="AM119" s="151">
        <f>Data!$E$199*AM$101</f>
        <v>0</v>
      </c>
      <c r="AN119" s="151">
        <f>Data!$E$199*AN$101</f>
        <v>0</v>
      </c>
      <c r="AO119" s="151">
        <f>Data!$E$199*AO$101</f>
        <v>0</v>
      </c>
      <c r="AP119" s="17"/>
    </row>
    <row r="120" spans="1:42" outlineLevel="1" x14ac:dyDescent="0.25">
      <c r="A120" s="12"/>
      <c r="B120" s="13"/>
      <c r="C120" s="44"/>
      <c r="D120" s="44"/>
      <c r="E120" s="15"/>
      <c r="F120" s="16"/>
      <c r="G120" s="14"/>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17"/>
    </row>
    <row r="121" spans="1:42" outlineLevel="1" x14ac:dyDescent="0.25">
      <c r="A121" s="12"/>
      <c r="B121" s="13"/>
      <c r="C121" s="44" t="s">
        <v>398</v>
      </c>
      <c r="D121" s="45"/>
      <c r="E121" s="15"/>
      <c r="F121" s="16"/>
      <c r="G121" s="14"/>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9"/>
    </row>
    <row r="122" spans="1:42" outlineLevel="1" x14ac:dyDescent="0.25">
      <c r="A122" s="12"/>
      <c r="B122" s="13"/>
      <c r="C122" s="45" t="s">
        <v>127</v>
      </c>
      <c r="D122" s="45"/>
      <c r="E122" s="15" t="s">
        <v>475</v>
      </c>
      <c r="F122" s="158" t="str">
        <f>Dashboard!$I$52</f>
        <v>Hilly (Gradient  6%)</v>
      </c>
      <c r="G122" s="14"/>
      <c r="H122" s="62"/>
      <c r="I122" s="181" cm="1">
        <f t="array" ref="I122">INDEX('Control panel'!$E$17:$E$19,MATCH($F$122,'Control panel'!$C$17:$C$19,0),0)</f>
        <v>2.0035308778415004</v>
      </c>
      <c r="J122" s="181" cm="1">
        <f t="array" ref="J122">INDEX('Control panel'!$E$17:$E$19,MATCH($F$122,'Control panel'!$C$17:$C$19,0),0)</f>
        <v>2.0035308778415004</v>
      </c>
      <c r="K122" s="181" cm="1">
        <f t="array" ref="K122">INDEX('Control panel'!$E$17:$E$19,MATCH($F$122,'Control panel'!$C$17:$C$19,0),0)</f>
        <v>2.0035308778415004</v>
      </c>
      <c r="L122" s="181" cm="1">
        <f t="array" ref="L122">INDEX('Control panel'!$E$17:$E$19,MATCH($F$122,'Control panel'!$C$17:$C$19,0),0)</f>
        <v>2.0035308778415004</v>
      </c>
      <c r="M122" s="181" cm="1">
        <f t="array" ref="M122">INDEX('Control panel'!$E$17:$E$19,MATCH($F$122,'Control panel'!$C$17:$C$19,0),0)</f>
        <v>2.0035308778415004</v>
      </c>
      <c r="N122" s="181" cm="1">
        <f t="array" ref="N122">INDEX('Control panel'!$E$17:$E$19,MATCH($F$122,'Control panel'!$C$17:$C$19,0),0)</f>
        <v>2.0035308778415004</v>
      </c>
      <c r="O122" s="181" cm="1">
        <f t="array" ref="O122">INDEX('Control panel'!$E$17:$E$19,MATCH($F$122,'Control panel'!$C$17:$C$19,0),0)</f>
        <v>2.0035308778415004</v>
      </c>
      <c r="P122" s="181" cm="1">
        <f t="array" ref="P122">INDEX('Control panel'!$E$17:$E$19,MATCH($F$122,'Control panel'!$C$17:$C$19,0),0)</f>
        <v>2.0035308778415004</v>
      </c>
      <c r="Q122" s="181" cm="1">
        <f t="array" ref="Q122">INDEX('Control panel'!$E$17:$E$19,MATCH($F$122,'Control panel'!$C$17:$C$19,0),0)</f>
        <v>2.0035308778415004</v>
      </c>
      <c r="R122" s="181" cm="1">
        <f t="array" ref="R122">INDEX('Control panel'!$E$17:$E$19,MATCH($F$122,'Control panel'!$C$17:$C$19,0),0)</f>
        <v>2.0035308778415004</v>
      </c>
      <c r="S122" s="181" cm="1">
        <f t="array" ref="S122">INDEX('Control panel'!$E$17:$E$19,MATCH($F$122,'Control panel'!$C$17:$C$19,0),0)</f>
        <v>2.0035308778415004</v>
      </c>
      <c r="T122" s="181" cm="1">
        <f t="array" ref="T122">INDEX('Control panel'!$E$17:$E$19,MATCH($F$122,'Control panel'!$C$17:$C$19,0),0)</f>
        <v>2.0035308778415004</v>
      </c>
      <c r="U122" s="181" cm="1">
        <f t="array" ref="U122">INDEX('Control panel'!$E$17:$E$19,MATCH($F$122,'Control panel'!$C$17:$C$19,0),0)</f>
        <v>2.0035308778415004</v>
      </c>
      <c r="V122" s="181" cm="1">
        <f t="array" ref="V122">INDEX('Control panel'!$E$17:$E$19,MATCH($F$122,'Control panel'!$C$17:$C$19,0),0)</f>
        <v>2.0035308778415004</v>
      </c>
      <c r="W122" s="181" cm="1">
        <f t="array" ref="W122">INDEX('Control panel'!$E$17:$E$19,MATCH($F$122,'Control panel'!$C$17:$C$19,0),0)</f>
        <v>2.0035308778415004</v>
      </c>
      <c r="X122" s="181" cm="1">
        <f t="array" ref="X122">INDEX('Control panel'!$E$17:$E$19,MATCH($F$122,'Control panel'!$C$17:$C$19,0),0)</f>
        <v>2.0035308778415004</v>
      </c>
      <c r="Y122" s="181" cm="1">
        <f t="array" ref="Y122">INDEX('Control panel'!$E$17:$E$19,MATCH($F$122,'Control panel'!$C$17:$C$19,0),0)</f>
        <v>2.0035308778415004</v>
      </c>
      <c r="Z122" s="181" cm="1">
        <f t="array" ref="Z122">INDEX('Control panel'!$E$17:$E$19,MATCH($F$122,'Control panel'!$C$17:$C$19,0),0)</f>
        <v>2.0035308778415004</v>
      </c>
      <c r="AA122" s="181" cm="1">
        <f t="array" ref="AA122">INDEX('Control panel'!$E$17:$E$19,MATCH($F$122,'Control panel'!$C$17:$C$19,0),0)</f>
        <v>2.0035308778415004</v>
      </c>
      <c r="AB122" s="181" cm="1">
        <f t="array" ref="AB122">INDEX('Control panel'!$E$17:$E$19,MATCH($F$122,'Control panel'!$C$17:$C$19,0),0)</f>
        <v>2.0035308778415004</v>
      </c>
      <c r="AC122" s="181" cm="1">
        <f t="array" ref="AC122">INDEX('Control panel'!$E$17:$E$19,MATCH($F$122,'Control panel'!$C$17:$C$19,0),0)</f>
        <v>2.0035308778415004</v>
      </c>
      <c r="AD122" s="181" cm="1">
        <f t="array" ref="AD122">INDEX('Control panel'!$E$17:$E$19,MATCH($F$122,'Control panel'!$C$17:$C$19,0),0)</f>
        <v>2.0035308778415004</v>
      </c>
      <c r="AE122" s="181" cm="1">
        <f t="array" ref="AE122">INDEX('Control panel'!$E$17:$E$19,MATCH($F$122,'Control panel'!$C$17:$C$19,0),0)</f>
        <v>2.0035308778415004</v>
      </c>
      <c r="AF122" s="181" cm="1">
        <f t="array" ref="AF122">INDEX('Control panel'!$E$17:$E$19,MATCH($F$122,'Control panel'!$C$17:$C$19,0),0)</f>
        <v>2.0035308778415004</v>
      </c>
      <c r="AG122" s="181" cm="1">
        <f t="array" ref="AG122">INDEX('Control panel'!$E$17:$E$19,MATCH($F$122,'Control panel'!$C$17:$C$19,0),0)</f>
        <v>2.0035308778415004</v>
      </c>
      <c r="AH122" s="181" cm="1">
        <f t="array" ref="AH122">INDEX('Control panel'!$E$17:$E$19,MATCH($F$122,'Control panel'!$C$17:$C$19,0),0)</f>
        <v>2.0035308778415004</v>
      </c>
      <c r="AI122" s="181" cm="1">
        <f t="array" ref="AI122">INDEX('Control panel'!$E$17:$E$19,MATCH($F$122,'Control panel'!$C$17:$C$19,0),0)</f>
        <v>2.0035308778415004</v>
      </c>
      <c r="AJ122" s="181" cm="1">
        <f t="array" ref="AJ122">INDEX('Control panel'!$E$17:$E$19,MATCH($F$122,'Control panel'!$C$17:$C$19,0),0)</f>
        <v>2.0035308778415004</v>
      </c>
      <c r="AK122" s="181" cm="1">
        <f t="array" ref="AK122">INDEX('Control panel'!$E$17:$E$19,MATCH($F$122,'Control panel'!$C$17:$C$19,0),0)</f>
        <v>2.0035308778415004</v>
      </c>
      <c r="AL122" s="181" cm="1">
        <f t="array" ref="AL122">INDEX('Control panel'!$E$17:$E$19,MATCH($F$122,'Control panel'!$C$17:$C$19,0),0)</f>
        <v>2.0035308778415004</v>
      </c>
      <c r="AM122" s="181" cm="1">
        <f t="array" ref="AM122">INDEX('Control panel'!$E$17:$E$19,MATCH($F$122,'Control panel'!$C$17:$C$19,0),0)</f>
        <v>2.0035308778415004</v>
      </c>
      <c r="AN122" s="181" cm="1">
        <f t="array" ref="AN122">INDEX('Control panel'!$E$17:$E$19,MATCH($F$122,'Control panel'!$C$17:$C$19,0),0)</f>
        <v>2.0035308778415004</v>
      </c>
      <c r="AO122" s="181" cm="1">
        <f t="array" ref="AO122">INDEX('Control panel'!$E$17:$E$19,MATCH($F$122,'Control panel'!$C$17:$C$19,0),0)</f>
        <v>2.0035308778415004</v>
      </c>
      <c r="AP122" s="29"/>
    </row>
    <row r="123" spans="1:42" outlineLevel="1" x14ac:dyDescent="0.25">
      <c r="A123" s="12"/>
      <c r="B123" s="13"/>
      <c r="C123" s="45" t="s">
        <v>120</v>
      </c>
      <c r="D123" s="45"/>
      <c r="E123" s="15" t="s">
        <v>318</v>
      </c>
      <c r="F123" s="158" t="str">
        <f>Dashboard!$I$53</f>
        <v>3 Axle rigid</v>
      </c>
      <c r="G123" s="14"/>
      <c r="H123" s="62"/>
      <c r="I123" s="177">
        <f>IF($C$123=$F$123,I$101*Data!$E$207*Data!H$61,0)*(1+I122)*(1+Data!$E$92)</f>
        <v>0</v>
      </c>
      <c r="J123" s="177">
        <f>IF($C$123=$F$123,J$101*Data!$E$207*Data!I$61,0)*(1+J122)*(1+Data!$E$92)</f>
        <v>0</v>
      </c>
      <c r="K123" s="177">
        <f>IF($C$123=$F$123,K$101*Data!$E$207*Data!J$61,0)*(1+K122)*(1+Data!$E$92)</f>
        <v>0</v>
      </c>
      <c r="L123" s="177">
        <f>IF($C$123=$F$123,L$101*Data!$E$207*Data!K$61,0)*(1+L122)*(1+Data!$E$92)</f>
        <v>0</v>
      </c>
      <c r="M123" s="177">
        <f>IF($C$123=$F$123,M$101*Data!$E$207*Data!L$61,0)*(1+M122)*(1+Data!$E$92)</f>
        <v>0</v>
      </c>
      <c r="N123" s="177">
        <f>IF($C$123=$F$123,N$101*Data!$E$207*Data!M$61,0)*(1+N122)*(1+Data!$E$92)</f>
        <v>0</v>
      </c>
      <c r="O123" s="177">
        <f>IF($C$123=$F$123,O$101*Data!$E$207*Data!N$61,0)*(1+O122)*(1+Data!$E$92)</f>
        <v>0</v>
      </c>
      <c r="P123" s="177">
        <f>IF($C$123=$F$123,P$101*Data!$E$207*Data!O$61,0)*(1+P122)*(1+Data!$E$92)</f>
        <v>0</v>
      </c>
      <c r="Q123" s="177">
        <f>IF($C$123=$F$123,Q$101*Data!$E$207*Data!P$61,0)*(1+Q122)*(1+Data!$E$92)</f>
        <v>0</v>
      </c>
      <c r="R123" s="177">
        <f>IF($C$123=$F$123,R$101*Data!$E$207*Data!Q$61,0)*(1+R122)*(1+Data!$E$92)</f>
        <v>0</v>
      </c>
      <c r="S123" s="177">
        <f>IF($C$123=$F$123,S$101*Data!$E$207*Data!R$61,0)*(1+S122)*(1+Data!$E$92)</f>
        <v>0</v>
      </c>
      <c r="T123" s="177">
        <f>IF($C$123=$F$123,T$101*Data!$E$207*Data!S$61,0)*(1+T122)*(1+Data!$E$92)</f>
        <v>0</v>
      </c>
      <c r="U123" s="177">
        <f>IF($C$123=$F$123,U$101*Data!$E$207*Data!T$61,0)*(1+U122)*(1+Data!$E$92)</f>
        <v>0</v>
      </c>
      <c r="V123" s="177">
        <f>IF($C$123=$F$123,V$101*Data!$E$207*Data!U$61,0)*(1+V122)*(1+Data!$E$92)</f>
        <v>0</v>
      </c>
      <c r="W123" s="177">
        <f>IF($C$123=$F$123,W$101*Data!$E$207*Data!V$61,0)*(1+W122)*(1+Data!$E$92)</f>
        <v>0</v>
      </c>
      <c r="X123" s="177">
        <f>IF($C$123=$F$123,X$101*Data!$E$207*Data!W$61,0)*(1+X122)*(1+Data!$E$92)</f>
        <v>0</v>
      </c>
      <c r="Y123" s="177">
        <f>IF($C$123=$F$123,Y$101*Data!$E$207*Data!X$61,0)*(1+Y122)*(1+Data!$E$92)</f>
        <v>0</v>
      </c>
      <c r="Z123" s="177">
        <f>IF($C$123=$F$123,Z$101*Data!$E$207*Data!Y$61,0)*(1+Z122)*(1+Data!$E$92)</f>
        <v>0</v>
      </c>
      <c r="AA123" s="177">
        <f>IF($C$123=$F$123,AA$101*Data!$E$207*Data!Z$61,0)*(1+AA122)*(1+Data!$E$92)</f>
        <v>0</v>
      </c>
      <c r="AB123" s="177">
        <f>IF($C$123=$F$123,AB$101*Data!$E$207*Data!AA$61,0)*(1+AB122)*(1+Data!$E$92)</f>
        <v>0</v>
      </c>
      <c r="AC123" s="177">
        <f>IF($C$123=$F$123,AC$101*Data!$E$207*Data!AB$61,0)*(1+AC122)*(1+Data!$E$92)</f>
        <v>0</v>
      </c>
      <c r="AD123" s="177">
        <f>IF($C$123=$F$123,AD$101*Data!$E$207*Data!AC$61,0)*(1+AD122)*(1+Data!$E$92)</f>
        <v>0</v>
      </c>
      <c r="AE123" s="177">
        <f>IF($C$123=$F$123,AE$101*Data!$E$207*Data!AD$61,0)*(1+AE122)*(1+Data!$E$92)</f>
        <v>0</v>
      </c>
      <c r="AF123" s="177">
        <f>IF($C$123=$F$123,AF$101*Data!$E$207*Data!AE$61,0)*(1+AF122)*(1+Data!$E$92)</f>
        <v>0</v>
      </c>
      <c r="AG123" s="177">
        <f>IF($C$123=$F$123,AG$101*Data!$E$207*Data!AF$61,0)*(1+AG122)*(1+Data!$E$92)</f>
        <v>0</v>
      </c>
      <c r="AH123" s="177">
        <f>IF($C$123=$F$123,AH$101*Data!$E$207*Data!AG$61,0)*(1+AH122)*(1+Data!$E$92)</f>
        <v>0</v>
      </c>
      <c r="AI123" s="177">
        <f>IF($C$123=$F$123,AI$101*Data!$E$207*Data!AH$61,0)*(1+AI122)*(1+Data!$E$92)</f>
        <v>0</v>
      </c>
      <c r="AJ123" s="177">
        <f>IF($C$123=$F$123,AJ$101*Data!$E$207*Data!AI$61,0)*(1+AJ122)*(1+Data!$E$92)</f>
        <v>0</v>
      </c>
      <c r="AK123" s="177">
        <f>IF($C$123=$F$123,AK$101*Data!$E$207*Data!AJ$61,0)*(1+AK122)*(1+Data!$E$92)</f>
        <v>0</v>
      </c>
      <c r="AL123" s="177">
        <f>IF($C$123=$F$123,AL$101*Data!$E$207*Data!AK$61,0)*(1+AL122)*(1+Data!$E$92)</f>
        <v>0</v>
      </c>
      <c r="AM123" s="177">
        <f>IF($C$123=$F$123,AM$101*Data!$E$207*Data!AL$61,0)*(1+AM122)*(1+Data!$E$92)</f>
        <v>0</v>
      </c>
      <c r="AN123" s="177">
        <f>IF($C$123=$F$123,AN$101*Data!$E$207*Data!AM$61,0)*(1+AN122)*(1+Data!$E$92)</f>
        <v>0</v>
      </c>
      <c r="AO123" s="177">
        <f>IF($C$123=$F$123,AO$101*Data!$E$207*Data!AN$61,0)*(1+AO122)*(1+Data!$E$92)</f>
        <v>0</v>
      </c>
      <c r="AP123" s="29"/>
    </row>
    <row r="124" spans="1:42" outlineLevel="1" x14ac:dyDescent="0.25">
      <c r="A124" s="12"/>
      <c r="B124" s="13"/>
      <c r="C124" s="45" t="s">
        <v>124</v>
      </c>
      <c r="D124" s="45"/>
      <c r="E124" s="15" t="s">
        <v>318</v>
      </c>
      <c r="F124" s="158" t="str">
        <f>Dashboard!$I$53</f>
        <v>3 Axle rigid</v>
      </c>
      <c r="G124" s="14"/>
      <c r="H124" s="62"/>
      <c r="I124" s="177">
        <f>IF($C$124=$F$124,I$13*Data!$E$208*Data!H$61,0)*(1+I122)*(1+Data!$E$92)</f>
        <v>217088.96450615773</v>
      </c>
      <c r="J124" s="177">
        <f>IF($C$124=$F$124,J$13*Data!$E$208*Data!I$61,0)*(1+J122)*(1+Data!$E$92)</f>
        <v>173423.80257112687</v>
      </c>
      <c r="K124" s="177">
        <f>IF($C$124=$F$124,K$13*Data!$E$208*Data!J$61,0)*(1+K122)*(1+Data!$E$92)</f>
        <v>173423.80257112687</v>
      </c>
      <c r="L124" s="177">
        <f>IF($C$124=$F$124,L$13*Data!$E$208*Data!K$61,0)*(1+L122)*(1+Data!$E$92)</f>
        <v>173423.80257112687</v>
      </c>
      <c r="M124" s="177">
        <f>IF($C$124=$F$124,M$13*Data!$E$208*Data!L$61,0)*(1+M122)*(1+Data!$E$92)</f>
        <v>173423.80257112687</v>
      </c>
      <c r="N124" s="177">
        <f>IF($C$124=$F$124,N$13*Data!$E$208*Data!M$61,0)*(1+N122)*(1+Data!$E$92)</f>
        <v>173423.80257112687</v>
      </c>
      <c r="O124" s="177">
        <f>IF($C$124=$F$124,O$13*Data!$E$208*Data!N$61,0)*(1+O122)*(1+Data!$E$92)</f>
        <v>173423.80257112687</v>
      </c>
      <c r="P124" s="177">
        <f>IF($C$124=$F$124,P$13*Data!$E$208*Data!O$61,0)*(1+P122)*(1+Data!$E$92)</f>
        <v>173423.80257112687</v>
      </c>
      <c r="Q124" s="177">
        <f>IF($C$124=$F$124,Q$13*Data!$E$208*Data!P$61,0)*(1+Q122)*(1+Data!$E$92)</f>
        <v>173423.80257112687</v>
      </c>
      <c r="R124" s="177">
        <f>IF($C$124=$F$124,R$13*Data!$E$208*Data!Q$61,0)*(1+R122)*(1+Data!$E$92)</f>
        <v>173423.80257112687</v>
      </c>
      <c r="S124" s="177">
        <f>IF($C$124=$F$124,S$13*Data!$E$208*Data!R$61,0)*(1+S122)*(1+Data!$E$92)</f>
        <v>173423.80257112687</v>
      </c>
      <c r="T124" s="177">
        <f>IF($C$124=$F$124,T$13*Data!$E$208*Data!S$61,0)*(1+T122)*(1+Data!$E$92)</f>
        <v>173423.80257112687</v>
      </c>
      <c r="U124" s="177">
        <f>IF($C$124=$F$124,U$13*Data!$E$208*Data!T$61,0)*(1+U122)*(1+Data!$E$92)</f>
        <v>0</v>
      </c>
      <c r="V124" s="177">
        <f>IF($C$124=$F$124,V$13*Data!$E$208*Data!U$61,0)*(1+V122)*(1+Data!$E$92)</f>
        <v>0</v>
      </c>
      <c r="W124" s="177">
        <f>IF($C$124=$F$124,W$13*Data!$E$208*Data!V$61,0)*(1+W122)*(1+Data!$E$92)</f>
        <v>0</v>
      </c>
      <c r="X124" s="177">
        <f>IF($C$124=$F$124,X$13*Data!$E$208*Data!W$61,0)*(1+X122)*(1+Data!$E$92)</f>
        <v>0</v>
      </c>
      <c r="Y124" s="177">
        <f>IF($C$124=$F$124,Y$13*Data!$E$208*Data!X$61,0)*(1+Y122)*(1+Data!$E$92)</f>
        <v>0</v>
      </c>
      <c r="Z124" s="177">
        <f>IF($C$124=$F$124,Z$13*Data!$E$208*Data!Y$61,0)*(1+Z122)*(1+Data!$E$92)</f>
        <v>0</v>
      </c>
      <c r="AA124" s="177">
        <f>IF($C$124=$F$124,AA$13*Data!$E$208*Data!Z$61,0)*(1+AA122)*(1+Data!$E$92)</f>
        <v>0</v>
      </c>
      <c r="AB124" s="177">
        <f>IF($C$124=$F$124,AB$13*Data!$E$208*Data!AA$61,0)*(1+AB122)*(1+Data!$E$92)</f>
        <v>0</v>
      </c>
      <c r="AC124" s="177">
        <f>IF($C$124=$F$124,AC$13*Data!$E$208*Data!AB$61,0)*(1+AC122)*(1+Data!$E$92)</f>
        <v>0</v>
      </c>
      <c r="AD124" s="177">
        <f>IF($C$124=$F$124,AD$13*Data!$E$208*Data!AC$61,0)*(1+AD122)*(1+Data!$E$92)</f>
        <v>0</v>
      </c>
      <c r="AE124" s="177">
        <f>IF($C$124=$F$124,AE$13*Data!$E$208*Data!AD$61,0)*(1+AE122)*(1+Data!$E$92)</f>
        <v>0</v>
      </c>
      <c r="AF124" s="177">
        <f>IF($C$124=$F$124,AF$13*Data!$E$208*Data!AE$61,0)*(1+AF122)*(1+Data!$E$92)</f>
        <v>0</v>
      </c>
      <c r="AG124" s="177">
        <f>IF($C$124=$F$124,AG$13*Data!$E$208*Data!AF$61,0)*(1+AG122)*(1+Data!$E$92)</f>
        <v>0</v>
      </c>
      <c r="AH124" s="177">
        <f>IF($C$124=$F$124,AH$13*Data!$E$208*Data!AG$61,0)*(1+AH122)*(1+Data!$E$92)</f>
        <v>0</v>
      </c>
      <c r="AI124" s="177">
        <f>IF($C$124=$F$124,AI$13*Data!$E$208*Data!AH$61,0)*(1+AI122)*(1+Data!$E$92)</f>
        <v>0</v>
      </c>
      <c r="AJ124" s="177">
        <f>IF($C$124=$F$124,AJ$13*Data!$E$208*Data!AI$61,0)*(1+AJ122)*(1+Data!$E$92)</f>
        <v>0</v>
      </c>
      <c r="AK124" s="177">
        <f>IF($C$124=$F$124,AK$13*Data!$E$208*Data!AJ$61,0)*(1+AK122)*(1+Data!$E$92)</f>
        <v>0</v>
      </c>
      <c r="AL124" s="177">
        <f>IF($C$124=$F$124,AL$13*Data!$E$208*Data!AK$61,0)*(1+AL122)*(1+Data!$E$92)</f>
        <v>0</v>
      </c>
      <c r="AM124" s="177">
        <f>IF($C$124=$F$124,AM$13*Data!$E$208*Data!AL$61,0)*(1+AM122)*(1+Data!$E$92)</f>
        <v>0</v>
      </c>
      <c r="AN124" s="177">
        <f>IF($C$124=$F$124,AN$13*Data!$E$208*Data!AM$61,0)*(1+AN122)*(1+Data!$E$92)</f>
        <v>0</v>
      </c>
      <c r="AO124" s="177">
        <f>IF($C$124=$F$124,AO$13*Data!$E$208*Data!AN$61,0)*(1+AO122)*(1+Data!$E$92)</f>
        <v>0</v>
      </c>
      <c r="AP124" s="29"/>
    </row>
    <row r="125" spans="1:42" outlineLevel="1" x14ac:dyDescent="0.25">
      <c r="A125" s="12"/>
      <c r="B125" s="13"/>
      <c r="C125" s="45" t="s">
        <v>126</v>
      </c>
      <c r="D125" s="45"/>
      <c r="E125" s="15" t="s">
        <v>318</v>
      </c>
      <c r="F125" s="158" t="str">
        <f>Dashboard!$I$53</f>
        <v>3 Axle rigid</v>
      </c>
      <c r="G125" s="14"/>
      <c r="H125" s="62"/>
      <c r="I125" s="177">
        <f>IF($C$125=$F$125,I$101*Data!$E$209*Data!H$61,0)*(1+I122)*(1+Data!$E$92)</f>
        <v>0</v>
      </c>
      <c r="J125" s="177">
        <f>IF($C$125=$F$125,J$101*Data!$E$209*Data!I$61,0)*(1+J122)*(1+Data!$E$92)</f>
        <v>0</v>
      </c>
      <c r="K125" s="177">
        <f>IF($C$125=$F$125,K$101*Data!$E$209*Data!J$61,0)*(1+K122)*(1+Data!$E$92)</f>
        <v>0</v>
      </c>
      <c r="L125" s="177">
        <f>IF($C$125=$F$125,L$101*Data!$E$209*Data!K$61,0)*(1+L122)*(1+Data!$E$92)</f>
        <v>0</v>
      </c>
      <c r="M125" s="177">
        <f>IF($C$125=$F$125,M$101*Data!$E$209*Data!L$61,0)*(1+M122)*(1+Data!$E$92)</f>
        <v>0</v>
      </c>
      <c r="N125" s="177">
        <f>IF($C$125=$F$125,N$101*Data!$E$209*Data!M$61,0)*(1+N122)*(1+Data!$E$92)</f>
        <v>0</v>
      </c>
      <c r="O125" s="177">
        <f>IF($C$125=$F$125,O$101*Data!$E$209*Data!N$61,0)*(1+O122)*(1+Data!$E$92)</f>
        <v>0</v>
      </c>
      <c r="P125" s="177">
        <f>IF($C$125=$F$125,P$101*Data!$E$209*Data!O$61,0)*(1+P122)*(1+Data!$E$92)</f>
        <v>0</v>
      </c>
      <c r="Q125" s="177">
        <f>IF($C$125=$F$125,Q$101*Data!$E$209*Data!P$61,0)*(1+Q122)*(1+Data!$E$92)</f>
        <v>0</v>
      </c>
      <c r="R125" s="177">
        <f>IF($C$125=$F$125,R$101*Data!$E$209*Data!Q$61,0)*(1+R122)*(1+Data!$E$92)</f>
        <v>0</v>
      </c>
      <c r="S125" s="177">
        <f>IF($C$125=$F$125,S$101*Data!$E$209*Data!R$61,0)*(1+S122)*(1+Data!$E$92)</f>
        <v>0</v>
      </c>
      <c r="T125" s="177">
        <f>IF($C$125=$F$125,T$101*Data!$E$209*Data!S$61,0)*(1+T122)*(1+Data!$E$92)</f>
        <v>0</v>
      </c>
      <c r="U125" s="177">
        <f>IF($C$125=$F$125,U$101*Data!$E$209*Data!T$61,0)*(1+U122)*(1+Data!$E$92)</f>
        <v>0</v>
      </c>
      <c r="V125" s="177">
        <f>IF($C$125=$F$125,V$101*Data!$E$209*Data!U$61,0)*(1+V122)*(1+Data!$E$92)</f>
        <v>0</v>
      </c>
      <c r="W125" s="177">
        <f>IF($C$125=$F$125,W$101*Data!$E$209*Data!V$61,0)*(1+W122)*(1+Data!$E$92)</f>
        <v>0</v>
      </c>
      <c r="X125" s="177">
        <f>IF($C$125=$F$125,X$101*Data!$E$209*Data!W$61,0)*(1+X122)*(1+Data!$E$92)</f>
        <v>0</v>
      </c>
      <c r="Y125" s="177">
        <f>IF($C$125=$F$125,Y$101*Data!$E$209*Data!X$61,0)*(1+Y122)*(1+Data!$E$92)</f>
        <v>0</v>
      </c>
      <c r="Z125" s="177">
        <f>IF($C$125=$F$125,Z$101*Data!$E$209*Data!Y$61,0)*(1+Z122)*(1+Data!$E$92)</f>
        <v>0</v>
      </c>
      <c r="AA125" s="177">
        <f>IF($C$125=$F$125,AA$101*Data!$E$209*Data!Z$61,0)*(1+AA122)*(1+Data!$E$92)</f>
        <v>0</v>
      </c>
      <c r="AB125" s="177">
        <f>IF($C$125=$F$125,AB$101*Data!$E$209*Data!AA$61,0)*(1+AB122)*(1+Data!$E$92)</f>
        <v>0</v>
      </c>
      <c r="AC125" s="177">
        <f>IF($C$125=$F$125,AC$101*Data!$E$209*Data!AB$61,0)*(1+AC122)*(1+Data!$E$92)</f>
        <v>0</v>
      </c>
      <c r="AD125" s="177">
        <f>IF($C$125=$F$125,AD$101*Data!$E$209*Data!AC$61,0)*(1+AD122)*(1+Data!$E$92)</f>
        <v>0</v>
      </c>
      <c r="AE125" s="177">
        <f>IF($C$125=$F$125,AE$101*Data!$E$209*Data!AD$61,0)*(1+AE122)*(1+Data!$E$92)</f>
        <v>0</v>
      </c>
      <c r="AF125" s="177">
        <f>IF($C$125=$F$125,AF$101*Data!$E$209*Data!AE$61,0)*(1+AF122)*(1+Data!$E$92)</f>
        <v>0</v>
      </c>
      <c r="AG125" s="177">
        <f>IF($C$125=$F$125,AG$101*Data!$E$209*Data!AF$61,0)*(1+AG122)*(1+Data!$E$92)</f>
        <v>0</v>
      </c>
      <c r="AH125" s="177">
        <f>IF($C$125=$F$125,AH$101*Data!$E$209*Data!AG$61,0)*(1+AH122)*(1+Data!$E$92)</f>
        <v>0</v>
      </c>
      <c r="AI125" s="177">
        <f>IF($C$125=$F$125,AI$101*Data!$E$209*Data!AH$61,0)*(1+AI122)*(1+Data!$E$92)</f>
        <v>0</v>
      </c>
      <c r="AJ125" s="177">
        <f>IF($C$125=$F$125,AJ$101*Data!$E$209*Data!AI$61,0)*(1+AJ122)*(1+Data!$E$92)</f>
        <v>0</v>
      </c>
      <c r="AK125" s="177">
        <f>IF($C$125=$F$125,AK$101*Data!$E$209*Data!AJ$61,0)*(1+AK122)*(1+Data!$E$92)</f>
        <v>0</v>
      </c>
      <c r="AL125" s="177">
        <f>IF($C$125=$F$125,AL$101*Data!$E$209*Data!AK$61,0)*(1+AL122)*(1+Data!$E$92)</f>
        <v>0</v>
      </c>
      <c r="AM125" s="177">
        <f>IF($C$125=$F$125,AM$101*Data!$E$209*Data!AL$61,0)*(1+AM122)*(1+Data!$E$92)</f>
        <v>0</v>
      </c>
      <c r="AN125" s="177">
        <f>IF($C$125=$F$125,AN$101*Data!$E$209*Data!AM$61,0)*(1+AN122)*(1+Data!$E$92)</f>
        <v>0</v>
      </c>
      <c r="AO125" s="177">
        <f>IF($C$125=$F$125,AO$101*Data!$E$209*Data!AN$61,0)*(1+AO122)*(1+Data!$E$92)</f>
        <v>0</v>
      </c>
      <c r="AP125" s="17"/>
    </row>
    <row r="126" spans="1:42" outlineLevel="1" x14ac:dyDescent="0.25">
      <c r="A126" s="12"/>
      <c r="B126" s="13"/>
      <c r="C126" s="44"/>
      <c r="D126" s="44"/>
      <c r="E126" s="15"/>
      <c r="F126" s="16"/>
      <c r="G126" s="14"/>
      <c r="H126" s="46"/>
      <c r="I126" s="96"/>
      <c r="J126" s="96"/>
      <c r="K126" s="96"/>
      <c r="L126" s="96"/>
      <c r="M126" s="96"/>
      <c r="N126" s="96"/>
      <c r="O126" s="96"/>
      <c r="P126" s="96"/>
      <c r="Q126" s="96"/>
      <c r="R126" s="96"/>
      <c r="S126" s="96"/>
      <c r="T126" s="96"/>
      <c r="U126" s="96"/>
      <c r="V126" s="96"/>
      <c r="W126" s="96"/>
      <c r="X126" s="96"/>
      <c r="Y126" s="96"/>
      <c r="Z126" s="96"/>
      <c r="AA126" s="96"/>
      <c r="AB126" s="96"/>
      <c r="AC126" s="46"/>
      <c r="AD126" s="46"/>
      <c r="AE126" s="46"/>
      <c r="AF126" s="46"/>
      <c r="AG126" s="46"/>
      <c r="AH126" s="46"/>
      <c r="AI126" s="46"/>
      <c r="AJ126" s="46"/>
      <c r="AK126" s="46"/>
      <c r="AL126" s="46"/>
      <c r="AM126" s="46"/>
      <c r="AN126" s="46"/>
      <c r="AO126" s="46"/>
      <c r="AP126" s="17"/>
    </row>
    <row r="127" spans="1:42" outlineLevel="1" x14ac:dyDescent="0.25">
      <c r="A127" s="12"/>
      <c r="B127" s="13"/>
      <c r="C127" s="19" t="s">
        <v>512</v>
      </c>
      <c r="D127" s="45"/>
      <c r="E127" s="15"/>
      <c r="F127" s="158"/>
      <c r="G127" s="14"/>
      <c r="H127" s="28"/>
      <c r="I127" s="182">
        <f>SUM(I114:I116)+I118+I119+SUM(I123:I125)</f>
        <v>279768.07079187199</v>
      </c>
      <c r="J127" s="182">
        <f t="shared" ref="J127:W127" si="19">SUM(J114:J116)+J118+J119+SUM(J123:J125)</f>
        <v>236102.90885684115</v>
      </c>
      <c r="K127" s="182">
        <f t="shared" si="19"/>
        <v>236102.90885684115</v>
      </c>
      <c r="L127" s="182">
        <f t="shared" si="19"/>
        <v>236102.90885684115</v>
      </c>
      <c r="M127" s="182">
        <f t="shared" si="19"/>
        <v>236102.90885684115</v>
      </c>
      <c r="N127" s="182">
        <f t="shared" si="19"/>
        <v>236102.90885684115</v>
      </c>
      <c r="O127" s="182">
        <f t="shared" si="19"/>
        <v>236102.90885684115</v>
      </c>
      <c r="P127" s="182">
        <f t="shared" si="19"/>
        <v>236102.90885684115</v>
      </c>
      <c r="Q127" s="182">
        <f t="shared" si="19"/>
        <v>236102.90885684115</v>
      </c>
      <c r="R127" s="182">
        <f t="shared" si="19"/>
        <v>236102.90885684115</v>
      </c>
      <c r="S127" s="182">
        <f t="shared" si="19"/>
        <v>236102.90885684115</v>
      </c>
      <c r="T127" s="182">
        <f t="shared" si="19"/>
        <v>236102.90885684115</v>
      </c>
      <c r="U127" s="182">
        <f t="shared" si="19"/>
        <v>0</v>
      </c>
      <c r="V127" s="182">
        <f t="shared" si="19"/>
        <v>0</v>
      </c>
      <c r="W127" s="182">
        <f t="shared" si="19"/>
        <v>0</v>
      </c>
      <c r="X127" s="182">
        <f t="shared" ref="X127:AB127" si="20">SUM(X114:X116)+X118+X119+SUM(X123:X125)</f>
        <v>0</v>
      </c>
      <c r="Y127" s="182">
        <f t="shared" si="20"/>
        <v>0</v>
      </c>
      <c r="Z127" s="182">
        <f t="shared" si="20"/>
        <v>0</v>
      </c>
      <c r="AA127" s="182">
        <f t="shared" si="20"/>
        <v>0</v>
      </c>
      <c r="AB127" s="182">
        <f t="shared" si="20"/>
        <v>0</v>
      </c>
      <c r="AC127" s="28"/>
      <c r="AD127" s="28"/>
      <c r="AE127" s="28"/>
      <c r="AF127" s="28"/>
      <c r="AG127" s="28"/>
      <c r="AH127" s="28"/>
      <c r="AI127" s="28"/>
      <c r="AJ127" s="28"/>
      <c r="AK127" s="28"/>
      <c r="AL127" s="28"/>
      <c r="AM127" s="28"/>
      <c r="AN127" s="28"/>
      <c r="AO127" s="28"/>
      <c r="AP127" s="29"/>
    </row>
    <row r="128" spans="1:42" outlineLevel="1" x14ac:dyDescent="0.25">
      <c r="A128" s="12"/>
      <c r="B128" s="13"/>
      <c r="C128" s="45"/>
      <c r="D128" s="45"/>
      <c r="E128" s="15"/>
      <c r="F128" s="16"/>
      <c r="G128" s="14"/>
      <c r="H128" s="28"/>
      <c r="I128" s="177"/>
      <c r="J128" s="177"/>
      <c r="K128" s="177"/>
      <c r="L128" s="177"/>
      <c r="M128" s="177"/>
      <c r="N128" s="177"/>
      <c r="O128" s="177"/>
      <c r="P128" s="177"/>
      <c r="Q128" s="177"/>
      <c r="R128" s="177"/>
      <c r="S128" s="177"/>
      <c r="T128" s="177"/>
      <c r="U128" s="177"/>
      <c r="V128" s="177"/>
      <c r="W128" s="177"/>
      <c r="X128" s="28"/>
      <c r="Y128" s="28"/>
      <c r="Z128" s="28"/>
      <c r="AA128" s="28"/>
      <c r="AB128" s="28"/>
      <c r="AC128" s="28"/>
      <c r="AD128" s="28"/>
      <c r="AE128" s="28"/>
      <c r="AF128" s="28"/>
      <c r="AG128" s="28"/>
      <c r="AH128" s="28"/>
      <c r="AI128" s="28"/>
      <c r="AJ128" s="28"/>
      <c r="AK128" s="28"/>
      <c r="AL128" s="28"/>
      <c r="AM128" s="28"/>
      <c r="AN128" s="28"/>
      <c r="AO128" s="28"/>
      <c r="AP128" s="29"/>
    </row>
    <row r="129" spans="1:42" outlineLevel="1" x14ac:dyDescent="0.25">
      <c r="A129" s="12"/>
      <c r="B129" s="13"/>
      <c r="C129" s="37" t="s">
        <v>513</v>
      </c>
      <c r="D129" s="37"/>
      <c r="E129" s="38"/>
      <c r="F129" s="39"/>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17"/>
    </row>
    <row r="130" spans="1:42" s="140" customFormat="1" outlineLevel="1" x14ac:dyDescent="0.25">
      <c r="A130" s="78"/>
      <c r="B130" s="19"/>
      <c r="C130" s="44" t="s">
        <v>249</v>
      </c>
      <c r="D130" s="44"/>
      <c r="E130" s="21" t="s">
        <v>142</v>
      </c>
      <c r="F130" s="375" t="str">
        <f>Dashboard!I53</f>
        <v>3 Axle rigid</v>
      </c>
      <c r="G130" s="20"/>
      <c r="H130" s="49"/>
      <c r="I130" s="182">
        <f>-IF(COUNT($I$3:I$3)=(Dashboard!$I$31+1),INDEX(Data!$E$99:$E$101,MATCH('H2 Blending'!$F$130,Data!$B$99:$B$101,0)),0)</f>
        <v>0</v>
      </c>
      <c r="J130" s="182">
        <f>-IF(COUNT($I$3:J$3)=(Dashboard!$I$31+1),INDEX(Data!$E$99:$E$101,MATCH('H2 Blending'!$F$130,Data!$B$99:$B$101,0)),0)</f>
        <v>0</v>
      </c>
      <c r="K130" s="182">
        <f>-IF(COUNT($I$3:K$3)=(Dashboard!$I$31+1),INDEX(Data!$E$99:$E$101,MATCH('H2 Blending'!$F$130,Data!$B$99:$B$101,0)),0)</f>
        <v>0</v>
      </c>
      <c r="L130" s="182">
        <f>-IF(COUNT($I$3:L$3)=(Dashboard!$I$31+1),INDEX(Data!$E$99:$E$101,MATCH('H2 Blending'!$F$130,Data!$B$99:$B$101,0)),0)</f>
        <v>0</v>
      </c>
      <c r="M130" s="182">
        <f>-IF(COUNT($I$3:M$3)=(Dashboard!$I$31+1),INDEX(Data!$E$99:$E$101,MATCH('H2 Blending'!$F$130,Data!$B$99:$B$101,0)),0)</f>
        <v>0</v>
      </c>
      <c r="N130" s="182">
        <f>-IF(COUNT($I$3:N$3)=(Dashboard!$I$31+1),INDEX(Data!$E$99:$E$101,MATCH('H2 Blending'!$F$130,Data!$B$99:$B$101,0)),0)</f>
        <v>0</v>
      </c>
      <c r="O130" s="182">
        <f>-IF(COUNT($I$3:O$3)=(Dashboard!$I$31+1),INDEX(Data!$E$99:$E$101,MATCH('H2 Blending'!$F$130,Data!$B$99:$B$101,0)),0)</f>
        <v>0</v>
      </c>
      <c r="P130" s="182">
        <f>-IF(COUNT($I$3:P$3)=(Dashboard!$I$31+1),INDEX(Data!$E$99:$E$101,MATCH('H2 Blending'!$F$130,Data!$B$99:$B$101,0)),0)</f>
        <v>0</v>
      </c>
      <c r="Q130" s="182">
        <f>-IF(COUNT($I$3:Q$3)=(Dashboard!$I$31+1),INDEX(Data!$E$99:$E$101,MATCH('H2 Blending'!$F$130,Data!$B$99:$B$101,0)),0)</f>
        <v>0</v>
      </c>
      <c r="R130" s="182">
        <f>-IF(COUNT($I$3:R$3)=(Dashboard!$I$31+1),INDEX(Data!$E$99:$E$101,MATCH('H2 Blending'!$F$130,Data!$B$99:$B$101,0)),0)</f>
        <v>0</v>
      </c>
      <c r="S130" s="182">
        <f>-IF(COUNT($I$3:S$3)=(Dashboard!$I$31+1),INDEX(Data!$E$99:$E$101,MATCH('H2 Blending'!$F$130,Data!$B$99:$B$101,0)),0)</f>
        <v>0</v>
      </c>
      <c r="T130" s="182">
        <f>-IF(COUNT($I$3:T$3)=(Dashboard!$I$31+1),INDEX(Data!$E$99:$E$101,MATCH('H2 Blending'!$F$130,Data!$B$99:$B$101,0)),0)</f>
        <v>0</v>
      </c>
      <c r="U130" s="182">
        <f>-IF(COUNT($I$3:U$3)=(Dashboard!$I$31+1),INDEX(Data!$E$99:$E$101,MATCH('H2 Blending'!$F$130,Data!$B$99:$B$101,0)),0)</f>
        <v>-60000</v>
      </c>
      <c r="V130" s="182">
        <f>-IF(COUNT($I$3:V$3)=(Dashboard!$I$31+1),INDEX(Data!$E$99:$E$101,MATCH('H2 Blending'!$F$130,Data!$B$99:$B$101,0)),0)</f>
        <v>0</v>
      </c>
      <c r="W130" s="182">
        <f>-IF(COUNT($I$3:W$3)=(Dashboard!$I$31+1),INDEX(Data!$E$99:$E$101,MATCH('H2 Blending'!$F$130,Data!$B$99:$B$101,0)),0)</f>
        <v>0</v>
      </c>
      <c r="X130" s="182">
        <f>-IF(COUNT($I$3:X$3)=(Dashboard!$I$31+1),INDEX(Data!$E$99:$E$101,MATCH('H2 Blending'!$F$130,Data!$B$99:$B$101,0)),0)</f>
        <v>0</v>
      </c>
      <c r="Y130" s="182">
        <f>-IF(COUNT($I$3:Y$3)=(Dashboard!$I$31+1),INDEX(Data!$E$99:$E$101,MATCH('H2 Blending'!$F$130,Data!$B$99:$B$101,0)),0)</f>
        <v>0</v>
      </c>
      <c r="Z130" s="182">
        <f>-IF(COUNT($I$3:Z$3)=(Dashboard!$I$31+1),INDEX(Data!$E$99:$E$101,MATCH('H2 Blending'!$F$130,Data!$B$99:$B$101,0)),0)</f>
        <v>0</v>
      </c>
      <c r="AA130" s="182">
        <f>-IF(COUNT($I$3:AA$3)=(Dashboard!$I$31+1),INDEX(Data!$E$99:$E$101,MATCH('H2 Blending'!$F$130,Data!$B$99:$B$101,0)),0)</f>
        <v>0</v>
      </c>
      <c r="AB130" s="182">
        <f>-IF(COUNT($I$3:AB$3)=(Dashboard!$I$31+1),INDEX(Data!$E$99:$E$101,MATCH('H2 Blending'!$F$130,Data!$B$99:$B$101,0)),0)</f>
        <v>0</v>
      </c>
      <c r="AC130" s="182">
        <f>-IF(COUNT($I$3:AC$3)=(Dashboard!$I$31+1),INDEX(Data!$E$99:$E$101,MATCH('H2 Blending'!$F$130,Data!$B$99:$B$101,0)),0)</f>
        <v>0</v>
      </c>
      <c r="AD130" s="182">
        <f>-IF(COUNT($I$3:AD$3)=(Dashboard!$I$31+1),INDEX(Data!$E$99:$E$101,MATCH('H2 Blending'!$F$130,Data!$B$99:$B$101,0)),0)</f>
        <v>0</v>
      </c>
      <c r="AE130" s="182">
        <f>-IF(COUNT($I$3:AE$3)=(Dashboard!$I$31+1),INDEX(Data!$E$99:$E$101,MATCH('H2 Blending'!$F$130,Data!$B$99:$B$101,0)),0)</f>
        <v>0</v>
      </c>
      <c r="AF130" s="182">
        <f>-IF(COUNT($I$3:AF$3)=(Dashboard!$I$31+1),INDEX(Data!$E$99:$E$101,MATCH('H2 Blending'!$F$130,Data!$B$99:$B$101,0)),0)</f>
        <v>0</v>
      </c>
      <c r="AG130" s="182">
        <f>-IF(COUNT($I$3:AG$3)=(Dashboard!$I$31+1),INDEX(Data!$E$99:$E$101,MATCH('H2 Blending'!$F$130,Data!$B$99:$B$101,0)),0)</f>
        <v>0</v>
      </c>
      <c r="AH130" s="182">
        <f>-IF(COUNT($I$3:AH$3)=(Dashboard!$I$31+1),INDEX(Data!$E$99:$E$101,MATCH('H2 Blending'!$F$130,Data!$B$99:$B$101,0)),0)</f>
        <v>0</v>
      </c>
      <c r="AI130" s="182">
        <f>-IF(COUNT($I$3:AI$3)=(Dashboard!$I$31+1),INDEX(Data!$E$99:$E$101,MATCH('H2 Blending'!$F$130,Data!$B$99:$B$101,0)),0)</f>
        <v>0</v>
      </c>
      <c r="AJ130" s="182">
        <f>-IF(COUNT($I$3:AJ$3)=(Dashboard!$I$31+1),INDEX(Data!$E$99:$E$101,MATCH('H2 Blending'!$F$130,Data!$B$99:$B$101,0)),0)</f>
        <v>0</v>
      </c>
      <c r="AK130" s="182">
        <f>-IF(COUNT($I$3:AK$3)=(Dashboard!$I$31+1),INDEX(Data!$E$99:$E$101,MATCH('H2 Blending'!$F$130,Data!$B$99:$B$101,0)),0)</f>
        <v>0</v>
      </c>
      <c r="AL130" s="182">
        <f>-IF(COUNT($I$3:AL$3)=(Dashboard!$I$31+1),INDEX(Data!$E$99:$E$101,MATCH('H2 Blending'!$F$130,Data!$B$99:$B$101,0)),0)</f>
        <v>0</v>
      </c>
      <c r="AM130" s="182">
        <f>-IF(COUNT($I$3:AM$3)=(Dashboard!$I$31+1),INDEX(Data!$E$99:$E$101,MATCH('H2 Blending'!$F$130,Data!$B$99:$B$101,0)),0)</f>
        <v>0</v>
      </c>
      <c r="AN130" s="182">
        <f>-IF(COUNT($I$3:AN$3)=(Dashboard!$I$31+1),INDEX(Data!$E$99:$E$101,MATCH('H2 Blending'!$F$130,Data!$B$99:$B$101,0)),0)</f>
        <v>0</v>
      </c>
      <c r="AO130" s="182">
        <f>-IF(COUNT($I$3:AO$3)=(Dashboard!$I$31+1),INDEX(Data!$E$99:$E$101,MATCH('H2 Blending'!$F$130,Data!$B$99:$B$101,0)),0)</f>
        <v>0</v>
      </c>
      <c r="AP130" s="50"/>
    </row>
    <row r="131" spans="1:42" outlineLevel="1" x14ac:dyDescent="0.25">
      <c r="A131" s="12"/>
      <c r="B131" s="13"/>
      <c r="C131" s="14"/>
      <c r="D131" s="14"/>
      <c r="E131" s="15"/>
      <c r="F131" s="16"/>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7"/>
    </row>
    <row r="132" spans="1:42" outlineLevel="1" x14ac:dyDescent="0.25">
      <c r="A132" s="12"/>
      <c r="B132" s="13"/>
      <c r="C132" s="37" t="s">
        <v>479</v>
      </c>
      <c r="D132" s="37"/>
      <c r="E132" s="38" t="s">
        <v>54</v>
      </c>
      <c r="F132" s="39"/>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17"/>
    </row>
    <row r="133" spans="1:42" outlineLevel="1" x14ac:dyDescent="0.25">
      <c r="A133" s="12"/>
      <c r="B133" s="13"/>
      <c r="C133" s="14" t="s">
        <v>479</v>
      </c>
      <c r="D133" s="14"/>
      <c r="E133" s="15" t="s">
        <v>54</v>
      </c>
      <c r="F133" s="16"/>
      <c r="G133" s="96"/>
      <c r="H133" s="165"/>
      <c r="I133" s="165">
        <f>I127+I111+I130</f>
        <v>281796.99464329082</v>
      </c>
      <c r="J133" s="165">
        <f t="shared" ref="J133:AO133" si="21">J127+J111+J130</f>
        <v>238131.83270825996</v>
      </c>
      <c r="K133" s="165">
        <f t="shared" si="21"/>
        <v>238131.83270825996</v>
      </c>
      <c r="L133" s="165">
        <f t="shared" si="21"/>
        <v>238131.83270825996</v>
      </c>
      <c r="M133" s="165">
        <f t="shared" si="21"/>
        <v>238131.83270825996</v>
      </c>
      <c r="N133" s="165">
        <f t="shared" si="21"/>
        <v>238131.83270825996</v>
      </c>
      <c r="O133" s="165">
        <f t="shared" si="21"/>
        <v>238131.83270825996</v>
      </c>
      <c r="P133" s="165">
        <f t="shared" si="21"/>
        <v>238131.83270825996</v>
      </c>
      <c r="Q133" s="165">
        <f t="shared" si="21"/>
        <v>238131.83270825996</v>
      </c>
      <c r="R133" s="165">
        <f t="shared" si="21"/>
        <v>238131.83270825996</v>
      </c>
      <c r="S133" s="165">
        <f t="shared" si="21"/>
        <v>238131.83270825996</v>
      </c>
      <c r="T133" s="165">
        <f t="shared" si="21"/>
        <v>238131.83270825996</v>
      </c>
      <c r="U133" s="165">
        <f t="shared" si="21"/>
        <v>-60000</v>
      </c>
      <c r="V133" s="165">
        <f t="shared" si="21"/>
        <v>0</v>
      </c>
      <c r="W133" s="165">
        <f t="shared" si="21"/>
        <v>0</v>
      </c>
      <c r="X133" s="165">
        <f t="shared" si="21"/>
        <v>0</v>
      </c>
      <c r="Y133" s="165">
        <f t="shared" si="21"/>
        <v>0</v>
      </c>
      <c r="Z133" s="165">
        <f t="shared" si="21"/>
        <v>0</v>
      </c>
      <c r="AA133" s="165">
        <f t="shared" si="21"/>
        <v>0</v>
      </c>
      <c r="AB133" s="165">
        <f t="shared" si="21"/>
        <v>0</v>
      </c>
      <c r="AC133" s="165">
        <f t="shared" si="21"/>
        <v>0</v>
      </c>
      <c r="AD133" s="165">
        <f t="shared" si="21"/>
        <v>0</v>
      </c>
      <c r="AE133" s="165">
        <f t="shared" si="21"/>
        <v>0</v>
      </c>
      <c r="AF133" s="165">
        <f t="shared" si="21"/>
        <v>0</v>
      </c>
      <c r="AG133" s="165">
        <f t="shared" si="21"/>
        <v>0</v>
      </c>
      <c r="AH133" s="165">
        <f t="shared" si="21"/>
        <v>0</v>
      </c>
      <c r="AI133" s="165">
        <f t="shared" si="21"/>
        <v>0</v>
      </c>
      <c r="AJ133" s="165">
        <f t="shared" si="21"/>
        <v>0</v>
      </c>
      <c r="AK133" s="165">
        <f t="shared" si="21"/>
        <v>0</v>
      </c>
      <c r="AL133" s="165">
        <f t="shared" si="21"/>
        <v>0</v>
      </c>
      <c r="AM133" s="165">
        <f t="shared" si="21"/>
        <v>0</v>
      </c>
      <c r="AN133" s="165">
        <f t="shared" si="21"/>
        <v>0</v>
      </c>
      <c r="AO133" s="165">
        <f t="shared" si="21"/>
        <v>0</v>
      </c>
      <c r="AP133" s="29"/>
    </row>
    <row r="134" spans="1:42" s="140" customFormat="1" outlineLevel="1" x14ac:dyDescent="0.25">
      <c r="A134" s="78"/>
      <c r="B134" s="19"/>
      <c r="C134" s="20" t="s">
        <v>480</v>
      </c>
      <c r="D134" s="20"/>
      <c r="E134" s="15" t="s">
        <v>54</v>
      </c>
      <c r="F134" s="48"/>
      <c r="G134" s="95"/>
      <c r="H134" s="182"/>
      <c r="I134" s="182">
        <f>I133*Data!H$9</f>
        <v>270958.64869547193</v>
      </c>
      <c r="J134" s="182">
        <f>J133*Data!I$9</f>
        <v>220166.26544772551</v>
      </c>
      <c r="K134" s="182">
        <f>K133*Data!J$9</f>
        <v>211698.33216127456</v>
      </c>
      <c r="L134" s="182">
        <f>L133*Data!K$9</f>
        <v>203556.08861661013</v>
      </c>
      <c r="M134" s="182">
        <f>M133*Data!L$9</f>
        <v>195727.00828520203</v>
      </c>
      <c r="N134" s="182">
        <f>N133*Data!M$9</f>
        <v>188199.04642807887</v>
      </c>
      <c r="O134" s="182">
        <f>O133*Data!N$9</f>
        <v>180960.62156546049</v>
      </c>
      <c r="P134" s="182">
        <f>P133*Data!O$9</f>
        <v>174000.59765909659</v>
      </c>
      <c r="Q134" s="182">
        <f>Q133*Data!P$9</f>
        <v>167308.26697990054</v>
      </c>
      <c r="R134" s="182">
        <f>R133*Data!Q$9</f>
        <v>160873.33363451975</v>
      </c>
      <c r="S134" s="182">
        <f>S133*Data!R$9</f>
        <v>154685.89772549976</v>
      </c>
      <c r="T134" s="182">
        <f>T133*Data!S$9</f>
        <v>148736.44012067281</v>
      </c>
      <c r="U134" s="182">
        <f>U133*Data!T$9</f>
        <v>-36034.445168080681</v>
      </c>
      <c r="V134" s="182">
        <f>V133*Data!U$9</f>
        <v>0</v>
      </c>
      <c r="W134" s="182">
        <f>W133*Data!V$9</f>
        <v>0</v>
      </c>
      <c r="X134" s="182">
        <f>X133*Data!W$9</f>
        <v>0</v>
      </c>
      <c r="Y134" s="182">
        <f>Y133*Data!X$9</f>
        <v>0</v>
      </c>
      <c r="Z134" s="182">
        <f>Z133*Data!Y$9</f>
        <v>0</v>
      </c>
      <c r="AA134" s="182">
        <f>AA133*Data!Z$9</f>
        <v>0</v>
      </c>
      <c r="AB134" s="182">
        <f>AB133*Data!AA$9</f>
        <v>0</v>
      </c>
      <c r="AC134" s="182">
        <f>AC133*Data!AB$9</f>
        <v>0</v>
      </c>
      <c r="AD134" s="182">
        <f>AD133*Data!AC$9</f>
        <v>0</v>
      </c>
      <c r="AE134" s="182">
        <f>AE133*Data!AD$9</f>
        <v>0</v>
      </c>
      <c r="AF134" s="182">
        <f>AF133*Data!AE$9</f>
        <v>0</v>
      </c>
      <c r="AG134" s="182">
        <f>AG133*Data!AF$9</f>
        <v>0</v>
      </c>
      <c r="AH134" s="182">
        <f>AH133*Data!AG$9</f>
        <v>0</v>
      </c>
      <c r="AI134" s="182">
        <f>AI133*Data!AH$9</f>
        <v>0</v>
      </c>
      <c r="AJ134" s="182">
        <f>AJ133*Data!AI$9</f>
        <v>0</v>
      </c>
      <c r="AK134" s="182">
        <f>AK133*Data!AJ$9</f>
        <v>0</v>
      </c>
      <c r="AL134" s="182">
        <f>AL133*Data!AK$9</f>
        <v>0</v>
      </c>
      <c r="AM134" s="182">
        <f>AM133*Data!AL$9</f>
        <v>0</v>
      </c>
      <c r="AN134" s="182">
        <f>AN133*Data!AM$9</f>
        <v>0</v>
      </c>
      <c r="AO134" s="182">
        <f>AO133*Data!AN$9</f>
        <v>0</v>
      </c>
      <c r="AP134" s="50"/>
    </row>
    <row r="135" spans="1:42" outlineLevel="1" x14ac:dyDescent="0.25">
      <c r="A135" s="12"/>
      <c r="B135" s="13"/>
      <c r="C135" s="14" t="s">
        <v>479</v>
      </c>
      <c r="D135" s="14"/>
      <c r="E135" s="15" t="s">
        <v>142</v>
      </c>
      <c r="F135" s="16"/>
      <c r="G135" s="165">
        <f>SUM(H134:AO134)</f>
        <v>2240836.1021514321</v>
      </c>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9"/>
    </row>
    <row r="136" spans="1:42" outlineLevel="1" x14ac:dyDescent="0.25">
      <c r="A136" s="12"/>
      <c r="B136" s="13"/>
      <c r="C136" s="44" t="s">
        <v>514</v>
      </c>
      <c r="D136" s="44"/>
      <c r="E136" s="15" t="s">
        <v>261</v>
      </c>
      <c r="F136" s="16"/>
      <c r="G136" s="183">
        <f>G135/SUM(I101:AO101)</f>
        <v>3.6273570677146982</v>
      </c>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7"/>
    </row>
    <row r="137" spans="1:42" outlineLevel="1" x14ac:dyDescent="0.25">
      <c r="A137" s="12"/>
      <c r="B137" s="13"/>
      <c r="C137" s="14"/>
      <c r="D137" s="14"/>
      <c r="E137" s="15"/>
      <c r="F137" s="16"/>
      <c r="G137" s="14"/>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17"/>
    </row>
    <row r="138" spans="1:42" outlineLevel="1" x14ac:dyDescent="0.25">
      <c r="A138" s="12"/>
      <c r="B138" s="13"/>
      <c r="C138" s="19"/>
      <c r="D138" s="19"/>
      <c r="E138" s="15"/>
      <c r="F138" s="16"/>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row>
    <row r="139" spans="1:42" outlineLevel="1" x14ac:dyDescent="0.25">
      <c r="A139" s="12"/>
      <c r="B139" s="13"/>
      <c r="C139" s="37" t="s">
        <v>515</v>
      </c>
      <c r="D139" s="37"/>
      <c r="E139" s="38"/>
      <c r="F139" s="39"/>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17"/>
    </row>
    <row r="140" spans="1:42" outlineLevel="1" x14ac:dyDescent="0.25">
      <c r="A140" s="12"/>
      <c r="B140" s="13"/>
      <c r="C140" s="20" t="s">
        <v>516</v>
      </c>
      <c r="D140" s="45"/>
      <c r="E140" s="15"/>
      <c r="F140" s="16"/>
      <c r="G140" s="165"/>
      <c r="H140" s="165"/>
      <c r="I140" s="165"/>
      <c r="J140" s="165"/>
      <c r="K140" s="165"/>
      <c r="L140" s="165"/>
      <c r="M140" s="165"/>
      <c r="N140" s="165"/>
      <c r="O140" s="165"/>
      <c r="P140" s="165"/>
      <c r="Q140" s="165"/>
      <c r="R140" s="165"/>
      <c r="S140" s="165"/>
      <c r="T140" s="165"/>
      <c r="U140" s="28"/>
      <c r="V140" s="28"/>
      <c r="W140" s="28"/>
      <c r="X140" s="28"/>
      <c r="Y140" s="28"/>
      <c r="Z140" s="28"/>
      <c r="AA140" s="28"/>
      <c r="AB140" s="28"/>
      <c r="AC140" s="28"/>
      <c r="AD140" s="28"/>
      <c r="AE140" s="28"/>
      <c r="AF140" s="28"/>
      <c r="AG140" s="28"/>
      <c r="AH140" s="28"/>
      <c r="AI140" s="28"/>
      <c r="AJ140" s="28"/>
      <c r="AK140" s="28"/>
      <c r="AL140" s="28"/>
      <c r="AM140" s="28"/>
      <c r="AN140" s="28"/>
      <c r="AO140" s="28"/>
      <c r="AP140" s="29"/>
    </row>
    <row r="141" spans="1:42" outlineLevel="1" x14ac:dyDescent="0.25">
      <c r="A141" s="12"/>
      <c r="B141" s="13"/>
      <c r="C141" s="45" t="s">
        <v>517</v>
      </c>
      <c r="D141" s="45"/>
      <c r="E141" s="15" t="s">
        <v>342</v>
      </c>
      <c r="F141" s="179">
        <f>Data!$E$216</f>
        <v>0</v>
      </c>
      <c r="G141" s="165"/>
      <c r="H141" s="165"/>
      <c r="I141" s="165"/>
      <c r="J141" s="165"/>
      <c r="K141" s="165"/>
      <c r="L141" s="165"/>
      <c r="M141" s="165"/>
      <c r="N141" s="165"/>
      <c r="O141" s="165"/>
      <c r="P141" s="165"/>
      <c r="Q141" s="165"/>
      <c r="R141" s="165"/>
      <c r="S141" s="165"/>
      <c r="T141" s="165"/>
      <c r="U141" s="28"/>
      <c r="V141" s="28"/>
      <c r="W141" s="28"/>
      <c r="X141" s="28"/>
      <c r="Y141" s="28"/>
      <c r="Z141" s="28"/>
      <c r="AA141" s="28"/>
      <c r="AB141" s="28"/>
      <c r="AC141" s="28"/>
      <c r="AD141" s="28"/>
      <c r="AE141" s="28"/>
      <c r="AF141" s="28"/>
      <c r="AG141" s="28"/>
      <c r="AH141" s="28"/>
      <c r="AI141" s="28"/>
      <c r="AJ141" s="28"/>
      <c r="AK141" s="28"/>
      <c r="AL141" s="28"/>
      <c r="AM141" s="28"/>
      <c r="AN141" s="28"/>
      <c r="AO141" s="28"/>
      <c r="AP141" s="29"/>
    </row>
    <row r="142" spans="1:42" outlineLevel="1" x14ac:dyDescent="0.25">
      <c r="A142" s="12"/>
      <c r="B142" s="13"/>
      <c r="C142" s="45" t="s">
        <v>518</v>
      </c>
      <c r="D142" s="45"/>
      <c r="E142" s="15" t="s">
        <v>142</v>
      </c>
      <c r="F142" s="179"/>
      <c r="G142" s="186">
        <f>F141*Data!$G$16/1000</f>
        <v>0</v>
      </c>
      <c r="H142" s="165"/>
      <c r="I142" s="165"/>
      <c r="J142" s="165"/>
      <c r="K142" s="165"/>
      <c r="L142" s="165"/>
      <c r="M142" s="165"/>
      <c r="N142" s="165"/>
      <c r="O142" s="165"/>
      <c r="P142" s="165"/>
      <c r="Q142" s="165"/>
      <c r="R142" s="165"/>
      <c r="S142" s="165"/>
      <c r="T142" s="165"/>
      <c r="U142" s="28"/>
      <c r="V142" s="28"/>
      <c r="W142" s="28"/>
      <c r="X142" s="28"/>
      <c r="Y142" s="28"/>
      <c r="Z142" s="28"/>
      <c r="AA142" s="28"/>
      <c r="AB142" s="28"/>
      <c r="AC142" s="28"/>
      <c r="AD142" s="28"/>
      <c r="AE142" s="28"/>
      <c r="AF142" s="28"/>
      <c r="AG142" s="28"/>
      <c r="AH142" s="28"/>
      <c r="AI142" s="28"/>
      <c r="AJ142" s="28"/>
      <c r="AK142" s="28"/>
      <c r="AL142" s="28"/>
      <c r="AM142" s="28"/>
      <c r="AN142" s="28"/>
      <c r="AO142" s="28"/>
      <c r="AP142" s="29"/>
    </row>
    <row r="143" spans="1:42" outlineLevel="1" x14ac:dyDescent="0.25">
      <c r="A143" s="12"/>
      <c r="B143" s="13"/>
      <c r="C143" s="45" t="s">
        <v>518</v>
      </c>
      <c r="D143" s="45"/>
      <c r="E143" s="15" t="s">
        <v>261</v>
      </c>
      <c r="F143" s="179"/>
      <c r="G143" s="184">
        <f>G142/(SUM(H101:AN101))</f>
        <v>0</v>
      </c>
      <c r="H143" s="165"/>
      <c r="I143" s="165"/>
      <c r="J143" s="165"/>
      <c r="K143" s="165"/>
      <c r="L143" s="165"/>
      <c r="M143" s="165"/>
      <c r="N143" s="165"/>
      <c r="O143" s="165"/>
      <c r="P143" s="165"/>
      <c r="Q143" s="165"/>
      <c r="R143" s="165"/>
      <c r="S143" s="165"/>
      <c r="T143" s="165"/>
      <c r="U143" s="28"/>
      <c r="V143" s="28"/>
      <c r="W143" s="28"/>
      <c r="X143" s="28"/>
      <c r="Y143" s="28"/>
      <c r="Z143" s="28"/>
      <c r="AA143" s="28"/>
      <c r="AB143" s="28"/>
      <c r="AC143" s="28"/>
      <c r="AD143" s="28"/>
      <c r="AE143" s="28"/>
      <c r="AF143" s="28"/>
      <c r="AG143" s="28"/>
      <c r="AH143" s="28"/>
      <c r="AI143" s="28"/>
      <c r="AJ143" s="28"/>
      <c r="AK143" s="28"/>
      <c r="AL143" s="28"/>
      <c r="AM143" s="28"/>
      <c r="AN143" s="28"/>
      <c r="AO143" s="28"/>
      <c r="AP143" s="29"/>
    </row>
    <row r="144" spans="1:42" outlineLevel="1" x14ac:dyDescent="0.25">
      <c r="A144" s="12"/>
      <c r="B144" s="13"/>
      <c r="C144" s="20" t="s">
        <v>519</v>
      </c>
      <c r="D144" s="19"/>
      <c r="E144" s="15"/>
      <c r="F144" s="16"/>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7"/>
    </row>
    <row r="145" spans="1:42" outlineLevel="1" x14ac:dyDescent="0.25">
      <c r="A145" s="12"/>
      <c r="B145" s="13"/>
      <c r="C145" t="s">
        <v>520</v>
      </c>
      <c r="D145" s="14"/>
      <c r="E145" s="15" t="s">
        <v>521</v>
      </c>
      <c r="F145" s="16"/>
      <c r="G145" s="14"/>
      <c r="H145" s="141"/>
      <c r="I145" s="141">
        <f t="shared" ref="I145:AN145" si="22">I101</f>
        <v>51480</v>
      </c>
      <c r="J145" s="141">
        <f t="shared" si="22"/>
        <v>51480</v>
      </c>
      <c r="K145" s="141">
        <f t="shared" si="22"/>
        <v>51480</v>
      </c>
      <c r="L145" s="141">
        <f t="shared" si="22"/>
        <v>51480</v>
      </c>
      <c r="M145" s="141">
        <f t="shared" si="22"/>
        <v>51480</v>
      </c>
      <c r="N145" s="141">
        <f t="shared" si="22"/>
        <v>51480</v>
      </c>
      <c r="O145" s="141">
        <f t="shared" si="22"/>
        <v>51480</v>
      </c>
      <c r="P145" s="141">
        <f t="shared" si="22"/>
        <v>51480</v>
      </c>
      <c r="Q145" s="141">
        <f t="shared" si="22"/>
        <v>51480</v>
      </c>
      <c r="R145" s="141">
        <f t="shared" si="22"/>
        <v>51480</v>
      </c>
      <c r="S145" s="141">
        <f t="shared" si="22"/>
        <v>51480</v>
      </c>
      <c r="T145" s="141">
        <f t="shared" si="22"/>
        <v>51480</v>
      </c>
      <c r="U145" s="141">
        <f t="shared" si="22"/>
        <v>0</v>
      </c>
      <c r="V145" s="141">
        <f t="shared" si="22"/>
        <v>0</v>
      </c>
      <c r="W145" s="141">
        <f t="shared" si="22"/>
        <v>0</v>
      </c>
      <c r="X145" s="141">
        <f t="shared" si="22"/>
        <v>0</v>
      </c>
      <c r="Y145" s="141">
        <f t="shared" si="22"/>
        <v>0</v>
      </c>
      <c r="Z145" s="141">
        <f t="shared" si="22"/>
        <v>0</v>
      </c>
      <c r="AA145" s="141">
        <f t="shared" si="22"/>
        <v>0</v>
      </c>
      <c r="AB145" s="141">
        <f t="shared" si="22"/>
        <v>0</v>
      </c>
      <c r="AC145" s="141">
        <f t="shared" si="22"/>
        <v>0</v>
      </c>
      <c r="AD145" s="141">
        <f t="shared" si="22"/>
        <v>0</v>
      </c>
      <c r="AE145" s="141">
        <f t="shared" si="22"/>
        <v>0</v>
      </c>
      <c r="AF145" s="141">
        <f t="shared" si="22"/>
        <v>0</v>
      </c>
      <c r="AG145" s="141">
        <f t="shared" si="22"/>
        <v>0</v>
      </c>
      <c r="AH145" s="141">
        <f t="shared" si="22"/>
        <v>0</v>
      </c>
      <c r="AI145" s="141">
        <f t="shared" si="22"/>
        <v>0</v>
      </c>
      <c r="AJ145" s="141">
        <f t="shared" si="22"/>
        <v>0</v>
      </c>
      <c r="AK145" s="141">
        <f t="shared" si="22"/>
        <v>0</v>
      </c>
      <c r="AL145" s="141">
        <f t="shared" si="22"/>
        <v>0</v>
      </c>
      <c r="AM145" s="141">
        <f t="shared" si="22"/>
        <v>0</v>
      </c>
      <c r="AN145" s="141">
        <f t="shared" si="22"/>
        <v>0</v>
      </c>
      <c r="AO145" s="141"/>
      <c r="AP145" s="14"/>
    </row>
    <row r="146" spans="1:42" outlineLevel="1" x14ac:dyDescent="0.25">
      <c r="A146" s="12"/>
      <c r="B146" s="13"/>
      <c r="C146" s="14" t="s">
        <v>535</v>
      </c>
      <c r="D146" s="14"/>
      <c r="E146" s="15"/>
      <c r="F146" s="16"/>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4"/>
      <c r="AP146" s="14"/>
    </row>
    <row r="147" spans="1:42" ht="14.25" customHeight="1" outlineLevel="1" x14ac:dyDescent="0.25">
      <c r="A147" s="54"/>
      <c r="B147" s="13"/>
      <c r="C147" s="14" t="s">
        <v>205</v>
      </c>
      <c r="D147" s="14"/>
      <c r="E147" s="70" t="s">
        <v>352</v>
      </c>
      <c r="F147" s="201">
        <f>Data!E505/1000</f>
        <v>4.2309826001503507E-3</v>
      </c>
      <c r="G147" s="56"/>
      <c r="H147" s="56"/>
      <c r="I147" s="56">
        <f>I$145*$F147</f>
        <v>217.81098425574007</v>
      </c>
      <c r="J147" s="56">
        <f t="shared" ref="J147:AN153" si="23">J$145*$F147</f>
        <v>217.81098425574007</v>
      </c>
      <c r="K147" s="56">
        <f t="shared" si="23"/>
        <v>217.81098425574007</v>
      </c>
      <c r="L147" s="56">
        <f t="shared" si="23"/>
        <v>217.81098425574007</v>
      </c>
      <c r="M147" s="56">
        <f t="shared" si="23"/>
        <v>217.81098425574007</v>
      </c>
      <c r="N147" s="56">
        <f t="shared" si="23"/>
        <v>217.81098425574007</v>
      </c>
      <c r="O147" s="56">
        <f t="shared" si="23"/>
        <v>217.81098425574007</v>
      </c>
      <c r="P147" s="56">
        <f t="shared" si="23"/>
        <v>217.81098425574007</v>
      </c>
      <c r="Q147" s="56">
        <f t="shared" si="23"/>
        <v>217.81098425574007</v>
      </c>
      <c r="R147" s="56">
        <f t="shared" si="23"/>
        <v>217.81098425574007</v>
      </c>
      <c r="S147" s="56">
        <f t="shared" si="23"/>
        <v>217.81098425574007</v>
      </c>
      <c r="T147" s="56">
        <f t="shared" si="23"/>
        <v>217.81098425574007</v>
      </c>
      <c r="U147" s="56">
        <f t="shared" si="23"/>
        <v>0</v>
      </c>
      <c r="V147" s="56">
        <f t="shared" si="23"/>
        <v>0</v>
      </c>
      <c r="W147" s="56">
        <f t="shared" si="23"/>
        <v>0</v>
      </c>
      <c r="X147" s="56">
        <f t="shared" si="23"/>
        <v>0</v>
      </c>
      <c r="Y147" s="56">
        <f t="shared" si="23"/>
        <v>0</v>
      </c>
      <c r="Z147" s="56">
        <f t="shared" si="23"/>
        <v>0</v>
      </c>
      <c r="AA147" s="56">
        <f t="shared" si="23"/>
        <v>0</v>
      </c>
      <c r="AB147" s="56">
        <f t="shared" si="23"/>
        <v>0</v>
      </c>
      <c r="AC147" s="56">
        <f t="shared" si="23"/>
        <v>0</v>
      </c>
      <c r="AD147" s="56">
        <f t="shared" si="23"/>
        <v>0</v>
      </c>
      <c r="AE147" s="56">
        <f t="shared" si="23"/>
        <v>0</v>
      </c>
      <c r="AF147" s="56">
        <f t="shared" si="23"/>
        <v>0</v>
      </c>
      <c r="AG147" s="56">
        <f t="shared" si="23"/>
        <v>0</v>
      </c>
      <c r="AH147" s="56">
        <f t="shared" si="23"/>
        <v>0</v>
      </c>
      <c r="AI147" s="56">
        <f t="shared" si="23"/>
        <v>0</v>
      </c>
      <c r="AJ147" s="56">
        <f t="shared" si="23"/>
        <v>0</v>
      </c>
      <c r="AK147" s="56">
        <f t="shared" si="23"/>
        <v>0</v>
      </c>
      <c r="AL147" s="56">
        <f t="shared" si="23"/>
        <v>0</v>
      </c>
      <c r="AM147" s="56">
        <f t="shared" si="23"/>
        <v>0</v>
      </c>
      <c r="AN147" s="56">
        <f t="shared" si="23"/>
        <v>0</v>
      </c>
      <c r="AO147" s="56"/>
      <c r="AP147" s="29"/>
    </row>
    <row r="148" spans="1:42" outlineLevel="1" x14ac:dyDescent="0.25">
      <c r="A148" s="54"/>
      <c r="B148" s="13"/>
      <c r="C148" s="14" t="s">
        <v>484</v>
      </c>
      <c r="D148" s="14"/>
      <c r="E148" s="70" t="s">
        <v>352</v>
      </c>
      <c r="F148" s="201">
        <f>Data!E506/1000</f>
        <v>2.7681944550305837</v>
      </c>
      <c r="G148" s="56"/>
      <c r="H148" s="56"/>
      <c r="I148" s="56">
        <f t="shared" ref="I148:X153" si="24">I$145*$F148</f>
        <v>142506.65054497446</v>
      </c>
      <c r="J148" s="56">
        <f t="shared" si="24"/>
        <v>142506.65054497446</v>
      </c>
      <c r="K148" s="56">
        <f t="shared" si="24"/>
        <v>142506.65054497446</v>
      </c>
      <c r="L148" s="56">
        <f t="shared" si="24"/>
        <v>142506.65054497446</v>
      </c>
      <c r="M148" s="56">
        <f t="shared" si="24"/>
        <v>142506.65054497446</v>
      </c>
      <c r="N148" s="56">
        <f t="shared" si="24"/>
        <v>142506.65054497446</v>
      </c>
      <c r="O148" s="56">
        <f t="shared" si="24"/>
        <v>142506.65054497446</v>
      </c>
      <c r="P148" s="56">
        <f t="shared" si="24"/>
        <v>142506.65054497446</v>
      </c>
      <c r="Q148" s="56">
        <f t="shared" si="24"/>
        <v>142506.65054497446</v>
      </c>
      <c r="R148" s="56">
        <f t="shared" si="24"/>
        <v>142506.65054497446</v>
      </c>
      <c r="S148" s="56">
        <f t="shared" si="24"/>
        <v>142506.65054497446</v>
      </c>
      <c r="T148" s="56">
        <f t="shared" si="24"/>
        <v>142506.65054497446</v>
      </c>
      <c r="U148" s="56">
        <f t="shared" si="24"/>
        <v>0</v>
      </c>
      <c r="V148" s="56">
        <f t="shared" si="24"/>
        <v>0</v>
      </c>
      <c r="W148" s="56">
        <f t="shared" si="24"/>
        <v>0</v>
      </c>
      <c r="X148" s="56">
        <f t="shared" si="24"/>
        <v>0</v>
      </c>
      <c r="Y148" s="56">
        <f t="shared" si="23"/>
        <v>0</v>
      </c>
      <c r="Z148" s="56">
        <f t="shared" si="23"/>
        <v>0</v>
      </c>
      <c r="AA148" s="56">
        <f t="shared" si="23"/>
        <v>0</v>
      </c>
      <c r="AB148" s="56">
        <f t="shared" si="23"/>
        <v>0</v>
      </c>
      <c r="AC148" s="56">
        <f t="shared" si="23"/>
        <v>0</v>
      </c>
      <c r="AD148" s="56">
        <f t="shared" si="23"/>
        <v>0</v>
      </c>
      <c r="AE148" s="56">
        <f t="shared" si="23"/>
        <v>0</v>
      </c>
      <c r="AF148" s="56">
        <f t="shared" si="23"/>
        <v>0</v>
      </c>
      <c r="AG148" s="56">
        <f t="shared" si="23"/>
        <v>0</v>
      </c>
      <c r="AH148" s="56">
        <f t="shared" si="23"/>
        <v>0</v>
      </c>
      <c r="AI148" s="56">
        <f t="shared" si="23"/>
        <v>0</v>
      </c>
      <c r="AJ148" s="56">
        <f t="shared" si="23"/>
        <v>0</v>
      </c>
      <c r="AK148" s="56">
        <f t="shared" si="23"/>
        <v>0</v>
      </c>
      <c r="AL148" s="56">
        <f t="shared" si="23"/>
        <v>0</v>
      </c>
      <c r="AM148" s="56">
        <f t="shared" si="23"/>
        <v>0</v>
      </c>
      <c r="AN148" s="56">
        <f t="shared" si="23"/>
        <v>0</v>
      </c>
      <c r="AO148" s="56"/>
      <c r="AP148" s="29"/>
    </row>
    <row r="149" spans="1:42" outlineLevel="1" x14ac:dyDescent="0.25">
      <c r="A149" s="54"/>
      <c r="B149" s="13"/>
      <c r="C149" s="14" t="s">
        <v>285</v>
      </c>
      <c r="D149" s="14"/>
      <c r="E149" s="70" t="s">
        <v>352</v>
      </c>
      <c r="F149" s="201">
        <f>Data!E507/1000</f>
        <v>3.4917477856892727E-4</v>
      </c>
      <c r="G149" s="56"/>
      <c r="H149" s="56"/>
      <c r="I149" s="56">
        <f t="shared" si="24"/>
        <v>17.975517600728377</v>
      </c>
      <c r="J149" s="56">
        <f t="shared" si="23"/>
        <v>17.975517600728377</v>
      </c>
      <c r="K149" s="56">
        <f t="shared" si="23"/>
        <v>17.975517600728377</v>
      </c>
      <c r="L149" s="56">
        <f t="shared" si="23"/>
        <v>17.975517600728377</v>
      </c>
      <c r="M149" s="56">
        <f t="shared" si="23"/>
        <v>17.975517600728377</v>
      </c>
      <c r="N149" s="56">
        <f t="shared" si="23"/>
        <v>17.975517600728377</v>
      </c>
      <c r="O149" s="56">
        <f t="shared" si="23"/>
        <v>17.975517600728377</v>
      </c>
      <c r="P149" s="56">
        <f t="shared" si="23"/>
        <v>17.975517600728377</v>
      </c>
      <c r="Q149" s="56">
        <f t="shared" si="23"/>
        <v>17.975517600728377</v>
      </c>
      <c r="R149" s="56">
        <f t="shared" si="23"/>
        <v>17.975517600728377</v>
      </c>
      <c r="S149" s="56">
        <f t="shared" si="23"/>
        <v>17.975517600728377</v>
      </c>
      <c r="T149" s="56">
        <f t="shared" si="23"/>
        <v>17.975517600728377</v>
      </c>
      <c r="U149" s="56">
        <f t="shared" si="23"/>
        <v>0</v>
      </c>
      <c r="V149" s="56">
        <f t="shared" si="23"/>
        <v>0</v>
      </c>
      <c r="W149" s="56">
        <f t="shared" si="23"/>
        <v>0</v>
      </c>
      <c r="X149" s="56">
        <f t="shared" si="23"/>
        <v>0</v>
      </c>
      <c r="Y149" s="56">
        <f t="shared" si="23"/>
        <v>0</v>
      </c>
      <c r="Z149" s="56">
        <f t="shared" si="23"/>
        <v>0</v>
      </c>
      <c r="AA149" s="56">
        <f t="shared" si="23"/>
        <v>0</v>
      </c>
      <c r="AB149" s="56">
        <f t="shared" si="23"/>
        <v>0</v>
      </c>
      <c r="AC149" s="56">
        <f t="shared" si="23"/>
        <v>0</v>
      </c>
      <c r="AD149" s="56">
        <f t="shared" si="23"/>
        <v>0</v>
      </c>
      <c r="AE149" s="56">
        <f t="shared" si="23"/>
        <v>0</v>
      </c>
      <c r="AF149" s="56">
        <f t="shared" si="23"/>
        <v>0</v>
      </c>
      <c r="AG149" s="56">
        <f t="shared" si="23"/>
        <v>0</v>
      </c>
      <c r="AH149" s="56">
        <f t="shared" si="23"/>
        <v>0</v>
      </c>
      <c r="AI149" s="56">
        <f t="shared" si="23"/>
        <v>0</v>
      </c>
      <c r="AJ149" s="56">
        <f t="shared" si="23"/>
        <v>0</v>
      </c>
      <c r="AK149" s="56">
        <f t="shared" si="23"/>
        <v>0</v>
      </c>
      <c r="AL149" s="56">
        <f t="shared" si="23"/>
        <v>0</v>
      </c>
      <c r="AM149" s="56">
        <f t="shared" si="23"/>
        <v>0</v>
      </c>
      <c r="AN149" s="56">
        <f t="shared" si="23"/>
        <v>0</v>
      </c>
      <c r="AO149" s="56"/>
      <c r="AP149" s="29"/>
    </row>
    <row r="150" spans="1:42" outlineLevel="1" x14ac:dyDescent="0.25">
      <c r="A150" s="54"/>
      <c r="B150" s="13"/>
      <c r="C150" s="14" t="s">
        <v>220</v>
      </c>
      <c r="D150" s="14"/>
      <c r="E150" s="70" t="s">
        <v>352</v>
      </c>
      <c r="F150" s="201">
        <f>Data!E508/1000</f>
        <v>1.5499642131509336E-2</v>
      </c>
      <c r="G150" s="56"/>
      <c r="H150" s="56"/>
      <c r="I150" s="56">
        <f t="shared" si="24"/>
        <v>797.92157693010063</v>
      </c>
      <c r="J150" s="56">
        <f t="shared" si="23"/>
        <v>797.92157693010063</v>
      </c>
      <c r="K150" s="56">
        <f t="shared" si="23"/>
        <v>797.92157693010063</v>
      </c>
      <c r="L150" s="56">
        <f t="shared" si="23"/>
        <v>797.92157693010063</v>
      </c>
      <c r="M150" s="56">
        <f t="shared" si="23"/>
        <v>797.92157693010063</v>
      </c>
      <c r="N150" s="56">
        <f t="shared" si="23"/>
        <v>797.92157693010063</v>
      </c>
      <c r="O150" s="56">
        <f t="shared" si="23"/>
        <v>797.92157693010063</v>
      </c>
      <c r="P150" s="56">
        <f t="shared" si="23"/>
        <v>797.92157693010063</v>
      </c>
      <c r="Q150" s="56">
        <f t="shared" si="23"/>
        <v>797.92157693010063</v>
      </c>
      <c r="R150" s="56">
        <f t="shared" si="23"/>
        <v>797.92157693010063</v>
      </c>
      <c r="S150" s="56">
        <f t="shared" si="23"/>
        <v>797.92157693010063</v>
      </c>
      <c r="T150" s="56">
        <f t="shared" si="23"/>
        <v>797.92157693010063</v>
      </c>
      <c r="U150" s="56">
        <f t="shared" si="23"/>
        <v>0</v>
      </c>
      <c r="V150" s="56">
        <f t="shared" si="23"/>
        <v>0</v>
      </c>
      <c r="W150" s="56">
        <f t="shared" si="23"/>
        <v>0</v>
      </c>
      <c r="X150" s="56">
        <f t="shared" si="23"/>
        <v>0</v>
      </c>
      <c r="Y150" s="56">
        <f t="shared" si="23"/>
        <v>0</v>
      </c>
      <c r="Z150" s="56">
        <f t="shared" si="23"/>
        <v>0</v>
      </c>
      <c r="AA150" s="56">
        <f t="shared" si="23"/>
        <v>0</v>
      </c>
      <c r="AB150" s="56">
        <f t="shared" si="23"/>
        <v>0</v>
      </c>
      <c r="AC150" s="56">
        <f t="shared" si="23"/>
        <v>0</v>
      </c>
      <c r="AD150" s="56">
        <f t="shared" si="23"/>
        <v>0</v>
      </c>
      <c r="AE150" s="56">
        <f t="shared" si="23"/>
        <v>0</v>
      </c>
      <c r="AF150" s="56">
        <f t="shared" si="23"/>
        <v>0</v>
      </c>
      <c r="AG150" s="56">
        <f t="shared" si="23"/>
        <v>0</v>
      </c>
      <c r="AH150" s="56">
        <f t="shared" si="23"/>
        <v>0</v>
      </c>
      <c r="AI150" s="56">
        <f t="shared" si="23"/>
        <v>0</v>
      </c>
      <c r="AJ150" s="56">
        <f t="shared" si="23"/>
        <v>0</v>
      </c>
      <c r="AK150" s="56">
        <f t="shared" si="23"/>
        <v>0</v>
      </c>
      <c r="AL150" s="56">
        <f t="shared" si="23"/>
        <v>0</v>
      </c>
      <c r="AM150" s="56">
        <f t="shared" si="23"/>
        <v>0</v>
      </c>
      <c r="AN150" s="56">
        <f t="shared" si="23"/>
        <v>0</v>
      </c>
      <c r="AO150" s="56"/>
      <c r="AP150" s="29"/>
    </row>
    <row r="151" spans="1:42" outlineLevel="1" x14ac:dyDescent="0.25">
      <c r="A151" s="54"/>
      <c r="B151" s="13"/>
      <c r="C151" s="14" t="s">
        <v>212</v>
      </c>
      <c r="D151" s="14"/>
      <c r="E151" s="70" t="s">
        <v>352</v>
      </c>
      <c r="F151" s="201">
        <f>Data!E509/1000</f>
        <v>1.850400839523922E-3</v>
      </c>
      <c r="G151" s="56"/>
      <c r="H151" s="56"/>
      <c r="I151" s="56">
        <f t="shared" si="24"/>
        <v>95.258635218691509</v>
      </c>
      <c r="J151" s="56">
        <f t="shared" si="23"/>
        <v>95.258635218691509</v>
      </c>
      <c r="K151" s="56">
        <f t="shared" si="23"/>
        <v>95.258635218691509</v>
      </c>
      <c r="L151" s="56">
        <f t="shared" si="23"/>
        <v>95.258635218691509</v>
      </c>
      <c r="M151" s="56">
        <f t="shared" si="23"/>
        <v>95.258635218691509</v>
      </c>
      <c r="N151" s="56">
        <f t="shared" si="23"/>
        <v>95.258635218691509</v>
      </c>
      <c r="O151" s="56">
        <f t="shared" si="23"/>
        <v>95.258635218691509</v>
      </c>
      <c r="P151" s="56">
        <f t="shared" si="23"/>
        <v>95.258635218691509</v>
      </c>
      <c r="Q151" s="56">
        <f t="shared" si="23"/>
        <v>95.258635218691509</v>
      </c>
      <c r="R151" s="56">
        <f t="shared" si="23"/>
        <v>95.258635218691509</v>
      </c>
      <c r="S151" s="56">
        <f t="shared" si="23"/>
        <v>95.258635218691509</v>
      </c>
      <c r="T151" s="56">
        <f t="shared" si="23"/>
        <v>95.258635218691509</v>
      </c>
      <c r="U151" s="56">
        <f t="shared" si="23"/>
        <v>0</v>
      </c>
      <c r="V151" s="56">
        <f t="shared" si="23"/>
        <v>0</v>
      </c>
      <c r="W151" s="56">
        <f t="shared" si="23"/>
        <v>0</v>
      </c>
      <c r="X151" s="56">
        <f t="shared" si="23"/>
        <v>0</v>
      </c>
      <c r="Y151" s="56">
        <f t="shared" si="23"/>
        <v>0</v>
      </c>
      <c r="Z151" s="56">
        <f t="shared" si="23"/>
        <v>0</v>
      </c>
      <c r="AA151" s="56">
        <f t="shared" si="23"/>
        <v>0</v>
      </c>
      <c r="AB151" s="56">
        <f t="shared" si="23"/>
        <v>0</v>
      </c>
      <c r="AC151" s="56">
        <f t="shared" si="23"/>
        <v>0</v>
      </c>
      <c r="AD151" s="56">
        <f t="shared" si="23"/>
        <v>0</v>
      </c>
      <c r="AE151" s="56">
        <f t="shared" si="23"/>
        <v>0</v>
      </c>
      <c r="AF151" s="56">
        <f t="shared" si="23"/>
        <v>0</v>
      </c>
      <c r="AG151" s="56">
        <f t="shared" si="23"/>
        <v>0</v>
      </c>
      <c r="AH151" s="56">
        <f t="shared" si="23"/>
        <v>0</v>
      </c>
      <c r="AI151" s="56">
        <f t="shared" si="23"/>
        <v>0</v>
      </c>
      <c r="AJ151" s="56">
        <f t="shared" si="23"/>
        <v>0</v>
      </c>
      <c r="AK151" s="56">
        <f t="shared" si="23"/>
        <v>0</v>
      </c>
      <c r="AL151" s="56">
        <f t="shared" si="23"/>
        <v>0</v>
      </c>
      <c r="AM151" s="56">
        <f t="shared" si="23"/>
        <v>0</v>
      </c>
      <c r="AN151" s="56">
        <f t="shared" si="23"/>
        <v>0</v>
      </c>
      <c r="AO151" s="56"/>
      <c r="AP151" s="29"/>
    </row>
    <row r="152" spans="1:42" outlineLevel="1" x14ac:dyDescent="0.25">
      <c r="A152" s="54"/>
      <c r="B152" s="13"/>
      <c r="C152" s="14" t="s">
        <v>485</v>
      </c>
      <c r="D152" s="14"/>
      <c r="E152" s="70" t="s">
        <v>352</v>
      </c>
      <c r="F152" s="201">
        <f>Data!E510/1000</f>
        <v>2.5597928314749485E-4</v>
      </c>
      <c r="G152" s="56"/>
      <c r="H152" s="56"/>
      <c r="I152" s="56">
        <f t="shared" si="24"/>
        <v>13.177813496433036</v>
      </c>
      <c r="J152" s="56">
        <f t="shared" si="23"/>
        <v>13.177813496433036</v>
      </c>
      <c r="K152" s="56">
        <f t="shared" si="23"/>
        <v>13.177813496433036</v>
      </c>
      <c r="L152" s="56">
        <f t="shared" si="23"/>
        <v>13.177813496433036</v>
      </c>
      <c r="M152" s="56">
        <f t="shared" si="23"/>
        <v>13.177813496433036</v>
      </c>
      <c r="N152" s="56">
        <f t="shared" si="23"/>
        <v>13.177813496433036</v>
      </c>
      <c r="O152" s="56">
        <f t="shared" si="23"/>
        <v>13.177813496433036</v>
      </c>
      <c r="P152" s="56">
        <f t="shared" si="23"/>
        <v>13.177813496433036</v>
      </c>
      <c r="Q152" s="56">
        <f t="shared" si="23"/>
        <v>13.177813496433036</v>
      </c>
      <c r="R152" s="56">
        <f t="shared" si="23"/>
        <v>13.177813496433036</v>
      </c>
      <c r="S152" s="56">
        <f t="shared" si="23"/>
        <v>13.177813496433036</v>
      </c>
      <c r="T152" s="56">
        <f t="shared" si="23"/>
        <v>13.177813496433036</v>
      </c>
      <c r="U152" s="56">
        <f t="shared" si="23"/>
        <v>0</v>
      </c>
      <c r="V152" s="56">
        <f t="shared" si="23"/>
        <v>0</v>
      </c>
      <c r="W152" s="56">
        <f t="shared" si="23"/>
        <v>0</v>
      </c>
      <c r="X152" s="56">
        <f t="shared" si="23"/>
        <v>0</v>
      </c>
      <c r="Y152" s="56">
        <f t="shared" si="23"/>
        <v>0</v>
      </c>
      <c r="Z152" s="56">
        <f t="shared" si="23"/>
        <v>0</v>
      </c>
      <c r="AA152" s="56">
        <f t="shared" si="23"/>
        <v>0</v>
      </c>
      <c r="AB152" s="56">
        <f t="shared" si="23"/>
        <v>0</v>
      </c>
      <c r="AC152" s="56">
        <f t="shared" si="23"/>
        <v>0</v>
      </c>
      <c r="AD152" s="56">
        <f t="shared" si="23"/>
        <v>0</v>
      </c>
      <c r="AE152" s="56">
        <f t="shared" si="23"/>
        <v>0</v>
      </c>
      <c r="AF152" s="56">
        <f t="shared" si="23"/>
        <v>0</v>
      </c>
      <c r="AG152" s="56">
        <f t="shared" si="23"/>
        <v>0</v>
      </c>
      <c r="AH152" s="56">
        <f t="shared" si="23"/>
        <v>0</v>
      </c>
      <c r="AI152" s="56">
        <f t="shared" si="23"/>
        <v>0</v>
      </c>
      <c r="AJ152" s="56">
        <f t="shared" si="23"/>
        <v>0</v>
      </c>
      <c r="AK152" s="56">
        <f t="shared" si="23"/>
        <v>0</v>
      </c>
      <c r="AL152" s="56">
        <f t="shared" si="23"/>
        <v>0</v>
      </c>
      <c r="AM152" s="56">
        <f t="shared" si="23"/>
        <v>0</v>
      </c>
      <c r="AN152" s="56">
        <f t="shared" si="23"/>
        <v>0</v>
      </c>
      <c r="AO152" s="56"/>
      <c r="AP152" s="29"/>
    </row>
    <row r="153" spans="1:42" outlineLevel="1" x14ac:dyDescent="0.25">
      <c r="A153" s="54"/>
      <c r="B153" s="13"/>
      <c r="C153" s="14" t="s">
        <v>214</v>
      </c>
      <c r="D153" s="14"/>
      <c r="E153" s="70" t="s">
        <v>352</v>
      </c>
      <c r="F153" s="201">
        <f>Data!E511/1000</f>
        <v>2.7457065446254591E-5</v>
      </c>
      <c r="G153" s="56"/>
      <c r="H153" s="56"/>
      <c r="I153" s="56">
        <f t="shared" si="24"/>
        <v>1.4134897291731863</v>
      </c>
      <c r="J153" s="56">
        <f t="shared" si="23"/>
        <v>1.4134897291731863</v>
      </c>
      <c r="K153" s="56">
        <f t="shared" si="23"/>
        <v>1.4134897291731863</v>
      </c>
      <c r="L153" s="56">
        <f t="shared" si="23"/>
        <v>1.4134897291731863</v>
      </c>
      <c r="M153" s="56">
        <f t="shared" si="23"/>
        <v>1.4134897291731863</v>
      </c>
      <c r="N153" s="56">
        <f t="shared" si="23"/>
        <v>1.4134897291731863</v>
      </c>
      <c r="O153" s="56">
        <f t="shared" si="23"/>
        <v>1.4134897291731863</v>
      </c>
      <c r="P153" s="56">
        <f t="shared" si="23"/>
        <v>1.4134897291731863</v>
      </c>
      <c r="Q153" s="56">
        <f t="shared" si="23"/>
        <v>1.4134897291731863</v>
      </c>
      <c r="R153" s="56">
        <f t="shared" si="23"/>
        <v>1.4134897291731863</v>
      </c>
      <c r="S153" s="56">
        <f t="shared" si="23"/>
        <v>1.4134897291731863</v>
      </c>
      <c r="T153" s="56">
        <f t="shared" si="23"/>
        <v>1.4134897291731863</v>
      </c>
      <c r="U153" s="56">
        <f t="shared" si="23"/>
        <v>0</v>
      </c>
      <c r="V153" s="56">
        <f t="shared" si="23"/>
        <v>0</v>
      </c>
      <c r="W153" s="56">
        <f t="shared" si="23"/>
        <v>0</v>
      </c>
      <c r="X153" s="56">
        <f t="shared" si="23"/>
        <v>0</v>
      </c>
      <c r="Y153" s="56">
        <f t="shared" si="23"/>
        <v>0</v>
      </c>
      <c r="Z153" s="56">
        <f t="shared" si="23"/>
        <v>0</v>
      </c>
      <c r="AA153" s="56">
        <f t="shared" si="23"/>
        <v>0</v>
      </c>
      <c r="AB153" s="56">
        <f t="shared" si="23"/>
        <v>0</v>
      </c>
      <c r="AC153" s="56">
        <f t="shared" si="23"/>
        <v>0</v>
      </c>
      <c r="AD153" s="56">
        <f t="shared" si="23"/>
        <v>0</v>
      </c>
      <c r="AE153" s="56">
        <f t="shared" si="23"/>
        <v>0</v>
      </c>
      <c r="AF153" s="56">
        <f t="shared" si="23"/>
        <v>0</v>
      </c>
      <c r="AG153" s="56">
        <f t="shared" si="23"/>
        <v>0</v>
      </c>
      <c r="AH153" s="56">
        <f t="shared" si="23"/>
        <v>0</v>
      </c>
      <c r="AI153" s="56">
        <f t="shared" si="23"/>
        <v>0</v>
      </c>
      <c r="AJ153" s="56">
        <f t="shared" si="23"/>
        <v>0</v>
      </c>
      <c r="AK153" s="56">
        <f t="shared" si="23"/>
        <v>0</v>
      </c>
      <c r="AL153" s="56">
        <f t="shared" si="23"/>
        <v>0</v>
      </c>
      <c r="AM153" s="56">
        <f t="shared" si="23"/>
        <v>0</v>
      </c>
      <c r="AN153" s="56">
        <f t="shared" si="23"/>
        <v>0</v>
      </c>
      <c r="AO153" s="56"/>
      <c r="AP153" s="29"/>
    </row>
    <row r="154" spans="1:42" outlineLevel="1" x14ac:dyDescent="0.25">
      <c r="A154" s="12"/>
      <c r="B154" s="13"/>
      <c r="C154" s="14"/>
      <c r="D154" s="14"/>
      <c r="E154" s="15"/>
      <c r="F154" s="16"/>
      <c r="G154" s="159"/>
      <c r="H154" s="159"/>
      <c r="I154" s="56"/>
      <c r="J154" s="56"/>
      <c r="K154" s="56"/>
      <c r="L154" s="56"/>
      <c r="M154" s="56"/>
      <c r="N154" s="56"/>
      <c r="O154" s="56"/>
      <c r="P154" s="56"/>
      <c r="Q154" s="56"/>
      <c r="R154" s="56"/>
      <c r="S154" s="56"/>
      <c r="T154" s="56"/>
      <c r="U154" s="56"/>
      <c r="V154" s="56"/>
      <c r="W154" s="56"/>
      <c r="X154" s="56"/>
      <c r="Y154" s="56"/>
      <c r="Z154" s="56"/>
      <c r="AA154" s="56"/>
      <c r="AB154" s="56"/>
      <c r="AC154" s="14"/>
      <c r="AD154" s="14"/>
      <c r="AE154" s="14"/>
      <c r="AF154" s="14"/>
      <c r="AG154" s="14"/>
      <c r="AH154" s="14"/>
      <c r="AI154" s="14"/>
      <c r="AJ154" s="14"/>
      <c r="AK154" s="14"/>
      <c r="AL154" s="14"/>
      <c r="AM154" s="14"/>
      <c r="AN154" s="14"/>
      <c r="AO154" s="14"/>
      <c r="AP154" s="14"/>
    </row>
    <row r="155" spans="1:42" outlineLevel="1" x14ac:dyDescent="0.25">
      <c r="A155" s="54"/>
      <c r="B155" s="13"/>
      <c r="C155" s="14" t="s">
        <v>205</v>
      </c>
      <c r="D155" s="14"/>
      <c r="E155" s="70" t="s">
        <v>474</v>
      </c>
      <c r="F155" s="200">
        <f>Data!$E$35/1000</f>
        <v>3.4099438202247192E-3</v>
      </c>
      <c r="G155" s="56"/>
      <c r="H155" s="56"/>
      <c r="I155" s="56">
        <f>I$147*$F155</f>
        <v>0.7427232197399245</v>
      </c>
      <c r="J155" s="56">
        <f t="shared" ref="J155:AN155" si="25">J$147*$F155</f>
        <v>0.7427232197399245</v>
      </c>
      <c r="K155" s="56">
        <f t="shared" si="25"/>
        <v>0.7427232197399245</v>
      </c>
      <c r="L155" s="56">
        <f t="shared" si="25"/>
        <v>0.7427232197399245</v>
      </c>
      <c r="M155" s="56">
        <f t="shared" si="25"/>
        <v>0.7427232197399245</v>
      </c>
      <c r="N155" s="56">
        <f t="shared" si="25"/>
        <v>0.7427232197399245</v>
      </c>
      <c r="O155" s="56">
        <f t="shared" si="25"/>
        <v>0.7427232197399245</v>
      </c>
      <c r="P155" s="56">
        <f t="shared" si="25"/>
        <v>0.7427232197399245</v>
      </c>
      <c r="Q155" s="56">
        <f t="shared" si="25"/>
        <v>0.7427232197399245</v>
      </c>
      <c r="R155" s="56">
        <f t="shared" si="25"/>
        <v>0.7427232197399245</v>
      </c>
      <c r="S155" s="56">
        <f t="shared" si="25"/>
        <v>0.7427232197399245</v>
      </c>
      <c r="T155" s="56">
        <f t="shared" si="25"/>
        <v>0.7427232197399245</v>
      </c>
      <c r="U155" s="56">
        <f t="shared" si="25"/>
        <v>0</v>
      </c>
      <c r="V155" s="56">
        <f t="shared" si="25"/>
        <v>0</v>
      </c>
      <c r="W155" s="56">
        <f t="shared" si="25"/>
        <v>0</v>
      </c>
      <c r="X155" s="56">
        <f t="shared" si="25"/>
        <v>0</v>
      </c>
      <c r="Y155" s="56">
        <f t="shared" si="25"/>
        <v>0</v>
      </c>
      <c r="Z155" s="56">
        <f t="shared" si="25"/>
        <v>0</v>
      </c>
      <c r="AA155" s="56">
        <f t="shared" si="25"/>
        <v>0</v>
      </c>
      <c r="AB155" s="56">
        <f t="shared" si="25"/>
        <v>0</v>
      </c>
      <c r="AC155" s="56">
        <f t="shared" si="25"/>
        <v>0</v>
      </c>
      <c r="AD155" s="56">
        <f t="shared" si="25"/>
        <v>0</v>
      </c>
      <c r="AE155" s="56">
        <f t="shared" si="25"/>
        <v>0</v>
      </c>
      <c r="AF155" s="56">
        <f t="shared" si="25"/>
        <v>0</v>
      </c>
      <c r="AG155" s="56">
        <f t="shared" si="25"/>
        <v>0</v>
      </c>
      <c r="AH155" s="56">
        <f t="shared" si="25"/>
        <v>0</v>
      </c>
      <c r="AI155" s="56">
        <f t="shared" si="25"/>
        <v>0</v>
      </c>
      <c r="AJ155" s="56">
        <f t="shared" si="25"/>
        <v>0</v>
      </c>
      <c r="AK155" s="56">
        <f t="shared" si="25"/>
        <v>0</v>
      </c>
      <c r="AL155" s="56">
        <f t="shared" si="25"/>
        <v>0</v>
      </c>
      <c r="AM155" s="56">
        <f t="shared" si="25"/>
        <v>0</v>
      </c>
      <c r="AN155" s="56">
        <f t="shared" si="25"/>
        <v>0</v>
      </c>
      <c r="AO155" s="56"/>
      <c r="AP155" s="29"/>
    </row>
    <row r="156" spans="1:42" outlineLevel="1" x14ac:dyDescent="0.25">
      <c r="A156" s="54"/>
      <c r="B156" s="13"/>
      <c r="C156" s="14" t="s">
        <v>484</v>
      </c>
      <c r="D156" s="14"/>
      <c r="E156" s="70" t="s">
        <v>474</v>
      </c>
      <c r="F156" s="200"/>
      <c r="G156" s="56"/>
      <c r="H156" s="56"/>
      <c r="I156" s="56">
        <f>I$148*Data!H$16/1000</f>
        <v>13823.145102862522</v>
      </c>
      <c r="J156" s="56">
        <f>J$148*Data!I$16/1000</f>
        <v>15248.211608312267</v>
      </c>
      <c r="K156" s="56">
        <f>K$148*Data!J$16/1000</f>
        <v>16530.771463217035</v>
      </c>
      <c r="L156" s="56">
        <f>L$148*Data!K$16/1000</f>
        <v>17955.837968666779</v>
      </c>
      <c r="M156" s="56">
        <f>M$148*Data!L$16/1000</f>
        <v>19380.904474116527</v>
      </c>
      <c r="N156" s="56">
        <f>N$148*Data!M$16/1000</f>
        <v>20805.970979566271</v>
      </c>
      <c r="O156" s="56">
        <f>O$148*Data!N$16/1000</f>
        <v>22088.530834471039</v>
      </c>
      <c r="P156" s="56">
        <f>P$148*Data!O$16/1000</f>
        <v>22943.570737740891</v>
      </c>
      <c r="Q156" s="56">
        <f>Q$148*Data!P$16/1000</f>
        <v>23798.610641010735</v>
      </c>
      <c r="R156" s="56">
        <f>R$148*Data!Q$16/1000</f>
        <v>24796.157194825555</v>
      </c>
      <c r="S156" s="56">
        <f>S$148*Data!R$16/1000</f>
        <v>25651.197098095403</v>
      </c>
      <c r="T156" s="56">
        <f>T$148*Data!S$16/1000</f>
        <v>26506.237001365247</v>
      </c>
      <c r="U156" s="56">
        <f>U$148*Data!T$16/1000</f>
        <v>0</v>
      </c>
      <c r="V156" s="56">
        <f>V$148*Data!U$16/1000</f>
        <v>0</v>
      </c>
      <c r="W156" s="56">
        <f>W$148*Data!V$16/1000</f>
        <v>0</v>
      </c>
      <c r="X156" s="56">
        <f>X$148*Data!W$16/1000</f>
        <v>0</v>
      </c>
      <c r="Y156" s="56">
        <f>Y$148*Data!X$16/1000</f>
        <v>0</v>
      </c>
      <c r="Z156" s="56">
        <f>Z$148*Data!Y$16/1000</f>
        <v>0</v>
      </c>
      <c r="AA156" s="56">
        <f>AA$148*Data!Z$16/1000</f>
        <v>0</v>
      </c>
      <c r="AB156" s="56">
        <f>AB$148*Data!AA$16/1000</f>
        <v>0</v>
      </c>
      <c r="AC156" s="56">
        <f>AC$148*Data!AB$16/1000</f>
        <v>0</v>
      </c>
      <c r="AD156" s="56">
        <f>AD$148*Data!AC$16/1000</f>
        <v>0</v>
      </c>
      <c r="AE156" s="56">
        <f>AE$148*Data!AD$16/1000</f>
        <v>0</v>
      </c>
      <c r="AF156" s="56">
        <f>AF$148*Data!AE$16/1000</f>
        <v>0</v>
      </c>
      <c r="AG156" s="56">
        <f>AG$148*Data!AF$16/1000</f>
        <v>0</v>
      </c>
      <c r="AH156" s="56">
        <f>AH$148*Data!AG$16/1000</f>
        <v>0</v>
      </c>
      <c r="AI156" s="56">
        <f>AI$148*Data!AH$16/1000</f>
        <v>0</v>
      </c>
      <c r="AJ156" s="56">
        <f>AJ$148*Data!AI$16/1000</f>
        <v>0</v>
      </c>
      <c r="AK156" s="56">
        <f>AK$148*Data!AJ$16/1000</f>
        <v>0</v>
      </c>
      <c r="AL156" s="56">
        <f>AL$148*Data!AK$16/1000</f>
        <v>0</v>
      </c>
      <c r="AM156" s="56">
        <f>AM$148*Data!AL$16/1000</f>
        <v>0</v>
      </c>
      <c r="AN156" s="56">
        <f>AN$148*Data!AM$16/1000</f>
        <v>0</v>
      </c>
      <c r="AO156" s="56"/>
      <c r="AP156" s="29"/>
    </row>
    <row r="157" spans="1:42" outlineLevel="1" x14ac:dyDescent="0.25">
      <c r="A157" s="54"/>
      <c r="B157" s="13"/>
      <c r="C157" s="14" t="s">
        <v>285</v>
      </c>
      <c r="D157" s="14"/>
      <c r="E157" s="70" t="s">
        <v>474</v>
      </c>
      <c r="F157" s="200">
        <f>Data!$E$36/1000</f>
        <v>1.0822865168539326</v>
      </c>
      <c r="G157" s="56"/>
      <c r="H157" s="56"/>
      <c r="I157" s="56">
        <f>I$149*$F157</f>
        <v>19.454660332738875</v>
      </c>
      <c r="J157" s="56">
        <f t="shared" ref="J157:AN157" si="26">J$149*$F157</f>
        <v>19.454660332738875</v>
      </c>
      <c r="K157" s="56">
        <f t="shared" si="26"/>
        <v>19.454660332738875</v>
      </c>
      <c r="L157" s="56">
        <f t="shared" si="26"/>
        <v>19.454660332738875</v>
      </c>
      <c r="M157" s="56">
        <f t="shared" si="26"/>
        <v>19.454660332738875</v>
      </c>
      <c r="N157" s="56">
        <f t="shared" si="26"/>
        <v>19.454660332738875</v>
      </c>
      <c r="O157" s="56">
        <f t="shared" si="26"/>
        <v>19.454660332738875</v>
      </c>
      <c r="P157" s="56">
        <f t="shared" si="26"/>
        <v>19.454660332738875</v>
      </c>
      <c r="Q157" s="56">
        <f t="shared" si="26"/>
        <v>19.454660332738875</v>
      </c>
      <c r="R157" s="56">
        <f t="shared" si="26"/>
        <v>19.454660332738875</v>
      </c>
      <c r="S157" s="56">
        <f t="shared" si="26"/>
        <v>19.454660332738875</v>
      </c>
      <c r="T157" s="56">
        <f t="shared" si="26"/>
        <v>19.454660332738875</v>
      </c>
      <c r="U157" s="56">
        <f t="shared" si="26"/>
        <v>0</v>
      </c>
      <c r="V157" s="56">
        <f t="shared" si="26"/>
        <v>0</v>
      </c>
      <c r="W157" s="56">
        <f t="shared" si="26"/>
        <v>0</v>
      </c>
      <c r="X157" s="56">
        <f t="shared" si="26"/>
        <v>0</v>
      </c>
      <c r="Y157" s="56">
        <f t="shared" si="26"/>
        <v>0</v>
      </c>
      <c r="Z157" s="56">
        <f t="shared" si="26"/>
        <v>0</v>
      </c>
      <c r="AA157" s="56">
        <f t="shared" si="26"/>
        <v>0</v>
      </c>
      <c r="AB157" s="56">
        <f t="shared" si="26"/>
        <v>0</v>
      </c>
      <c r="AC157" s="56">
        <f t="shared" si="26"/>
        <v>0</v>
      </c>
      <c r="AD157" s="56">
        <f t="shared" si="26"/>
        <v>0</v>
      </c>
      <c r="AE157" s="56">
        <f t="shared" si="26"/>
        <v>0</v>
      </c>
      <c r="AF157" s="56">
        <f t="shared" si="26"/>
        <v>0</v>
      </c>
      <c r="AG157" s="56">
        <f t="shared" si="26"/>
        <v>0</v>
      </c>
      <c r="AH157" s="56">
        <f t="shared" si="26"/>
        <v>0</v>
      </c>
      <c r="AI157" s="56">
        <f t="shared" si="26"/>
        <v>0</v>
      </c>
      <c r="AJ157" s="56">
        <f t="shared" si="26"/>
        <v>0</v>
      </c>
      <c r="AK157" s="56">
        <f t="shared" si="26"/>
        <v>0</v>
      </c>
      <c r="AL157" s="56">
        <f t="shared" si="26"/>
        <v>0</v>
      </c>
      <c r="AM157" s="56">
        <f t="shared" si="26"/>
        <v>0</v>
      </c>
      <c r="AN157" s="56">
        <f t="shared" si="26"/>
        <v>0</v>
      </c>
      <c r="AO157" s="56"/>
      <c r="AP157" s="29"/>
    </row>
    <row r="158" spans="1:42" outlineLevel="1" x14ac:dyDescent="0.25">
      <c r="A158" s="54"/>
      <c r="B158" s="13"/>
      <c r="C158" s="14" t="s">
        <v>220</v>
      </c>
      <c r="D158" s="14"/>
      <c r="E158" s="70" t="s">
        <v>474</v>
      </c>
      <c r="F158" s="200">
        <f>Data!$E$37/1000</f>
        <v>371.00188764044947</v>
      </c>
      <c r="G158" s="56"/>
      <c r="H158" s="56"/>
      <c r="I158" s="56">
        <f>I$150*$F158</f>
        <v>296030.41123011144</v>
      </c>
      <c r="J158" s="56">
        <f t="shared" ref="J158:AN158" si="27">J$150*$F158</f>
        <v>296030.41123011144</v>
      </c>
      <c r="K158" s="56">
        <f t="shared" si="27"/>
        <v>296030.41123011144</v>
      </c>
      <c r="L158" s="56">
        <f t="shared" si="27"/>
        <v>296030.41123011144</v>
      </c>
      <c r="M158" s="56">
        <f t="shared" si="27"/>
        <v>296030.41123011144</v>
      </c>
      <c r="N158" s="56">
        <f t="shared" si="27"/>
        <v>296030.41123011144</v>
      </c>
      <c r="O158" s="56">
        <f t="shared" si="27"/>
        <v>296030.41123011144</v>
      </c>
      <c r="P158" s="56">
        <f t="shared" si="27"/>
        <v>296030.41123011144</v>
      </c>
      <c r="Q158" s="56">
        <f t="shared" si="27"/>
        <v>296030.41123011144</v>
      </c>
      <c r="R158" s="56">
        <f t="shared" si="27"/>
        <v>296030.41123011144</v>
      </c>
      <c r="S158" s="56">
        <f t="shared" si="27"/>
        <v>296030.41123011144</v>
      </c>
      <c r="T158" s="56">
        <f t="shared" si="27"/>
        <v>296030.41123011144</v>
      </c>
      <c r="U158" s="56">
        <f t="shared" si="27"/>
        <v>0</v>
      </c>
      <c r="V158" s="56">
        <f t="shared" si="27"/>
        <v>0</v>
      </c>
      <c r="W158" s="56">
        <f t="shared" si="27"/>
        <v>0</v>
      </c>
      <c r="X158" s="56">
        <f t="shared" si="27"/>
        <v>0</v>
      </c>
      <c r="Y158" s="56">
        <f t="shared" si="27"/>
        <v>0</v>
      </c>
      <c r="Z158" s="56">
        <f t="shared" si="27"/>
        <v>0</v>
      </c>
      <c r="AA158" s="56">
        <f t="shared" si="27"/>
        <v>0</v>
      </c>
      <c r="AB158" s="56">
        <f t="shared" si="27"/>
        <v>0</v>
      </c>
      <c r="AC158" s="56">
        <f t="shared" si="27"/>
        <v>0</v>
      </c>
      <c r="AD158" s="56">
        <f t="shared" si="27"/>
        <v>0</v>
      </c>
      <c r="AE158" s="56">
        <f t="shared" si="27"/>
        <v>0</v>
      </c>
      <c r="AF158" s="56">
        <f t="shared" si="27"/>
        <v>0</v>
      </c>
      <c r="AG158" s="56">
        <f t="shared" si="27"/>
        <v>0</v>
      </c>
      <c r="AH158" s="56">
        <f t="shared" si="27"/>
        <v>0</v>
      </c>
      <c r="AI158" s="56">
        <f t="shared" si="27"/>
        <v>0</v>
      </c>
      <c r="AJ158" s="56">
        <f t="shared" si="27"/>
        <v>0</v>
      </c>
      <c r="AK158" s="56">
        <f t="shared" si="27"/>
        <v>0</v>
      </c>
      <c r="AL158" s="56">
        <f t="shared" si="27"/>
        <v>0</v>
      </c>
      <c r="AM158" s="56">
        <f t="shared" si="27"/>
        <v>0</v>
      </c>
      <c r="AN158" s="56">
        <f t="shared" si="27"/>
        <v>0</v>
      </c>
      <c r="AO158" s="56"/>
      <c r="AP158" s="29"/>
    </row>
    <row r="159" spans="1:42" outlineLevel="1" x14ac:dyDescent="0.25">
      <c r="A159" s="54"/>
      <c r="B159" s="13"/>
      <c r="C159" s="14" t="s">
        <v>212</v>
      </c>
      <c r="D159" s="14"/>
      <c r="E159" s="70" t="s">
        <v>474</v>
      </c>
      <c r="F159" s="200">
        <f>Data!$E$39/1000</f>
        <v>0</v>
      </c>
      <c r="G159" s="56"/>
      <c r="H159" s="56"/>
      <c r="I159" s="56">
        <f>I$151*$F159</f>
        <v>0</v>
      </c>
      <c r="J159" s="56">
        <f t="shared" ref="J159:AN159" si="28">J$151*$F159</f>
        <v>0</v>
      </c>
      <c r="K159" s="56">
        <f t="shared" si="28"/>
        <v>0</v>
      </c>
      <c r="L159" s="56">
        <f t="shared" si="28"/>
        <v>0</v>
      </c>
      <c r="M159" s="56">
        <f t="shared" si="28"/>
        <v>0</v>
      </c>
      <c r="N159" s="56">
        <f t="shared" si="28"/>
        <v>0</v>
      </c>
      <c r="O159" s="56">
        <f t="shared" si="28"/>
        <v>0</v>
      </c>
      <c r="P159" s="56">
        <f t="shared" si="28"/>
        <v>0</v>
      </c>
      <c r="Q159" s="56">
        <f t="shared" si="28"/>
        <v>0</v>
      </c>
      <c r="R159" s="56">
        <f t="shared" si="28"/>
        <v>0</v>
      </c>
      <c r="S159" s="56">
        <f t="shared" si="28"/>
        <v>0</v>
      </c>
      <c r="T159" s="56">
        <f t="shared" si="28"/>
        <v>0</v>
      </c>
      <c r="U159" s="56">
        <f t="shared" si="28"/>
        <v>0</v>
      </c>
      <c r="V159" s="56">
        <f t="shared" si="28"/>
        <v>0</v>
      </c>
      <c r="W159" s="56">
        <f t="shared" si="28"/>
        <v>0</v>
      </c>
      <c r="X159" s="56">
        <f t="shared" si="28"/>
        <v>0</v>
      </c>
      <c r="Y159" s="56">
        <f t="shared" si="28"/>
        <v>0</v>
      </c>
      <c r="Z159" s="56">
        <f t="shared" si="28"/>
        <v>0</v>
      </c>
      <c r="AA159" s="56">
        <f t="shared" si="28"/>
        <v>0</v>
      </c>
      <c r="AB159" s="56">
        <f t="shared" si="28"/>
        <v>0</v>
      </c>
      <c r="AC159" s="56">
        <f t="shared" si="28"/>
        <v>0</v>
      </c>
      <c r="AD159" s="56">
        <f t="shared" si="28"/>
        <v>0</v>
      </c>
      <c r="AE159" s="56">
        <f t="shared" si="28"/>
        <v>0</v>
      </c>
      <c r="AF159" s="56">
        <f t="shared" si="28"/>
        <v>0</v>
      </c>
      <c r="AG159" s="56">
        <f t="shared" si="28"/>
        <v>0</v>
      </c>
      <c r="AH159" s="56">
        <f t="shared" si="28"/>
        <v>0</v>
      </c>
      <c r="AI159" s="56">
        <f t="shared" si="28"/>
        <v>0</v>
      </c>
      <c r="AJ159" s="56">
        <f t="shared" si="28"/>
        <v>0</v>
      </c>
      <c r="AK159" s="56">
        <f t="shared" si="28"/>
        <v>0</v>
      </c>
      <c r="AL159" s="56">
        <f t="shared" si="28"/>
        <v>0</v>
      </c>
      <c r="AM159" s="56">
        <f t="shared" si="28"/>
        <v>0</v>
      </c>
      <c r="AN159" s="56">
        <f t="shared" si="28"/>
        <v>0</v>
      </c>
      <c r="AO159" s="56"/>
      <c r="AP159" s="29"/>
    </row>
    <row r="160" spans="1:42" outlineLevel="1" x14ac:dyDescent="0.25">
      <c r="A160" s="54"/>
      <c r="B160" s="13"/>
      <c r="C160" s="14" t="s">
        <v>485</v>
      </c>
      <c r="D160" s="14"/>
      <c r="E160" s="70" t="s">
        <v>474</v>
      </c>
      <c r="F160" s="200">
        <f>Data!$E$40/1000</f>
        <v>605.20914606741576</v>
      </c>
      <c r="G160" s="56"/>
      <c r="H160" s="56"/>
      <c r="I160" s="56">
        <f>I$152*$F160</f>
        <v>7975.3332532119039</v>
      </c>
      <c r="J160" s="56">
        <f t="shared" ref="J160:AN160" si="29">J$152*$F160</f>
        <v>7975.3332532119039</v>
      </c>
      <c r="K160" s="56">
        <f t="shared" si="29"/>
        <v>7975.3332532119039</v>
      </c>
      <c r="L160" s="56">
        <f t="shared" si="29"/>
        <v>7975.3332532119039</v>
      </c>
      <c r="M160" s="56">
        <f t="shared" si="29"/>
        <v>7975.3332532119039</v>
      </c>
      <c r="N160" s="56">
        <f t="shared" si="29"/>
        <v>7975.3332532119039</v>
      </c>
      <c r="O160" s="56">
        <f t="shared" si="29"/>
        <v>7975.3332532119039</v>
      </c>
      <c r="P160" s="56">
        <f t="shared" si="29"/>
        <v>7975.3332532119039</v>
      </c>
      <c r="Q160" s="56">
        <f t="shared" si="29"/>
        <v>7975.3332532119039</v>
      </c>
      <c r="R160" s="56">
        <f t="shared" si="29"/>
        <v>7975.3332532119039</v>
      </c>
      <c r="S160" s="56">
        <f t="shared" si="29"/>
        <v>7975.3332532119039</v>
      </c>
      <c r="T160" s="56">
        <f t="shared" si="29"/>
        <v>7975.3332532119039</v>
      </c>
      <c r="U160" s="56">
        <f t="shared" si="29"/>
        <v>0</v>
      </c>
      <c r="V160" s="56">
        <f t="shared" si="29"/>
        <v>0</v>
      </c>
      <c r="W160" s="56">
        <f t="shared" si="29"/>
        <v>0</v>
      </c>
      <c r="X160" s="56">
        <f t="shared" si="29"/>
        <v>0</v>
      </c>
      <c r="Y160" s="56">
        <f t="shared" si="29"/>
        <v>0</v>
      </c>
      <c r="Z160" s="56">
        <f t="shared" si="29"/>
        <v>0</v>
      </c>
      <c r="AA160" s="56">
        <f t="shared" si="29"/>
        <v>0</v>
      </c>
      <c r="AB160" s="56">
        <f t="shared" si="29"/>
        <v>0</v>
      </c>
      <c r="AC160" s="56">
        <f t="shared" si="29"/>
        <v>0</v>
      </c>
      <c r="AD160" s="56">
        <f t="shared" si="29"/>
        <v>0</v>
      </c>
      <c r="AE160" s="56">
        <f t="shared" si="29"/>
        <v>0</v>
      </c>
      <c r="AF160" s="56">
        <f t="shared" si="29"/>
        <v>0</v>
      </c>
      <c r="AG160" s="56">
        <f t="shared" si="29"/>
        <v>0</v>
      </c>
      <c r="AH160" s="56">
        <f t="shared" si="29"/>
        <v>0</v>
      </c>
      <c r="AI160" s="56">
        <f t="shared" si="29"/>
        <v>0</v>
      </c>
      <c r="AJ160" s="56">
        <f t="shared" si="29"/>
        <v>0</v>
      </c>
      <c r="AK160" s="56">
        <f t="shared" si="29"/>
        <v>0</v>
      </c>
      <c r="AL160" s="56">
        <f t="shared" si="29"/>
        <v>0</v>
      </c>
      <c r="AM160" s="56">
        <f t="shared" si="29"/>
        <v>0</v>
      </c>
      <c r="AN160" s="56">
        <f t="shared" si="29"/>
        <v>0</v>
      </c>
      <c r="AO160" s="56"/>
      <c r="AP160" s="29"/>
    </row>
    <row r="161" spans="1:42" outlineLevel="1" x14ac:dyDescent="0.25">
      <c r="A161" s="54"/>
      <c r="B161" s="13"/>
      <c r="C161" s="14" t="s">
        <v>214</v>
      </c>
      <c r="D161" s="14"/>
      <c r="E161" s="70" t="s">
        <v>474</v>
      </c>
      <c r="F161" s="200">
        <f>Data!$E$41/1000</f>
        <v>0</v>
      </c>
      <c r="G161" s="56"/>
      <c r="H161" s="56"/>
      <c r="I161" s="56">
        <f>I$153*$F161</f>
        <v>0</v>
      </c>
      <c r="J161" s="56">
        <f t="shared" ref="J161:AN161" si="30">J$153*$F161</f>
        <v>0</v>
      </c>
      <c r="K161" s="56">
        <f t="shared" si="30"/>
        <v>0</v>
      </c>
      <c r="L161" s="56">
        <f t="shared" si="30"/>
        <v>0</v>
      </c>
      <c r="M161" s="56">
        <f t="shared" si="30"/>
        <v>0</v>
      </c>
      <c r="N161" s="56">
        <f t="shared" si="30"/>
        <v>0</v>
      </c>
      <c r="O161" s="56">
        <f t="shared" si="30"/>
        <v>0</v>
      </c>
      <c r="P161" s="56">
        <f t="shared" si="30"/>
        <v>0</v>
      </c>
      <c r="Q161" s="56">
        <f t="shared" si="30"/>
        <v>0</v>
      </c>
      <c r="R161" s="56">
        <f t="shared" si="30"/>
        <v>0</v>
      </c>
      <c r="S161" s="56">
        <f t="shared" si="30"/>
        <v>0</v>
      </c>
      <c r="T161" s="56">
        <f t="shared" si="30"/>
        <v>0</v>
      </c>
      <c r="U161" s="56">
        <f t="shared" si="30"/>
        <v>0</v>
      </c>
      <c r="V161" s="56">
        <f t="shared" si="30"/>
        <v>0</v>
      </c>
      <c r="W161" s="56">
        <f t="shared" si="30"/>
        <v>0</v>
      </c>
      <c r="X161" s="56">
        <f t="shared" si="30"/>
        <v>0</v>
      </c>
      <c r="Y161" s="56">
        <f t="shared" si="30"/>
        <v>0</v>
      </c>
      <c r="Z161" s="56">
        <f t="shared" si="30"/>
        <v>0</v>
      </c>
      <c r="AA161" s="56">
        <f t="shared" si="30"/>
        <v>0</v>
      </c>
      <c r="AB161" s="56">
        <f t="shared" si="30"/>
        <v>0</v>
      </c>
      <c r="AC161" s="56">
        <f t="shared" si="30"/>
        <v>0</v>
      </c>
      <c r="AD161" s="56">
        <f t="shared" si="30"/>
        <v>0</v>
      </c>
      <c r="AE161" s="56">
        <f t="shared" si="30"/>
        <v>0</v>
      </c>
      <c r="AF161" s="56">
        <f t="shared" si="30"/>
        <v>0</v>
      </c>
      <c r="AG161" s="56">
        <f t="shared" si="30"/>
        <v>0</v>
      </c>
      <c r="AH161" s="56">
        <f t="shared" si="30"/>
        <v>0</v>
      </c>
      <c r="AI161" s="56">
        <f t="shared" si="30"/>
        <v>0</v>
      </c>
      <c r="AJ161" s="56">
        <f t="shared" si="30"/>
        <v>0</v>
      </c>
      <c r="AK161" s="56">
        <f t="shared" si="30"/>
        <v>0</v>
      </c>
      <c r="AL161" s="56">
        <f t="shared" si="30"/>
        <v>0</v>
      </c>
      <c r="AM161" s="56">
        <f t="shared" si="30"/>
        <v>0</v>
      </c>
      <c r="AN161" s="56">
        <f t="shared" si="30"/>
        <v>0</v>
      </c>
      <c r="AO161" s="56"/>
      <c r="AP161" s="29"/>
    </row>
    <row r="162" spans="1:42" outlineLevel="1" x14ac:dyDescent="0.25">
      <c r="A162" s="12"/>
      <c r="B162" s="13"/>
      <c r="C162" s="20" t="s">
        <v>536</v>
      </c>
      <c r="D162" s="14"/>
      <c r="E162" s="70" t="s">
        <v>474</v>
      </c>
      <c r="F162" s="16"/>
      <c r="G162" s="159"/>
      <c r="H162" s="185"/>
      <c r="I162" s="185">
        <f>SUM(I155:I161)</f>
        <v>317849.08696973836</v>
      </c>
      <c r="J162" s="185">
        <f>SUM(J155:J161)</f>
        <v>319274.15347518813</v>
      </c>
      <c r="K162" s="185">
        <f t="shared" ref="K162:AO162" si="31">SUM(K155:K161)</f>
        <v>320556.7133300929</v>
      </c>
      <c r="L162" s="185">
        <f t="shared" si="31"/>
        <v>321981.77983554261</v>
      </c>
      <c r="M162" s="185">
        <f t="shared" si="31"/>
        <v>323406.84634099237</v>
      </c>
      <c r="N162" s="185">
        <f t="shared" si="31"/>
        <v>324831.91284644214</v>
      </c>
      <c r="O162" s="185">
        <f t="shared" si="31"/>
        <v>326114.47270134685</v>
      </c>
      <c r="P162" s="185">
        <f t="shared" si="31"/>
        <v>326969.51260461676</v>
      </c>
      <c r="Q162" s="185">
        <f t="shared" si="31"/>
        <v>327824.55250788655</v>
      </c>
      <c r="R162" s="185">
        <f t="shared" si="31"/>
        <v>328822.09906170139</v>
      </c>
      <c r="S162" s="185">
        <f t="shared" si="31"/>
        <v>329677.13896497124</v>
      </c>
      <c r="T162" s="185">
        <f t="shared" si="31"/>
        <v>330532.17886824108</v>
      </c>
      <c r="U162" s="185">
        <f t="shared" si="31"/>
        <v>0</v>
      </c>
      <c r="V162" s="185">
        <f t="shared" si="31"/>
        <v>0</v>
      </c>
      <c r="W162" s="185">
        <f t="shared" si="31"/>
        <v>0</v>
      </c>
      <c r="X162" s="185">
        <f t="shared" si="31"/>
        <v>0</v>
      </c>
      <c r="Y162" s="185">
        <f t="shared" si="31"/>
        <v>0</v>
      </c>
      <c r="Z162" s="185">
        <f t="shared" si="31"/>
        <v>0</v>
      </c>
      <c r="AA162" s="185">
        <f t="shared" si="31"/>
        <v>0</v>
      </c>
      <c r="AB162" s="185">
        <f t="shared" si="31"/>
        <v>0</v>
      </c>
      <c r="AC162" s="185">
        <f t="shared" si="31"/>
        <v>0</v>
      </c>
      <c r="AD162" s="185">
        <f t="shared" si="31"/>
        <v>0</v>
      </c>
      <c r="AE162" s="185">
        <f t="shared" si="31"/>
        <v>0</v>
      </c>
      <c r="AF162" s="185">
        <f t="shared" si="31"/>
        <v>0</v>
      </c>
      <c r="AG162" s="185">
        <f t="shared" si="31"/>
        <v>0</v>
      </c>
      <c r="AH162" s="185">
        <f t="shared" si="31"/>
        <v>0</v>
      </c>
      <c r="AI162" s="185">
        <f t="shared" si="31"/>
        <v>0</v>
      </c>
      <c r="AJ162" s="185">
        <f t="shared" si="31"/>
        <v>0</v>
      </c>
      <c r="AK162" s="185">
        <f t="shared" si="31"/>
        <v>0</v>
      </c>
      <c r="AL162" s="185">
        <f t="shared" si="31"/>
        <v>0</v>
      </c>
      <c r="AM162" s="185">
        <f t="shared" si="31"/>
        <v>0</v>
      </c>
      <c r="AN162" s="185">
        <f t="shared" si="31"/>
        <v>0</v>
      </c>
      <c r="AO162" s="185">
        <f t="shared" si="31"/>
        <v>0</v>
      </c>
      <c r="AP162" s="14"/>
    </row>
    <row r="163" spans="1:42" outlineLevel="1" x14ac:dyDescent="0.25">
      <c r="A163" s="12"/>
      <c r="B163" s="13"/>
      <c r="C163" s="14"/>
      <c r="D163" s="14"/>
      <c r="E163" s="15"/>
      <c r="F163" s="16"/>
      <c r="G163" s="159"/>
      <c r="H163" s="159"/>
      <c r="I163" s="159"/>
      <c r="J163" s="159"/>
      <c r="K163" s="159"/>
      <c r="L163" s="159"/>
      <c r="M163" s="159"/>
      <c r="N163" s="159"/>
      <c r="O163" s="159"/>
      <c r="P163" s="159"/>
      <c r="Q163" s="159"/>
      <c r="R163" s="159"/>
      <c r="S163" s="159"/>
      <c r="T163" s="159"/>
      <c r="U163" s="159"/>
      <c r="V163" s="159"/>
      <c r="W163" s="159"/>
      <c r="X163" s="14"/>
      <c r="Y163" s="14"/>
      <c r="Z163" s="14"/>
      <c r="AA163" s="14"/>
      <c r="AB163" s="14"/>
      <c r="AC163" s="14"/>
      <c r="AD163" s="14"/>
      <c r="AE163" s="14"/>
      <c r="AF163" s="14"/>
      <c r="AG163" s="14"/>
      <c r="AH163" s="14"/>
      <c r="AI163" s="14"/>
      <c r="AJ163" s="14"/>
      <c r="AK163" s="14"/>
      <c r="AL163" s="14"/>
      <c r="AM163" s="14"/>
      <c r="AN163" s="14"/>
      <c r="AO163" s="14"/>
      <c r="AP163" s="14"/>
    </row>
    <row r="164" spans="1:42" outlineLevel="1" x14ac:dyDescent="0.25">
      <c r="A164" s="12"/>
      <c r="B164" s="13"/>
      <c r="C164" s="14" t="s">
        <v>523</v>
      </c>
      <c r="D164" s="14"/>
      <c r="E164" s="15" t="s">
        <v>474</v>
      </c>
      <c r="F164" s="48"/>
      <c r="G164" s="185"/>
      <c r="H164" s="185"/>
      <c r="I164" s="185">
        <f>I162*Data!H$9</f>
        <v>305624.12208628684</v>
      </c>
      <c r="J164" s="185">
        <f>J162*Data!I$9</f>
        <v>295186.90225146827</v>
      </c>
      <c r="K164" s="185">
        <f>K162*Data!J$9</f>
        <v>284973.75089796889</v>
      </c>
      <c r="L164" s="185">
        <f>L162*Data!K$9</f>
        <v>275231.37483863224</v>
      </c>
      <c r="M164" s="185">
        <f>M162*Data!L$9</f>
        <v>265816.85351921804</v>
      </c>
      <c r="N164" s="185">
        <f>N162*Data!M$9</f>
        <v>256719.37914325195</v>
      </c>
      <c r="O164" s="185">
        <f>O162*Data!N$9</f>
        <v>247820.19694875146</v>
      </c>
      <c r="P164" s="185">
        <f>P162*Data!O$9</f>
        <v>238913.42019446613</v>
      </c>
      <c r="Q164" s="185">
        <f>Q162*Data!P$9</f>
        <v>230325.18218910691</v>
      </c>
      <c r="R164" s="185">
        <f>R162*Data!Q$9</f>
        <v>222140.42804417267</v>
      </c>
      <c r="S164" s="185">
        <f>S162*Data!R$9</f>
        <v>214151.98304397895</v>
      </c>
      <c r="T164" s="185">
        <f>T162*Data!S$9</f>
        <v>206449.42371237374</v>
      </c>
      <c r="U164" s="185">
        <f>U162*Data!T$9</f>
        <v>0</v>
      </c>
      <c r="V164" s="185">
        <f>V162*Data!U$9</f>
        <v>0</v>
      </c>
      <c r="W164" s="185">
        <f>W162*Data!V$9</f>
        <v>0</v>
      </c>
      <c r="X164" s="185">
        <f>X162*Data!W$9</f>
        <v>0</v>
      </c>
      <c r="Y164" s="185">
        <f>Y162*Data!X$9</f>
        <v>0</v>
      </c>
      <c r="Z164" s="185">
        <f>Z162*Data!Y$9</f>
        <v>0</v>
      </c>
      <c r="AA164" s="185">
        <f>AA162*Data!Z$9</f>
        <v>0</v>
      </c>
      <c r="AB164" s="185">
        <f>AB162*Data!AA$9</f>
        <v>0</v>
      </c>
      <c r="AC164" s="185">
        <f>AC162*Data!AB$9</f>
        <v>0</v>
      </c>
      <c r="AD164" s="185">
        <f>AD162*Data!AC$9</f>
        <v>0</v>
      </c>
      <c r="AE164" s="185">
        <f>AE162*Data!AD$9</f>
        <v>0</v>
      </c>
      <c r="AF164" s="185">
        <f>AF162*Data!AE$9</f>
        <v>0</v>
      </c>
      <c r="AG164" s="185">
        <f>AG162*Data!AF$9</f>
        <v>0</v>
      </c>
      <c r="AH164" s="185">
        <f>AH162*Data!AG$9</f>
        <v>0</v>
      </c>
      <c r="AI164" s="185">
        <f>AI162*Data!AH$9</f>
        <v>0</v>
      </c>
      <c r="AJ164" s="185">
        <f>AJ162*Data!AI$9</f>
        <v>0</v>
      </c>
      <c r="AK164" s="185">
        <f>AK162*Data!AJ$9</f>
        <v>0</v>
      </c>
      <c r="AL164" s="185">
        <f>AL162*Data!AK$9</f>
        <v>0</v>
      </c>
      <c r="AM164" s="185">
        <f>AM162*Data!AL$9</f>
        <v>0</v>
      </c>
      <c r="AN164" s="185">
        <f>AN162*Data!AM$9</f>
        <v>0</v>
      </c>
      <c r="AO164" s="185">
        <f>AO162*Data!AN$9</f>
        <v>0</v>
      </c>
      <c r="AP164" s="14"/>
    </row>
    <row r="165" spans="1:42" outlineLevel="1" x14ac:dyDescent="0.25">
      <c r="A165" s="12"/>
      <c r="B165" s="13"/>
      <c r="C165" s="14" t="s">
        <v>489</v>
      </c>
      <c r="D165" s="13"/>
      <c r="E165" s="15" t="s">
        <v>142</v>
      </c>
      <c r="F165" s="16"/>
      <c r="G165" s="159">
        <f>SUM(H164:AO164)</f>
        <v>3043353.0168696758</v>
      </c>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row>
    <row r="166" spans="1:42" outlineLevel="1" x14ac:dyDescent="0.25">
      <c r="A166" s="12"/>
      <c r="B166" s="13"/>
      <c r="C166" s="41" t="s">
        <v>62</v>
      </c>
      <c r="D166" s="41"/>
      <c r="E166" s="15" t="s">
        <v>261</v>
      </c>
      <c r="F166" s="16"/>
      <c r="G166" s="184">
        <f>G165/(SUM(H145:AO145))</f>
        <v>4.9264326224904105</v>
      </c>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7"/>
    </row>
    <row r="167" spans="1:42" outlineLevel="1" x14ac:dyDescent="0.25">
      <c r="A167" s="12"/>
      <c r="B167" s="13"/>
      <c r="C167" s="14"/>
      <c r="D167" s="14"/>
      <c r="E167" s="15"/>
      <c r="F167" s="16"/>
      <c r="G167" s="14"/>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17"/>
    </row>
    <row r="168" spans="1:42" ht="18.75" outlineLevel="1" x14ac:dyDescent="0.3">
      <c r="A168" s="12"/>
      <c r="B168" s="13"/>
      <c r="C168" s="205" t="s">
        <v>524</v>
      </c>
      <c r="D168" s="14"/>
      <c r="E168" s="15" t="s">
        <v>261</v>
      </c>
      <c r="F168" s="16"/>
      <c r="G168" s="204">
        <f>G136+G143+G166</f>
        <v>8.5537896902051092</v>
      </c>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17"/>
    </row>
    <row r="169" spans="1:42" outlineLevel="1" x14ac:dyDescent="0.25">
      <c r="A169" s="12"/>
      <c r="B169" s="13"/>
      <c r="C169" s="14"/>
      <c r="D169" s="14"/>
      <c r="E169" s="15"/>
      <c r="F169" s="16"/>
      <c r="G169" s="14"/>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17"/>
    </row>
    <row r="170" spans="1:42" outlineLevel="1" x14ac:dyDescent="0.25">
      <c r="A170" s="23"/>
      <c r="B170" s="23"/>
      <c r="C170" s="24" t="s">
        <v>525</v>
      </c>
      <c r="D170" s="24"/>
      <c r="E170" s="25"/>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7"/>
    </row>
    <row r="171" spans="1:42" outlineLevel="1" x14ac:dyDescent="0.25">
      <c r="A171" s="12"/>
      <c r="B171" s="13"/>
      <c r="C171" s="13"/>
      <c r="D171" s="14"/>
      <c r="E171" s="15"/>
      <c r="F171" s="16"/>
      <c r="G171" s="14"/>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17"/>
    </row>
    <row r="172" spans="1:42" outlineLevel="1" x14ac:dyDescent="0.25">
      <c r="A172" s="12"/>
      <c r="B172" s="13"/>
      <c r="C172" s="37" t="s">
        <v>537</v>
      </c>
      <c r="D172" s="37"/>
      <c r="E172" s="38"/>
      <c r="F172" s="39"/>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17"/>
    </row>
    <row r="173" spans="1:42" outlineLevel="1" x14ac:dyDescent="0.25">
      <c r="A173" s="12"/>
      <c r="B173" s="13"/>
      <c r="C173" s="96" t="s">
        <v>526</v>
      </c>
      <c r="D173" s="14"/>
      <c r="E173" s="15" t="s">
        <v>142</v>
      </c>
      <c r="F173" s="16"/>
      <c r="G173" s="141">
        <f>G135</f>
        <v>2240836.1021514321</v>
      </c>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17"/>
    </row>
    <row r="174" spans="1:42" outlineLevel="1" x14ac:dyDescent="0.25">
      <c r="A174" s="12"/>
      <c r="B174" s="13"/>
      <c r="C174" s="96" t="s">
        <v>527</v>
      </c>
      <c r="D174" s="14"/>
      <c r="E174" s="15" t="s">
        <v>474</v>
      </c>
      <c r="F174" s="16"/>
      <c r="G174" s="238">
        <f>G173/Dashboard!$I$31</f>
        <v>186736.34184595267</v>
      </c>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17"/>
    </row>
    <row r="175" spans="1:42" outlineLevel="1" x14ac:dyDescent="0.25">
      <c r="A175" s="12"/>
      <c r="B175" s="13"/>
      <c r="C175" s="96" t="s">
        <v>528</v>
      </c>
      <c r="D175" s="14"/>
      <c r="E175" s="15" t="s">
        <v>529</v>
      </c>
      <c r="F175" s="16"/>
      <c r="G175" s="151">
        <f>SUM(I148:AN148)</f>
        <v>1710079.8065396936</v>
      </c>
      <c r="H175" s="14"/>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17"/>
    </row>
    <row r="176" spans="1:42" outlineLevel="1" x14ac:dyDescent="0.25">
      <c r="A176" s="12"/>
      <c r="B176" s="13"/>
      <c r="C176" s="96" t="s">
        <v>530</v>
      </c>
      <c r="D176" s="14"/>
      <c r="E176" s="15" t="s">
        <v>531</v>
      </c>
      <c r="F176" s="16"/>
      <c r="G176" s="151">
        <f>G175/Dashboard!$I$31</f>
        <v>142506.65054497446</v>
      </c>
      <c r="H176" s="14"/>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17"/>
    </row>
    <row r="177" spans="1:42" outlineLevel="1" x14ac:dyDescent="0.25">
      <c r="A177" s="12"/>
      <c r="B177" s="13"/>
      <c r="C177" s="14"/>
      <c r="D177" s="14"/>
      <c r="E177" s="15"/>
      <c r="F177" s="16"/>
      <c r="G177" s="20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29"/>
    </row>
    <row r="178" spans="1:42" outlineLevel="1" x14ac:dyDescent="0.25">
      <c r="A178" s="12"/>
      <c r="B178" s="13"/>
      <c r="C178" s="37" t="s">
        <v>538</v>
      </c>
      <c r="D178" s="37"/>
      <c r="E178" s="38"/>
      <c r="F178" s="39"/>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17"/>
    </row>
    <row r="179" spans="1:42" outlineLevel="1" x14ac:dyDescent="0.25">
      <c r="A179" s="12"/>
      <c r="B179" s="13"/>
      <c r="C179" s="14" t="s">
        <v>539</v>
      </c>
      <c r="D179" s="14"/>
      <c r="E179" s="15" t="s">
        <v>142</v>
      </c>
      <c r="F179" s="16"/>
      <c r="G179" s="177">
        <f>'H2 Blending'!G174-'Diesel (BAU)'!G181</f>
        <v>50496.623256967199</v>
      </c>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17"/>
    </row>
    <row r="180" spans="1:42" outlineLevel="1" x14ac:dyDescent="0.25">
      <c r="A180" s="12"/>
      <c r="B180" s="13"/>
      <c r="C180" s="14" t="s">
        <v>540</v>
      </c>
      <c r="D180" s="44"/>
      <c r="E180" s="15" t="s">
        <v>529</v>
      </c>
      <c r="F180" s="16"/>
      <c r="G180" s="177">
        <f>'Diesel (BAU)'!G183-'H2 Blending'!G176</f>
        <v>214.08109746364062</v>
      </c>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17"/>
    </row>
    <row r="181" spans="1:42" ht="18.75" outlineLevel="1" x14ac:dyDescent="0.3">
      <c r="A181" s="12"/>
      <c r="B181" s="13"/>
      <c r="C181" s="221" t="s">
        <v>542</v>
      </c>
      <c r="D181" s="45"/>
      <c r="E181" s="15"/>
      <c r="F181" s="16"/>
      <c r="G181" s="220">
        <f>G179/G180</f>
        <v>235.87614158949046</v>
      </c>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29"/>
    </row>
    <row r="182" spans="1:42" ht="18.75" outlineLevel="1" x14ac:dyDescent="0.3">
      <c r="A182" s="12"/>
      <c r="B182" s="13"/>
      <c r="C182" s="120"/>
      <c r="D182" s="45"/>
      <c r="E182" s="15"/>
      <c r="F182" s="16"/>
      <c r="G182" s="22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29"/>
    </row>
    <row r="183" spans="1:42" x14ac:dyDescent="0.25">
      <c r="A183" s="89"/>
      <c r="B183" s="89"/>
      <c r="C183" s="90" t="s">
        <v>174</v>
      </c>
      <c r="D183" s="91"/>
      <c r="E183" s="92"/>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3"/>
    </row>
    <row r="184" spans="1:42" outlineLevel="1" x14ac:dyDescent="0.25">
      <c r="A184" s="23"/>
      <c r="B184" s="23"/>
      <c r="C184" s="24" t="s">
        <v>505</v>
      </c>
      <c r="D184" s="24"/>
      <c r="E184" s="25"/>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7"/>
    </row>
    <row r="185" spans="1:42" outlineLevel="1" x14ac:dyDescent="0.25">
      <c r="A185" s="13"/>
      <c r="B185" s="13"/>
      <c r="C185" s="30"/>
      <c r="D185" s="30"/>
      <c r="E185" s="31"/>
      <c r="F185" s="16"/>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3"/>
    </row>
    <row r="186" spans="1:42" outlineLevel="1" x14ac:dyDescent="0.25">
      <c r="A186" s="12"/>
      <c r="B186" s="13"/>
      <c r="C186" s="14"/>
      <c r="D186" s="14"/>
      <c r="E186" s="15"/>
      <c r="F186" s="16"/>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7"/>
    </row>
    <row r="187" spans="1:42" outlineLevel="1" x14ac:dyDescent="0.25">
      <c r="A187" s="12"/>
      <c r="B187" s="13"/>
      <c r="C187" s="37" t="s">
        <v>506</v>
      </c>
      <c r="D187" s="37"/>
      <c r="E187" s="38"/>
      <c r="F187" s="39"/>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17"/>
    </row>
    <row r="188" spans="1:42" outlineLevel="1" x14ac:dyDescent="0.25">
      <c r="A188" s="12"/>
      <c r="B188" s="13"/>
      <c r="C188" s="136" t="s">
        <v>507</v>
      </c>
      <c r="D188" s="41"/>
      <c r="E188" s="15" t="s">
        <v>465</v>
      </c>
      <c r="F188" s="16"/>
      <c r="G188" s="14"/>
      <c r="H188" s="141"/>
      <c r="I188" s="141">
        <f>Route!I25</f>
        <v>93600</v>
      </c>
      <c r="J188" s="141">
        <f>Route!J25</f>
        <v>93600</v>
      </c>
      <c r="K188" s="141">
        <f>Route!K25</f>
        <v>93600</v>
      </c>
      <c r="L188" s="141">
        <f>Route!L25</f>
        <v>93600</v>
      </c>
      <c r="M188" s="141">
        <f>Route!M25</f>
        <v>93600</v>
      </c>
      <c r="N188" s="141">
        <f>Route!N25</f>
        <v>93600</v>
      </c>
      <c r="O188" s="141">
        <f>Route!O25</f>
        <v>93600</v>
      </c>
      <c r="P188" s="141">
        <f>Route!P25</f>
        <v>93600</v>
      </c>
      <c r="Q188" s="141">
        <f>Route!Q25</f>
        <v>93600</v>
      </c>
      <c r="R188" s="141">
        <f>Route!R25</f>
        <v>93600</v>
      </c>
      <c r="S188" s="141">
        <f>Route!S25</f>
        <v>93600</v>
      </c>
      <c r="T188" s="141">
        <f>Route!T25</f>
        <v>93600</v>
      </c>
      <c r="U188" s="141">
        <f>Route!U25</f>
        <v>93600</v>
      </c>
      <c r="V188" s="141">
        <f>Route!V25</f>
        <v>93600</v>
      </c>
      <c r="W188" s="141">
        <f>Route!W25</f>
        <v>93600</v>
      </c>
      <c r="X188" s="141">
        <f>Route!X25</f>
        <v>93600</v>
      </c>
      <c r="Y188" s="141">
        <f>Route!Y25</f>
        <v>93600</v>
      </c>
      <c r="Z188" s="141">
        <f>Route!Z25</f>
        <v>93600</v>
      </c>
      <c r="AA188" s="141">
        <f>Route!AA25</f>
        <v>93600</v>
      </c>
      <c r="AB188" s="141">
        <f>Route!AB25</f>
        <v>93600</v>
      </c>
      <c r="AC188" s="141">
        <f>Route!AC25</f>
        <v>93600</v>
      </c>
      <c r="AD188" s="141">
        <f>Route!AD25</f>
        <v>93600</v>
      </c>
      <c r="AE188" s="141">
        <f>Route!AE25</f>
        <v>93600</v>
      </c>
      <c r="AF188" s="141">
        <f>Route!AF25</f>
        <v>93600</v>
      </c>
      <c r="AG188" s="141">
        <f>Route!AG25</f>
        <v>93600</v>
      </c>
      <c r="AH188" s="141">
        <f>Route!AH25</f>
        <v>93600</v>
      </c>
      <c r="AI188" s="141">
        <f>Route!AI25</f>
        <v>93600</v>
      </c>
      <c r="AJ188" s="141">
        <f>Route!AJ25</f>
        <v>93600</v>
      </c>
      <c r="AK188" s="141">
        <f>Route!AK25</f>
        <v>93600</v>
      </c>
      <c r="AL188" s="141">
        <f>Route!AL25</f>
        <v>93600</v>
      </c>
      <c r="AM188" s="141">
        <f>Route!AM25</f>
        <v>93600</v>
      </c>
      <c r="AN188" s="141">
        <f>Route!AN25</f>
        <v>93600</v>
      </c>
      <c r="AO188" s="141">
        <f>Route!AO25</f>
        <v>93600</v>
      </c>
      <c r="AP188" s="17"/>
    </row>
    <row r="189" spans="1:42" outlineLevel="1" x14ac:dyDescent="0.25">
      <c r="A189" s="12"/>
      <c r="B189" s="13"/>
      <c r="C189" s="136" t="s">
        <v>534</v>
      </c>
      <c r="D189" s="41"/>
      <c r="E189" s="15" t="s">
        <v>465</v>
      </c>
      <c r="F189" s="16"/>
      <c r="G189" s="14"/>
      <c r="H189" s="141"/>
      <c r="I189" s="159">
        <f>IF(COUNT($I$3:I3)&lt;=(Dashboard!$I$31),I188,0)</f>
        <v>93600</v>
      </c>
      <c r="J189" s="159">
        <f>IF(COUNT($I$3:J3)&lt;=(Dashboard!$I$31),J188,0)</f>
        <v>93600</v>
      </c>
      <c r="K189" s="159">
        <f>IF(COUNT($I$3:K3)&lt;=(Dashboard!$I$31),K188,0)</f>
        <v>93600</v>
      </c>
      <c r="L189" s="159">
        <f>IF(COUNT($I$3:L3)&lt;=(Dashboard!$I$31),L188,0)</f>
        <v>93600</v>
      </c>
      <c r="M189" s="159">
        <f>IF(COUNT($I$3:M3)&lt;=(Dashboard!$I$31),M188,0)</f>
        <v>93600</v>
      </c>
      <c r="N189" s="159">
        <f>IF(COUNT($I$3:N3)&lt;=(Dashboard!$I$31),N188,0)</f>
        <v>93600</v>
      </c>
      <c r="O189" s="159">
        <f>IF(COUNT($I$3:O3)&lt;=(Dashboard!$I$31),O188,0)</f>
        <v>93600</v>
      </c>
      <c r="P189" s="159">
        <f>IF(COUNT($I$3:P3)&lt;=(Dashboard!$I$31),P188,0)</f>
        <v>93600</v>
      </c>
      <c r="Q189" s="159">
        <f>IF(COUNT($I$3:Q3)&lt;=(Dashboard!$I$31),Q188,0)</f>
        <v>93600</v>
      </c>
      <c r="R189" s="159">
        <f>IF(COUNT($I$3:R3)&lt;=(Dashboard!$I$31),R188,0)</f>
        <v>93600</v>
      </c>
      <c r="S189" s="159">
        <f>IF(COUNT($I$3:S3)&lt;=(Dashboard!$I$31),S188,0)</f>
        <v>93600</v>
      </c>
      <c r="T189" s="159">
        <f>IF(COUNT($I$3:T3)&lt;=(Dashboard!$I$31),T188,0)</f>
        <v>93600</v>
      </c>
      <c r="U189" s="159">
        <f>IF(COUNT($I$3:U3)&lt;=(Dashboard!$I$31),U188,0)</f>
        <v>0</v>
      </c>
      <c r="V189" s="159">
        <f>IF(COUNT($I$3:V3)&lt;=(Dashboard!$I$31),V188,0)</f>
        <v>0</v>
      </c>
      <c r="W189" s="159">
        <f>IF(COUNT($I$3:W3)&lt;=(Dashboard!$I$31),W188,0)</f>
        <v>0</v>
      </c>
      <c r="X189" s="159">
        <f>IF(COUNT($I$3:X3)&lt;=(Dashboard!$I$31),X188,0)</f>
        <v>0</v>
      </c>
      <c r="Y189" s="159">
        <f>IF(COUNT($I$3:Y3)&lt;=(Dashboard!$I$31),Y188,0)</f>
        <v>0</v>
      </c>
      <c r="Z189" s="159">
        <f>IF(COUNT($I$3:Z3)&lt;=(Dashboard!$I$31),Z188,0)</f>
        <v>0</v>
      </c>
      <c r="AA189" s="159">
        <f>IF(COUNT($I$3:AA3)&lt;=(Dashboard!$I$31),AA188,0)</f>
        <v>0</v>
      </c>
      <c r="AB189" s="159">
        <f>IF(COUNT($I$3:AB3)&lt;=(Dashboard!$I$31),AB188,0)</f>
        <v>0</v>
      </c>
      <c r="AC189" s="159">
        <f>IF(COUNT($I$3:AC3)&lt;=(Dashboard!$I$31),AC188,0)</f>
        <v>0</v>
      </c>
      <c r="AD189" s="159">
        <f>IF(COUNT($I$3:AD3)&lt;=(Dashboard!$I$31),AD188,0)</f>
        <v>0</v>
      </c>
      <c r="AE189" s="159">
        <f>IF(COUNT($I$3:AE3)&lt;=(Dashboard!$I$31),AE188,0)</f>
        <v>0</v>
      </c>
      <c r="AF189" s="159">
        <f>IF(COUNT($I$3:AF3)&lt;=(Dashboard!$I$31),AF188,0)</f>
        <v>0</v>
      </c>
      <c r="AG189" s="159">
        <f>IF(COUNT($I$3:AG3)&lt;=(Dashboard!$I$31),AG188,0)</f>
        <v>0</v>
      </c>
      <c r="AH189" s="159">
        <f>IF(COUNT($I$3:AH3)&lt;=(Dashboard!$I$31),AH188,0)</f>
        <v>0</v>
      </c>
      <c r="AI189" s="159">
        <f>IF(COUNT($I$3:AI3)&lt;=(Dashboard!$I$31),AI188,0)</f>
        <v>0</v>
      </c>
      <c r="AJ189" s="159">
        <f>IF(COUNT($I$3:AJ3)&lt;=(Dashboard!$I$31),AJ188,0)</f>
        <v>0</v>
      </c>
      <c r="AK189" s="159">
        <f>IF(COUNT($I$3:AK3)&lt;=(Dashboard!$I$31),AK188,0)</f>
        <v>0</v>
      </c>
      <c r="AL189" s="159">
        <f>IF(COUNT($I$3:AL3)&lt;=(Dashboard!$I$31),AL188,0)</f>
        <v>0</v>
      </c>
      <c r="AM189" s="159">
        <f>IF(COUNT($I$3:AM3)&lt;=(Dashboard!$I$31),AM188,0)</f>
        <v>0</v>
      </c>
      <c r="AN189" s="159">
        <f>IF(COUNT($I$3:AN3)&lt;=(Dashboard!$I$31),AN188,0)</f>
        <v>0</v>
      </c>
      <c r="AO189" s="159">
        <f>IF(COUNT($I$3:AO3)&lt;=(Dashboard!$I$31),AO188,0)</f>
        <v>0</v>
      </c>
      <c r="AP189" s="17"/>
    </row>
    <row r="190" spans="1:42" outlineLevel="1" x14ac:dyDescent="0.25">
      <c r="A190" s="12"/>
      <c r="B190" s="13"/>
      <c r="C190" s="14"/>
      <c r="D190" s="14"/>
      <c r="E190" s="15"/>
      <c r="F190" s="16"/>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7"/>
    </row>
    <row r="191" spans="1:42" outlineLevel="1" x14ac:dyDescent="0.25">
      <c r="A191" s="12"/>
      <c r="B191" s="13"/>
      <c r="C191" s="37" t="s">
        <v>508</v>
      </c>
      <c r="D191" s="37"/>
      <c r="E191" s="38"/>
      <c r="F191" s="39"/>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17"/>
    </row>
    <row r="192" spans="1:42" outlineLevel="1" x14ac:dyDescent="0.25">
      <c r="A192" s="12"/>
      <c r="B192" s="13"/>
      <c r="C192" s="95" t="s">
        <v>254</v>
      </c>
      <c r="D192" s="14"/>
      <c r="E192" s="15"/>
      <c r="F192" s="16"/>
      <c r="G192" s="14"/>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29"/>
    </row>
    <row r="193" spans="1:42" outlineLevel="1" x14ac:dyDescent="0.25">
      <c r="A193" s="12"/>
      <c r="B193" s="13"/>
      <c r="C193" s="96" t="s">
        <v>120</v>
      </c>
      <c r="D193" s="14"/>
      <c r="E193" s="15" t="s">
        <v>142</v>
      </c>
      <c r="F193" s="158" t="str">
        <f>Dashboard!$I$63</f>
        <v>3 Axle Double Decker Bus</v>
      </c>
      <c r="G193" s="14"/>
      <c r="H193" s="150">
        <f>IF(C193=F193,Data!$E$189,0)</f>
        <v>0</v>
      </c>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29"/>
    </row>
    <row r="194" spans="1:42" outlineLevel="1" x14ac:dyDescent="0.25">
      <c r="A194" s="12"/>
      <c r="B194" s="13"/>
      <c r="C194" s="96" t="s">
        <v>124</v>
      </c>
      <c r="D194" s="14"/>
      <c r="E194" s="15" t="s">
        <v>142</v>
      </c>
      <c r="F194" s="158" t="str">
        <f>Dashboard!$I$63</f>
        <v>3 Axle Double Decker Bus</v>
      </c>
      <c r="G194" s="14"/>
      <c r="H194" s="150">
        <f>IF(C194=F194,Data!$E$190,0)</f>
        <v>0</v>
      </c>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29"/>
    </row>
    <row r="195" spans="1:42" outlineLevel="1" x14ac:dyDescent="0.25">
      <c r="A195" s="12"/>
      <c r="B195" s="13"/>
      <c r="C195" s="96" t="s">
        <v>126</v>
      </c>
      <c r="D195" s="14"/>
      <c r="E195" s="15" t="s">
        <v>142</v>
      </c>
      <c r="F195" s="158" t="str">
        <f>Dashboard!$I$63</f>
        <v>3 Axle Double Decker Bus</v>
      </c>
      <c r="G195" s="14"/>
      <c r="H195" s="150">
        <f>IF(C195=F195,Data!$E$191,0)</f>
        <v>19041.599999999999</v>
      </c>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29"/>
    </row>
    <row r="196" spans="1:42" outlineLevel="1" x14ac:dyDescent="0.25">
      <c r="A196" s="12"/>
      <c r="B196" s="13"/>
      <c r="C196" s="20" t="s">
        <v>509</v>
      </c>
      <c r="D196" s="14"/>
      <c r="E196" s="15" t="s">
        <v>142</v>
      </c>
      <c r="F196" s="16"/>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7"/>
    </row>
    <row r="197" spans="1:42" outlineLevel="1" x14ac:dyDescent="0.25">
      <c r="A197" s="12"/>
      <c r="B197" s="13"/>
      <c r="C197" s="45"/>
      <c r="D197" s="45"/>
      <c r="E197" s="15"/>
      <c r="F197" s="16"/>
      <c r="G197" s="14"/>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9"/>
    </row>
    <row r="198" spans="1:42" outlineLevel="1" x14ac:dyDescent="0.25">
      <c r="A198" s="12"/>
      <c r="B198" s="13"/>
      <c r="C198" s="19" t="s">
        <v>510</v>
      </c>
      <c r="D198" s="45"/>
      <c r="E198" s="15"/>
      <c r="F198" s="16"/>
      <c r="G198" s="14"/>
      <c r="H198" s="182">
        <f>SUM(H193:H197)</f>
        <v>19041.599999999999</v>
      </c>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9"/>
    </row>
    <row r="199" spans="1:42" s="140" customFormat="1" outlineLevel="1" x14ac:dyDescent="0.25">
      <c r="A199" s="78"/>
      <c r="B199" s="19"/>
      <c r="C199" s="95" t="s">
        <v>511</v>
      </c>
      <c r="D199" s="20"/>
      <c r="E199" s="21"/>
      <c r="F199" s="48"/>
      <c r="G199" s="20"/>
      <c r="H199" s="20"/>
      <c r="I199" s="244">
        <f>IF(I189&gt;0,-PMT(Data!$E$10,Dashboard!$I$31,'H2 Blending'!$H$198,0,0),0)</f>
        <v>2028.923851418815</v>
      </c>
      <c r="J199" s="244">
        <f>IF(J189&gt;0,-PMT(Data!$E$10,Dashboard!$I$31,'H2 Blending'!$H$198,0,0),0)</f>
        <v>2028.923851418815</v>
      </c>
      <c r="K199" s="244">
        <f>IF(K189&gt;0,-PMT(Data!$E$10,Dashboard!$I$31,'H2 Blending'!$H$198,0,0),0)</f>
        <v>2028.923851418815</v>
      </c>
      <c r="L199" s="244">
        <f>IF(L189&gt;0,-PMT(Data!$E$10,Dashboard!$I$31,'H2 Blending'!$H$198,0,0),0)</f>
        <v>2028.923851418815</v>
      </c>
      <c r="M199" s="244">
        <f>IF(M189&gt;0,-PMT(Data!$E$10,Dashboard!$I$31,'H2 Blending'!$H$198,0,0),0)</f>
        <v>2028.923851418815</v>
      </c>
      <c r="N199" s="244">
        <f>IF(N189&gt;0,-PMT(Data!$E$10,Dashboard!$I$31,'H2 Blending'!$H$198,0,0),0)</f>
        <v>2028.923851418815</v>
      </c>
      <c r="O199" s="244">
        <f>IF(O189&gt;0,-PMT(Data!$E$10,Dashboard!$I$31,'H2 Blending'!$H$198,0,0),0)</f>
        <v>2028.923851418815</v>
      </c>
      <c r="P199" s="244">
        <f>IF(P189&gt;0,-PMT(Data!$E$10,Dashboard!$I$31,'H2 Blending'!$H$198,0,0),0)</f>
        <v>2028.923851418815</v>
      </c>
      <c r="Q199" s="244">
        <f>IF(Q189&gt;0,-PMT(Data!$E$10,Dashboard!$I$31,'H2 Blending'!$H$198,0,0),0)</f>
        <v>2028.923851418815</v>
      </c>
      <c r="R199" s="244">
        <f>IF(R189&gt;0,-PMT(Data!$E$10,Dashboard!$I$31,'H2 Blending'!$H$198,0,0),0)</f>
        <v>2028.923851418815</v>
      </c>
      <c r="S199" s="244">
        <f>IF(S189&gt;0,-PMT(Data!$E$10,Dashboard!$I$31,'H2 Blending'!$H$198,0,0),0)</f>
        <v>2028.923851418815</v>
      </c>
      <c r="T199" s="244">
        <f>IF(T189&gt;0,-PMT(Data!$E$10,Dashboard!$I$31,'H2 Blending'!$H$198,0,0),0)</f>
        <v>2028.923851418815</v>
      </c>
      <c r="U199" s="244">
        <f>IF(U189&gt;0,-PMT(Data!$E$10,Dashboard!$I$31,'H2 Blending'!$H$198,0,0),0)</f>
        <v>0</v>
      </c>
      <c r="V199" s="244">
        <f>IF(V189&gt;0,-PMT(Data!$E$10,Dashboard!$I$31,'H2 Blending'!$H$198,0,0),0)</f>
        <v>0</v>
      </c>
      <c r="W199" s="244">
        <f>IF(W189&gt;0,-PMT(Data!$E$10,Dashboard!$I$31,'H2 Blending'!$H$198,0,0),0)</f>
        <v>0</v>
      </c>
      <c r="X199" s="244">
        <f>IF(X189&gt;0,-PMT(Data!$E$10,Dashboard!$I$31,'H2 Blending'!$H$198,0,0),0)</f>
        <v>0</v>
      </c>
      <c r="Y199" s="244">
        <f>IF(Y189&gt;0,-PMT(Data!$E$10,Dashboard!$I$31,'H2 Blending'!$H$198,0,0),0)</f>
        <v>0</v>
      </c>
      <c r="Z199" s="244">
        <f>IF(Z189&gt;0,-PMT(Data!$E$10,Dashboard!$I$31,'H2 Blending'!$H$198,0,0),0)</f>
        <v>0</v>
      </c>
      <c r="AA199" s="244">
        <f>IF(AA189&gt;0,-PMT(Data!$E$10,Dashboard!$I$31,'H2 Blending'!$H$198,0,0),0)</f>
        <v>0</v>
      </c>
      <c r="AB199" s="244">
        <f>IF(AB189&gt;0,-PMT(Data!$E$10,Dashboard!$I$31,'H2 Blending'!$H$198,0,0),0)</f>
        <v>0</v>
      </c>
      <c r="AC199" s="244">
        <f>IF(AC189&gt;0,-PMT(Data!$E$10,Dashboard!$I$31,'H2 Blending'!$H$198,0,0),0)</f>
        <v>0</v>
      </c>
      <c r="AD199" s="244">
        <f>IF(AD189&gt;0,-PMT(Data!$E$10,Dashboard!$I$31,'H2 Blending'!$H$198,0,0),0)</f>
        <v>0</v>
      </c>
      <c r="AE199" s="244">
        <f>IF(AE189&gt;0,-PMT(Data!$E$10,Dashboard!$I$31,'H2 Blending'!$H$198,0,0),0)</f>
        <v>0</v>
      </c>
      <c r="AF199" s="244">
        <f>IF(AF189&gt;0,-PMT(Data!$E$10,Dashboard!$I$31,'H2 Blending'!$H$198,0,0),0)</f>
        <v>0</v>
      </c>
      <c r="AG199" s="244">
        <f>IF(AG189&gt;0,-PMT(Data!$E$10,Dashboard!$I$31,'H2 Blending'!$H$198,0,0),0)</f>
        <v>0</v>
      </c>
      <c r="AH199" s="244">
        <f>IF(AH189&gt;0,-PMT(Data!$E$10,Dashboard!$I$31,'H2 Blending'!$H$198,0,0),0)</f>
        <v>0</v>
      </c>
      <c r="AI199" s="244">
        <f>IF(AI189&gt;0,-PMT(Data!$E$10,Dashboard!$I$31,'H2 Blending'!$H$198,0,0),0)</f>
        <v>0</v>
      </c>
      <c r="AJ199" s="244">
        <f>IF(AJ189&gt;0,-PMT(Data!$E$10,Dashboard!$I$31,'H2 Blending'!$H$198,0,0),0)</f>
        <v>0</v>
      </c>
      <c r="AK199" s="244">
        <f>IF(AK189&gt;0,-PMT(Data!$E$10,Dashboard!$I$31,'H2 Blending'!$H$198,0,0),0)</f>
        <v>0</v>
      </c>
      <c r="AL199" s="244">
        <f>IF(AL189&gt;0,-PMT(Data!$E$10,Dashboard!$I$31,'H2 Blending'!$H$198,0,0),0)</f>
        <v>0</v>
      </c>
      <c r="AM199" s="244">
        <f>IF(AM189&gt;0,-PMT(Data!$E$10,Dashboard!$I$31,'H2 Blending'!$H$198,0,0),0)</f>
        <v>0</v>
      </c>
      <c r="AN199" s="244">
        <f>IF(AN189&gt;0,-PMT(Data!$E$10,Dashboard!$I$31,'H2 Blending'!$H$198,0,0),0)</f>
        <v>0</v>
      </c>
      <c r="AO199" s="244">
        <f>IF(AO189&gt;0,-PMT(Data!$E$10,Dashboard!$I$31,'H2 Blending'!$H$198,0,0),0)</f>
        <v>0</v>
      </c>
      <c r="AP199" s="370"/>
    </row>
    <row r="200" spans="1:42" outlineLevel="1" x14ac:dyDescent="0.25">
      <c r="A200" s="12"/>
      <c r="B200" s="13"/>
      <c r="C200" s="37" t="s">
        <v>472</v>
      </c>
      <c r="D200" s="37"/>
      <c r="E200" s="38"/>
      <c r="F200" s="39"/>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17"/>
    </row>
    <row r="201" spans="1:42" outlineLevel="1" x14ac:dyDescent="0.25">
      <c r="A201" s="12"/>
      <c r="B201" s="13"/>
      <c r="C201" s="44" t="s">
        <v>258</v>
      </c>
      <c r="D201" s="44"/>
      <c r="E201" s="15"/>
      <c r="F201" s="16"/>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7"/>
    </row>
    <row r="202" spans="1:42" outlineLevel="1" x14ac:dyDescent="0.25">
      <c r="A202" s="12"/>
      <c r="B202" s="13"/>
      <c r="C202" s="45" t="s">
        <v>120</v>
      </c>
      <c r="D202" s="45"/>
      <c r="E202" s="15" t="s">
        <v>474</v>
      </c>
      <c r="F202" s="158" t="str">
        <f>Dashboard!$I$63</f>
        <v>3 Axle Double Decker Bus</v>
      </c>
      <c r="G202" s="14"/>
      <c r="H202" s="177"/>
      <c r="I202" s="177">
        <f>IF($C$202=$F$202,Data!$E$195*I$189,0)</f>
        <v>0</v>
      </c>
      <c r="J202" s="177">
        <f>IF($C$202=$F$202,Data!$E$195*J$189,0)</f>
        <v>0</v>
      </c>
      <c r="K202" s="177">
        <f>IF($C$202=$F$202,Data!$E$195*K$189,0)</f>
        <v>0</v>
      </c>
      <c r="L202" s="177">
        <f>IF($C$202=$F$202,Data!$E$195*L$189,0)</f>
        <v>0</v>
      </c>
      <c r="M202" s="177">
        <f>IF($C$202=$F$202,Data!$E$195*M$189,0)</f>
        <v>0</v>
      </c>
      <c r="N202" s="177">
        <f>IF($C$202=$F$202,Data!$E$195*N$189,0)</f>
        <v>0</v>
      </c>
      <c r="O202" s="177">
        <f>IF($C$202=$F$202,Data!$E$195*O$189,0)</f>
        <v>0</v>
      </c>
      <c r="P202" s="177">
        <f>IF($C$202=$F$202,Data!$E$195*P$189,0)</f>
        <v>0</v>
      </c>
      <c r="Q202" s="177">
        <f>IF($C$202=$F$202,Data!$E$195*Q$189,0)</f>
        <v>0</v>
      </c>
      <c r="R202" s="177">
        <f>IF($C$202=$F$202,Data!$E$195*R$189,0)</f>
        <v>0</v>
      </c>
      <c r="S202" s="177">
        <f>IF($C$202=$F$202,Data!$E$195*S$189,0)</f>
        <v>0</v>
      </c>
      <c r="T202" s="177">
        <f>IF($C$202=$F$202,Data!$E$195*T$189,0)</f>
        <v>0</v>
      </c>
      <c r="U202" s="177">
        <f>IF($C$202=$F$202,Data!$E$195*U$189,0)</f>
        <v>0</v>
      </c>
      <c r="V202" s="177">
        <f>IF($C$202=$F$202,Data!$E$195*V$189,0)</f>
        <v>0</v>
      </c>
      <c r="W202" s="177">
        <f>IF($C$202=$F$202,Data!$E$195*W$189,0)</f>
        <v>0</v>
      </c>
      <c r="X202" s="177">
        <f>IF($C$202=$F$202,Data!$E$195*X$189,0)</f>
        <v>0</v>
      </c>
      <c r="Y202" s="177">
        <f>IF($C$202=$F$202,Data!$E$195*Y$189,0)</f>
        <v>0</v>
      </c>
      <c r="Z202" s="177">
        <f>IF($C$202=$F$202,Data!$E$195*Z$189,0)</f>
        <v>0</v>
      </c>
      <c r="AA202" s="177">
        <f>IF($C$202=$F$202,Data!$E$195*AA$189,0)</f>
        <v>0</v>
      </c>
      <c r="AB202" s="177">
        <f>IF($C$202=$F$202,Data!$E$195*AB$189,0)</f>
        <v>0</v>
      </c>
      <c r="AC202" s="177">
        <f>IF($C$202=$F$202,Data!$E$195*AC$189,0)</f>
        <v>0</v>
      </c>
      <c r="AD202" s="177">
        <f>IF($C$202=$F$202,Data!$E$195*AD$189,0)</f>
        <v>0</v>
      </c>
      <c r="AE202" s="177">
        <f>IF($C$202=$F$202,Data!$E$195*AE$189,0)</f>
        <v>0</v>
      </c>
      <c r="AF202" s="177">
        <f>IF($C$202=$F$202,Data!$E$195*AF$189,0)</f>
        <v>0</v>
      </c>
      <c r="AG202" s="177">
        <f>IF($C$202=$F$202,Data!$E$195*AG$189,0)</f>
        <v>0</v>
      </c>
      <c r="AH202" s="177">
        <f>IF($C$202=$F$202,Data!$E$195*AH$189,0)</f>
        <v>0</v>
      </c>
      <c r="AI202" s="177">
        <f>IF($C$202=$F$202,Data!$E$195*AI$189,0)</f>
        <v>0</v>
      </c>
      <c r="AJ202" s="177">
        <f>IF($C$202=$F$202,Data!$E$195*AJ$189,0)</f>
        <v>0</v>
      </c>
      <c r="AK202" s="177">
        <f>IF($C$202=$F$202,Data!$E$195*AK$189,0)</f>
        <v>0</v>
      </c>
      <c r="AL202" s="177">
        <f>IF($C$202=$F$202,Data!$E$195*AL$189,0)</f>
        <v>0</v>
      </c>
      <c r="AM202" s="177">
        <f>IF($C$202=$F$202,Data!$E$195*AM$189,0)</f>
        <v>0</v>
      </c>
      <c r="AN202" s="177">
        <f>IF($C$202=$F$202,Data!$E$195*AN$189,0)</f>
        <v>0</v>
      </c>
      <c r="AO202" s="177">
        <f>IF($C$202=$F$202,Data!$E$195*AO$189,0)</f>
        <v>0</v>
      </c>
      <c r="AP202" s="29"/>
    </row>
    <row r="203" spans="1:42" outlineLevel="1" x14ac:dyDescent="0.25">
      <c r="A203" s="12"/>
      <c r="B203" s="13"/>
      <c r="C203" s="45" t="s">
        <v>124</v>
      </c>
      <c r="D203" s="45"/>
      <c r="E203" s="15" t="s">
        <v>474</v>
      </c>
      <c r="F203" s="158" t="str">
        <f>Dashboard!$I$63</f>
        <v>3 Axle Double Decker Bus</v>
      </c>
      <c r="G203" s="14"/>
      <c r="H203" s="177"/>
      <c r="I203" s="177">
        <f>IF($C$203=$F$203,Data!$E$196*I$189,0)</f>
        <v>0</v>
      </c>
      <c r="J203" s="177">
        <f>IF($C$203=$F$203,Data!$E$196*J$189,0)</f>
        <v>0</v>
      </c>
      <c r="K203" s="177">
        <f>IF($C$203=$F$203,Data!$E$196*K$189,0)</f>
        <v>0</v>
      </c>
      <c r="L203" s="177">
        <f>IF($C$203=$F$203,Data!$E$196*L$189,0)</f>
        <v>0</v>
      </c>
      <c r="M203" s="177">
        <f>IF($C$203=$F$203,Data!$E$196*M$189,0)</f>
        <v>0</v>
      </c>
      <c r="N203" s="177">
        <f>IF($C$203=$F$203,Data!$E$196*N$189,0)</f>
        <v>0</v>
      </c>
      <c r="O203" s="177">
        <f>IF($C$203=$F$203,Data!$E$196*O$189,0)</f>
        <v>0</v>
      </c>
      <c r="P203" s="177">
        <f>IF($C$203=$F$203,Data!$E$196*P$189,0)</f>
        <v>0</v>
      </c>
      <c r="Q203" s="177">
        <f>IF($C$203=$F$203,Data!$E$196*Q$189,0)</f>
        <v>0</v>
      </c>
      <c r="R203" s="177">
        <f>IF($C$203=$F$203,Data!$E$196*R$189,0)</f>
        <v>0</v>
      </c>
      <c r="S203" s="177">
        <f>IF($C$203=$F$203,Data!$E$196*S$189,0)</f>
        <v>0</v>
      </c>
      <c r="T203" s="177">
        <f>IF($C$203=$F$203,Data!$E$196*T$189,0)</f>
        <v>0</v>
      </c>
      <c r="U203" s="177">
        <f>IF($C$203=$F$203,Data!$E$196*U$189,0)</f>
        <v>0</v>
      </c>
      <c r="V203" s="177">
        <f>IF($C$203=$F$203,Data!$E$196*V$189,0)</f>
        <v>0</v>
      </c>
      <c r="W203" s="177">
        <f>IF($C$203=$F$203,Data!$E$196*W$189,0)</f>
        <v>0</v>
      </c>
      <c r="X203" s="177">
        <f>IF($C$203=$F$203,Data!$E$196*X$189,0)</f>
        <v>0</v>
      </c>
      <c r="Y203" s="177">
        <f>IF($C$203=$F$203,Data!$E$196*Y$189,0)</f>
        <v>0</v>
      </c>
      <c r="Z203" s="177">
        <f>IF($C$203=$F$203,Data!$E$196*Z$189,0)</f>
        <v>0</v>
      </c>
      <c r="AA203" s="177">
        <f>IF($C$203=$F$203,Data!$E$196*AA$189,0)</f>
        <v>0</v>
      </c>
      <c r="AB203" s="177">
        <f>IF($C$203=$F$203,Data!$E$196*AB$189,0)</f>
        <v>0</v>
      </c>
      <c r="AC203" s="177">
        <f>IF($C$203=$F$203,Data!$E$196*AC$189,0)</f>
        <v>0</v>
      </c>
      <c r="AD203" s="177">
        <f>IF($C$203=$F$203,Data!$E$196*AD$189,0)</f>
        <v>0</v>
      </c>
      <c r="AE203" s="177">
        <f>IF($C$203=$F$203,Data!$E$196*AE$189,0)</f>
        <v>0</v>
      </c>
      <c r="AF203" s="177">
        <f>IF($C$203=$F$203,Data!$E$196*AF$189,0)</f>
        <v>0</v>
      </c>
      <c r="AG203" s="177">
        <f>IF($C$203=$F$203,Data!$E$196*AG$189,0)</f>
        <v>0</v>
      </c>
      <c r="AH203" s="177">
        <f>IF($C$203=$F$203,Data!$E$196*AH$189,0)</f>
        <v>0</v>
      </c>
      <c r="AI203" s="177">
        <f>IF($C$203=$F$203,Data!$E$196*AI$189,0)</f>
        <v>0</v>
      </c>
      <c r="AJ203" s="177">
        <f>IF($C$203=$F$203,Data!$E$196*AJ$189,0)</f>
        <v>0</v>
      </c>
      <c r="AK203" s="177">
        <f>IF($C$203=$F$203,Data!$E$196*AK$189,0)</f>
        <v>0</v>
      </c>
      <c r="AL203" s="177">
        <f>IF($C$203=$F$203,Data!$E$196*AL$189,0)</f>
        <v>0</v>
      </c>
      <c r="AM203" s="177">
        <f>IF($C$203=$F$203,Data!$E$196*AM$189,0)</f>
        <v>0</v>
      </c>
      <c r="AN203" s="177">
        <f>IF($C$203=$F$203,Data!$E$196*AN$189,0)</f>
        <v>0</v>
      </c>
      <c r="AO203" s="177">
        <f>IF($C$203=$F$203,Data!$E$196*AO$189,0)</f>
        <v>0</v>
      </c>
      <c r="AP203" s="29"/>
    </row>
    <row r="204" spans="1:42" outlineLevel="1" x14ac:dyDescent="0.25">
      <c r="A204" s="12"/>
      <c r="B204" s="13"/>
      <c r="C204" s="45" t="s">
        <v>126</v>
      </c>
      <c r="D204" s="45"/>
      <c r="E204" s="15" t="s">
        <v>474</v>
      </c>
      <c r="F204" s="158" t="str">
        <f>Dashboard!$I$63</f>
        <v>3 Axle Double Decker Bus</v>
      </c>
      <c r="G204" s="14"/>
      <c r="H204" s="177"/>
      <c r="I204" s="177">
        <f>IF($C$204=$F$204,Data!$E$197*I$189,0)</f>
        <v>160457.14285714284</v>
      </c>
      <c r="J204" s="177">
        <f>IF($C$204=$F$204,Data!$E$197*J$189,0)</f>
        <v>160457.14285714284</v>
      </c>
      <c r="K204" s="177">
        <f>IF($C$204=$F$204,Data!$E$197*K$189,0)</f>
        <v>160457.14285714284</v>
      </c>
      <c r="L204" s="177">
        <f>IF($C$204=$F$204,Data!$E$197*L$189,0)</f>
        <v>160457.14285714284</v>
      </c>
      <c r="M204" s="177">
        <f>IF($C$204=$F$204,Data!$E$197*M$189,0)</f>
        <v>160457.14285714284</v>
      </c>
      <c r="N204" s="177">
        <f>IF($C$204=$F$204,Data!$E$197*N$189,0)</f>
        <v>160457.14285714284</v>
      </c>
      <c r="O204" s="177">
        <f>IF($C$204=$F$204,Data!$E$197*O$189,0)</f>
        <v>160457.14285714284</v>
      </c>
      <c r="P204" s="177">
        <f>IF($C$204=$F$204,Data!$E$197*P$189,0)</f>
        <v>160457.14285714284</v>
      </c>
      <c r="Q204" s="177">
        <f>IF($C$204=$F$204,Data!$E$197*Q$189,0)</f>
        <v>160457.14285714284</v>
      </c>
      <c r="R204" s="177">
        <f>IF($C$204=$F$204,Data!$E$197*R$189,0)</f>
        <v>160457.14285714284</v>
      </c>
      <c r="S204" s="177">
        <f>IF($C$204=$F$204,Data!$E$197*S$189,0)</f>
        <v>160457.14285714284</v>
      </c>
      <c r="T204" s="177">
        <f>IF($C$204=$F$204,Data!$E$197*T$189,0)</f>
        <v>160457.14285714284</v>
      </c>
      <c r="U204" s="177">
        <f>IF($C$204=$F$204,Data!$E$197*U$189,0)</f>
        <v>0</v>
      </c>
      <c r="V204" s="177">
        <f>IF($C$204=$F$204,Data!$E$197*V$189,0)</f>
        <v>0</v>
      </c>
      <c r="W204" s="177">
        <f>IF($C$204=$F$204,Data!$E$197*W$189,0)</f>
        <v>0</v>
      </c>
      <c r="X204" s="177">
        <f>IF($C$204=$F$204,Data!$E$197*X$189,0)</f>
        <v>0</v>
      </c>
      <c r="Y204" s="177">
        <f>IF($C$204=$F$204,Data!$E$197*Y$189,0)</f>
        <v>0</v>
      </c>
      <c r="Z204" s="177">
        <f>IF($C$204=$F$204,Data!$E$197*Z$189,0)</f>
        <v>0</v>
      </c>
      <c r="AA204" s="177">
        <f>IF($C$204=$F$204,Data!$E$197*AA$189,0)</f>
        <v>0</v>
      </c>
      <c r="AB204" s="177">
        <f>IF($C$204=$F$204,Data!$E$197*AB$189,0)</f>
        <v>0</v>
      </c>
      <c r="AC204" s="177">
        <f>IF($C$204=$F$204,Data!$E$197*AC$189,0)</f>
        <v>0</v>
      </c>
      <c r="AD204" s="177">
        <f>IF($C$204=$F$204,Data!$E$197*AD$189,0)</f>
        <v>0</v>
      </c>
      <c r="AE204" s="177">
        <f>IF($C$204=$F$204,Data!$E$197*AE$189,0)</f>
        <v>0</v>
      </c>
      <c r="AF204" s="177">
        <f>IF($C$204=$F$204,Data!$E$197*AF$189,0)</f>
        <v>0</v>
      </c>
      <c r="AG204" s="177">
        <f>IF($C$204=$F$204,Data!$E$197*AG$189,0)</f>
        <v>0</v>
      </c>
      <c r="AH204" s="177">
        <f>IF($C$204=$F$204,Data!$E$197*AH$189,0)</f>
        <v>0</v>
      </c>
      <c r="AI204" s="177">
        <f>IF($C$204=$F$204,Data!$E$197*AI$189,0)</f>
        <v>0</v>
      </c>
      <c r="AJ204" s="177">
        <f>IF($C$204=$F$204,Data!$E$197*AJ$189,0)</f>
        <v>0</v>
      </c>
      <c r="AK204" s="177">
        <f>IF($C$204=$F$204,Data!$E$197*AK$189,0)</f>
        <v>0</v>
      </c>
      <c r="AL204" s="177">
        <f>IF($C$204=$F$204,Data!$E$197*AL$189,0)</f>
        <v>0</v>
      </c>
      <c r="AM204" s="177">
        <f>IF($C$204=$F$204,Data!$E$197*AM$189,0)</f>
        <v>0</v>
      </c>
      <c r="AN204" s="177">
        <f>IF($C$204=$F$204,Data!$E$197*AN$189,0)</f>
        <v>0</v>
      </c>
      <c r="AO204" s="177">
        <f>IF($C$204=$F$204,Data!$E$197*AO$189,0)</f>
        <v>0</v>
      </c>
      <c r="AP204" s="29"/>
    </row>
    <row r="205" spans="1:42" outlineLevel="1" x14ac:dyDescent="0.25">
      <c r="A205" s="12"/>
      <c r="B205" s="13"/>
      <c r="C205" s="45"/>
      <c r="D205" s="45"/>
      <c r="E205" s="15"/>
      <c r="F205" s="16"/>
      <c r="G205" s="14"/>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9"/>
    </row>
    <row r="206" spans="1:42" outlineLevel="1" x14ac:dyDescent="0.25">
      <c r="A206" s="12"/>
      <c r="B206" s="13"/>
      <c r="C206" s="44" t="s">
        <v>532</v>
      </c>
      <c r="D206" s="45"/>
      <c r="E206" s="15" t="s">
        <v>318</v>
      </c>
      <c r="F206" s="16"/>
      <c r="G206" s="14"/>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9"/>
    </row>
    <row r="207" spans="1:42" outlineLevel="1" x14ac:dyDescent="0.25">
      <c r="A207" s="12"/>
      <c r="B207" s="13"/>
      <c r="C207" s="44" t="s">
        <v>260</v>
      </c>
      <c r="D207" s="14"/>
      <c r="E207" s="15" t="s">
        <v>318</v>
      </c>
      <c r="F207" s="16"/>
      <c r="G207" s="14"/>
      <c r="H207" s="151"/>
      <c r="I207" s="151">
        <f>Data!$E$199*I$189</f>
        <v>33733.440000000002</v>
      </c>
      <c r="J207" s="151">
        <f>Data!$E$199*J$189</f>
        <v>33733.440000000002</v>
      </c>
      <c r="K207" s="151">
        <f>Data!$E$199*K$189</f>
        <v>33733.440000000002</v>
      </c>
      <c r="L207" s="151">
        <f>Data!$E$199*L$189</f>
        <v>33733.440000000002</v>
      </c>
      <c r="M207" s="151">
        <f>Data!$E$199*M$189</f>
        <v>33733.440000000002</v>
      </c>
      <c r="N207" s="151">
        <f>Data!$E$199*N$189</f>
        <v>33733.440000000002</v>
      </c>
      <c r="O207" s="151">
        <f>Data!$E$199*O$189</f>
        <v>33733.440000000002</v>
      </c>
      <c r="P207" s="151">
        <f>Data!$E$199*P$189</f>
        <v>33733.440000000002</v>
      </c>
      <c r="Q207" s="151">
        <f>Data!$E$199*Q$189</f>
        <v>33733.440000000002</v>
      </c>
      <c r="R207" s="151">
        <f>Data!$E$199*R$189</f>
        <v>33733.440000000002</v>
      </c>
      <c r="S207" s="151">
        <f>Data!$E$199*S$189</f>
        <v>33733.440000000002</v>
      </c>
      <c r="T207" s="151">
        <f>Data!$E$199*T$189</f>
        <v>33733.440000000002</v>
      </c>
      <c r="U207" s="151">
        <f>Data!$E$199*U$189</f>
        <v>0</v>
      </c>
      <c r="V207" s="151">
        <f>Data!$E$199*V$189</f>
        <v>0</v>
      </c>
      <c r="W207" s="151">
        <f>Data!$E$199*W$189</f>
        <v>0</v>
      </c>
      <c r="X207" s="151">
        <f>Data!$E$199*X$189</f>
        <v>0</v>
      </c>
      <c r="Y207" s="151">
        <f>Data!$E$199*Y$189</f>
        <v>0</v>
      </c>
      <c r="Z207" s="151">
        <f>Data!$E$199*Z$189</f>
        <v>0</v>
      </c>
      <c r="AA207" s="151">
        <f>Data!$E$199*AA$189</f>
        <v>0</v>
      </c>
      <c r="AB207" s="151">
        <f>Data!$E$199*AB$189</f>
        <v>0</v>
      </c>
      <c r="AC207" s="151">
        <f>Data!$E$199*AC$189</f>
        <v>0</v>
      </c>
      <c r="AD207" s="151">
        <f>Data!$E$199*AD$189</f>
        <v>0</v>
      </c>
      <c r="AE207" s="151">
        <f>Data!$E$199*AE$189</f>
        <v>0</v>
      </c>
      <c r="AF207" s="151">
        <f>Data!$E$199*AF$189</f>
        <v>0</v>
      </c>
      <c r="AG207" s="151">
        <f>Data!$E$199*AG$189</f>
        <v>0</v>
      </c>
      <c r="AH207" s="151">
        <f>Data!$E$199*AH$189</f>
        <v>0</v>
      </c>
      <c r="AI207" s="151">
        <f>Data!$E$199*AI$189</f>
        <v>0</v>
      </c>
      <c r="AJ207" s="151">
        <f>Data!$E$199*AJ$189</f>
        <v>0</v>
      </c>
      <c r="AK207" s="151">
        <f>Data!$E$199*AK$189</f>
        <v>0</v>
      </c>
      <c r="AL207" s="151">
        <f>Data!$E$199*AL$189</f>
        <v>0</v>
      </c>
      <c r="AM207" s="151">
        <f>Data!$E$199*AM$189</f>
        <v>0</v>
      </c>
      <c r="AN207" s="151">
        <f>Data!$E$199*AN$189</f>
        <v>0</v>
      </c>
      <c r="AO207" s="151">
        <f>Data!$E$199*AO$189</f>
        <v>0</v>
      </c>
      <c r="AP207" s="17"/>
    </row>
    <row r="208" spans="1:42" outlineLevel="1" x14ac:dyDescent="0.25">
      <c r="A208" s="12"/>
      <c r="B208" s="13"/>
      <c r="C208" s="44"/>
      <c r="D208" s="44"/>
      <c r="E208" s="15"/>
      <c r="F208" s="16"/>
      <c r="G208" s="14"/>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17"/>
    </row>
    <row r="209" spans="1:42" outlineLevel="1" x14ac:dyDescent="0.25">
      <c r="A209" s="12"/>
      <c r="B209" s="13"/>
      <c r="C209" s="44" t="s">
        <v>398</v>
      </c>
      <c r="D209" s="45"/>
      <c r="E209" s="15"/>
      <c r="F209" s="16"/>
      <c r="G209" s="14"/>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9"/>
    </row>
    <row r="210" spans="1:42" outlineLevel="1" x14ac:dyDescent="0.25">
      <c r="A210" s="12"/>
      <c r="B210" s="13"/>
      <c r="C210" s="45" t="s">
        <v>127</v>
      </c>
      <c r="D210" s="45"/>
      <c r="E210" s="15" t="s">
        <v>475</v>
      </c>
      <c r="F210" s="158" t="str">
        <f>Dashboard!$I$62</f>
        <v>Hilly (Gradient  6%)</v>
      </c>
      <c r="G210" s="14"/>
      <c r="H210" s="62"/>
      <c r="I210" s="181" cm="1">
        <f t="array" ref="I210">INDEX('Control panel'!$E$17:$E$19,MATCH($F$210,'Control panel'!$C$17:$C$19,0),0)</f>
        <v>2.0035308778415004</v>
      </c>
      <c r="J210" s="181" cm="1">
        <f t="array" ref="J210">INDEX('Control panel'!$E$17:$E$19,MATCH($F$210,'Control panel'!$C$17:$C$19,0),0)</f>
        <v>2.0035308778415004</v>
      </c>
      <c r="K210" s="181" cm="1">
        <f t="array" ref="K210">INDEX('Control panel'!$E$17:$E$19,MATCH($F$210,'Control panel'!$C$17:$C$19,0),0)</f>
        <v>2.0035308778415004</v>
      </c>
      <c r="L210" s="181" cm="1">
        <f t="array" ref="L210">INDEX('Control panel'!$E$17:$E$19,MATCH($F$210,'Control panel'!$C$17:$C$19,0),0)</f>
        <v>2.0035308778415004</v>
      </c>
      <c r="M210" s="181" cm="1">
        <f t="array" ref="M210">INDEX('Control panel'!$E$17:$E$19,MATCH($F$210,'Control panel'!$C$17:$C$19,0),0)</f>
        <v>2.0035308778415004</v>
      </c>
      <c r="N210" s="181" cm="1">
        <f t="array" ref="N210">INDEX('Control panel'!$E$17:$E$19,MATCH($F$210,'Control panel'!$C$17:$C$19,0),0)</f>
        <v>2.0035308778415004</v>
      </c>
      <c r="O210" s="181" cm="1">
        <f t="array" ref="O210">INDEX('Control panel'!$E$17:$E$19,MATCH($F$210,'Control panel'!$C$17:$C$19,0),0)</f>
        <v>2.0035308778415004</v>
      </c>
      <c r="P210" s="181" cm="1">
        <f t="array" ref="P210">INDEX('Control panel'!$E$17:$E$19,MATCH($F$210,'Control panel'!$C$17:$C$19,0),0)</f>
        <v>2.0035308778415004</v>
      </c>
      <c r="Q210" s="181" cm="1">
        <f t="array" ref="Q210">INDEX('Control panel'!$E$17:$E$19,MATCH($F$210,'Control panel'!$C$17:$C$19,0),0)</f>
        <v>2.0035308778415004</v>
      </c>
      <c r="R210" s="181" cm="1">
        <f t="array" ref="R210">INDEX('Control panel'!$E$17:$E$19,MATCH($F$210,'Control panel'!$C$17:$C$19,0),0)</f>
        <v>2.0035308778415004</v>
      </c>
      <c r="S210" s="181" cm="1">
        <f t="array" ref="S210">INDEX('Control panel'!$E$17:$E$19,MATCH($F$210,'Control panel'!$C$17:$C$19,0),0)</f>
        <v>2.0035308778415004</v>
      </c>
      <c r="T210" s="181" cm="1">
        <f t="array" ref="T210">INDEX('Control panel'!$E$17:$E$19,MATCH($F$210,'Control panel'!$C$17:$C$19,0),0)</f>
        <v>2.0035308778415004</v>
      </c>
      <c r="U210" s="181" cm="1">
        <f t="array" ref="U210">INDEX('Control panel'!$E$17:$E$19,MATCH($F$210,'Control panel'!$C$17:$C$19,0),0)</f>
        <v>2.0035308778415004</v>
      </c>
      <c r="V210" s="181" cm="1">
        <f t="array" ref="V210">INDEX('Control panel'!$E$17:$E$19,MATCH($F$210,'Control panel'!$C$17:$C$19,0),0)</f>
        <v>2.0035308778415004</v>
      </c>
      <c r="W210" s="181" cm="1">
        <f t="array" ref="W210">INDEX('Control panel'!$E$17:$E$19,MATCH($F$210,'Control panel'!$C$17:$C$19,0),0)</f>
        <v>2.0035308778415004</v>
      </c>
      <c r="X210" s="181" cm="1">
        <f t="array" ref="X210">INDEX('Control panel'!$E$17:$E$19,MATCH($F$210,'Control panel'!$C$17:$C$19,0),0)</f>
        <v>2.0035308778415004</v>
      </c>
      <c r="Y210" s="181" cm="1">
        <f t="array" ref="Y210">INDEX('Control panel'!$E$17:$E$19,MATCH($F$210,'Control panel'!$C$17:$C$19,0),0)</f>
        <v>2.0035308778415004</v>
      </c>
      <c r="Z210" s="181" cm="1">
        <f t="array" ref="Z210">INDEX('Control panel'!$E$17:$E$19,MATCH($F$210,'Control panel'!$C$17:$C$19,0),0)</f>
        <v>2.0035308778415004</v>
      </c>
      <c r="AA210" s="181" cm="1">
        <f t="array" ref="AA210">INDEX('Control panel'!$E$17:$E$19,MATCH($F$210,'Control panel'!$C$17:$C$19,0),0)</f>
        <v>2.0035308778415004</v>
      </c>
      <c r="AB210" s="181" cm="1">
        <f t="array" ref="AB210">INDEX('Control panel'!$E$17:$E$19,MATCH($F$210,'Control panel'!$C$17:$C$19,0),0)</f>
        <v>2.0035308778415004</v>
      </c>
      <c r="AC210" s="181" cm="1">
        <f t="array" ref="AC210">INDEX('Control panel'!$E$17:$E$19,MATCH($F$210,'Control panel'!$C$17:$C$19,0),0)</f>
        <v>2.0035308778415004</v>
      </c>
      <c r="AD210" s="181" cm="1">
        <f t="array" ref="AD210">INDEX('Control panel'!$E$17:$E$19,MATCH($F$210,'Control panel'!$C$17:$C$19,0),0)</f>
        <v>2.0035308778415004</v>
      </c>
      <c r="AE210" s="181" cm="1">
        <f t="array" ref="AE210">INDEX('Control panel'!$E$17:$E$19,MATCH($F$210,'Control panel'!$C$17:$C$19,0),0)</f>
        <v>2.0035308778415004</v>
      </c>
      <c r="AF210" s="181" cm="1">
        <f t="array" ref="AF210">INDEX('Control panel'!$E$17:$E$19,MATCH($F$210,'Control panel'!$C$17:$C$19,0),0)</f>
        <v>2.0035308778415004</v>
      </c>
      <c r="AG210" s="181" cm="1">
        <f t="array" ref="AG210">INDEX('Control panel'!$E$17:$E$19,MATCH($F$210,'Control panel'!$C$17:$C$19,0),0)</f>
        <v>2.0035308778415004</v>
      </c>
      <c r="AH210" s="181" cm="1">
        <f t="array" ref="AH210">INDEX('Control panel'!$E$17:$E$19,MATCH($F$210,'Control panel'!$C$17:$C$19,0),0)</f>
        <v>2.0035308778415004</v>
      </c>
      <c r="AI210" s="181" cm="1">
        <f t="array" ref="AI210">INDEX('Control panel'!$E$17:$E$19,MATCH($F$210,'Control panel'!$C$17:$C$19,0),0)</f>
        <v>2.0035308778415004</v>
      </c>
      <c r="AJ210" s="181" cm="1">
        <f t="array" ref="AJ210">INDEX('Control panel'!$E$17:$E$19,MATCH($F$210,'Control panel'!$C$17:$C$19,0),0)</f>
        <v>2.0035308778415004</v>
      </c>
      <c r="AK210" s="181" cm="1">
        <f t="array" ref="AK210">INDEX('Control panel'!$E$17:$E$19,MATCH($F$210,'Control panel'!$C$17:$C$19,0),0)</f>
        <v>2.0035308778415004</v>
      </c>
      <c r="AL210" s="181" cm="1">
        <f t="array" ref="AL210">INDEX('Control panel'!$E$17:$E$19,MATCH($F$210,'Control panel'!$C$17:$C$19,0),0)</f>
        <v>2.0035308778415004</v>
      </c>
      <c r="AM210" s="181" cm="1">
        <f t="array" ref="AM210">INDEX('Control panel'!$E$17:$E$19,MATCH($F$210,'Control panel'!$C$17:$C$19,0),0)</f>
        <v>2.0035308778415004</v>
      </c>
      <c r="AN210" s="181" cm="1">
        <f t="array" ref="AN210">INDEX('Control panel'!$E$17:$E$19,MATCH($F$210,'Control panel'!$C$17:$C$19,0),0)</f>
        <v>2.0035308778415004</v>
      </c>
      <c r="AO210" s="181" cm="1">
        <f t="array" ref="AO210">INDEX('Control panel'!$E$17:$E$19,MATCH($F$210,'Control panel'!$C$17:$C$19,0),0)</f>
        <v>2.0035308778415004</v>
      </c>
      <c r="AP210" s="29"/>
    </row>
    <row r="211" spans="1:42" outlineLevel="1" x14ac:dyDescent="0.25">
      <c r="A211" s="12"/>
      <c r="B211" s="13"/>
      <c r="C211" s="45" t="s">
        <v>120</v>
      </c>
      <c r="D211" s="45"/>
      <c r="E211" s="15" t="s">
        <v>318</v>
      </c>
      <c r="F211" s="158" t="str">
        <f>Dashboard!$I$63</f>
        <v>3 Axle Double Decker Bus</v>
      </c>
      <c r="G211" s="14"/>
      <c r="H211" s="62"/>
      <c r="I211" s="177">
        <f>IF($C$211=$F$211,I$189*Data!$E$207*Data!H$61,0)*(1+I210)*(1+Data!$E$93)</f>
        <v>0</v>
      </c>
      <c r="J211" s="177">
        <f>IF($C$211=$F$211,J$189*Data!$E$207*Data!I$61,0)*(1+J210)*(1+Data!$E$93)</f>
        <v>0</v>
      </c>
      <c r="K211" s="177">
        <f>IF($C$211=$F$211,K$189*Data!$E$207*Data!J$61,0)*(1+K210)*(1+Data!$E$93)</f>
        <v>0</v>
      </c>
      <c r="L211" s="177">
        <f>IF($C$211=$F$211,L$189*Data!$E$207*Data!K$61,0)*(1+L210)*(1+Data!$E$93)</f>
        <v>0</v>
      </c>
      <c r="M211" s="177">
        <f>IF($C$211=$F$211,M$189*Data!$E$207*Data!L$61,0)*(1+M210)*(1+Data!$E$93)</f>
        <v>0</v>
      </c>
      <c r="N211" s="177">
        <f>IF($C$211=$F$211,N$189*Data!$E$207*Data!M$61,0)*(1+N210)*(1+Data!$E$93)</f>
        <v>0</v>
      </c>
      <c r="O211" s="177">
        <f>IF($C$211=$F$211,O$189*Data!$E$207*Data!N$61,0)*(1+O210)*(1+Data!$E$93)</f>
        <v>0</v>
      </c>
      <c r="P211" s="177">
        <f>IF($C$211=$F$211,P$189*Data!$E$207*Data!O$61,0)*(1+P210)*(1+Data!$E$93)</f>
        <v>0</v>
      </c>
      <c r="Q211" s="177">
        <f>IF($C$211=$F$211,Q$189*Data!$E$207*Data!P$61,0)*(1+Q210)*(1+Data!$E$93)</f>
        <v>0</v>
      </c>
      <c r="R211" s="177">
        <f>IF($C$211=$F$211,R$189*Data!$E$207*Data!Q$61,0)*(1+R210)*(1+Data!$E$93)</f>
        <v>0</v>
      </c>
      <c r="S211" s="177">
        <f>IF($C$211=$F$211,S$189*Data!$E$207*Data!R$61,0)*(1+S210)*(1+Data!$E$93)</f>
        <v>0</v>
      </c>
      <c r="T211" s="177">
        <f>IF($C$211=$F$211,T$189*Data!$E$207*Data!S$61,0)*(1+T210)*(1+Data!$E$93)</f>
        <v>0</v>
      </c>
      <c r="U211" s="177">
        <f>IF($C$211=$F$211,U$189*Data!$E$207*Data!T$61,0)*(1+U210)*(1+Data!$E$93)</f>
        <v>0</v>
      </c>
      <c r="V211" s="177">
        <f>IF($C$211=$F$211,V$189*Data!$E$207*Data!U$61,0)*(1+V210)*(1+Data!$E$93)</f>
        <v>0</v>
      </c>
      <c r="W211" s="177">
        <f>IF($C$211=$F$211,W$189*Data!$E$207*Data!V$61,0)*(1+W210)*(1+Data!$E$93)</f>
        <v>0</v>
      </c>
      <c r="X211" s="177">
        <f>IF($C$211=$F$211,X$189*Data!$E$207*Data!W$61,0)*(1+X210)*(1+Data!$E$93)</f>
        <v>0</v>
      </c>
      <c r="Y211" s="177">
        <f>IF($C$211=$F$211,Y$189*Data!$E$207*Data!X$61,0)*(1+Y210)*(1+Data!$E$93)</f>
        <v>0</v>
      </c>
      <c r="Z211" s="177">
        <f>IF($C$211=$F$211,Z$189*Data!$E$207*Data!Y$61,0)*(1+Z210)*(1+Data!$E$93)</f>
        <v>0</v>
      </c>
      <c r="AA211" s="177">
        <f>IF($C$211=$F$211,AA$189*Data!$E$207*Data!Z$61,0)*(1+AA210)*(1+Data!$E$93)</f>
        <v>0</v>
      </c>
      <c r="AB211" s="177">
        <f>IF($C$211=$F$211,AB$189*Data!$E$207*Data!AA$61,0)*(1+AB210)*(1+Data!$E$93)</f>
        <v>0</v>
      </c>
      <c r="AC211" s="177">
        <f>IF($C$211=$F$211,AC$189*Data!$E$207*Data!AB$61,0)*(1+AC210)*(1+Data!$E$93)</f>
        <v>0</v>
      </c>
      <c r="AD211" s="177">
        <f>IF($C$211=$F$211,AD$189*Data!$E$207*Data!AC$61,0)*(1+AD210)*(1+Data!$E$93)</f>
        <v>0</v>
      </c>
      <c r="AE211" s="177">
        <f>IF($C$211=$F$211,AE$189*Data!$E$207*Data!AD$61,0)*(1+AE210)*(1+Data!$E$93)</f>
        <v>0</v>
      </c>
      <c r="AF211" s="177">
        <f>IF($C$211=$F$211,AF$189*Data!$E$207*Data!AE$61,0)*(1+AF210)*(1+Data!$E$93)</f>
        <v>0</v>
      </c>
      <c r="AG211" s="177">
        <f>IF($C$211=$F$211,AG$189*Data!$E$207*Data!AF$61,0)*(1+AG210)*(1+Data!$E$93)</f>
        <v>0</v>
      </c>
      <c r="AH211" s="177">
        <f>IF($C$211=$F$211,AH$189*Data!$E$207*Data!AG$61,0)*(1+AH210)*(1+Data!$E$93)</f>
        <v>0</v>
      </c>
      <c r="AI211" s="177">
        <f>IF($C$211=$F$211,AI$189*Data!$E$207*Data!AH$61,0)*(1+AI210)*(1+Data!$E$93)</f>
        <v>0</v>
      </c>
      <c r="AJ211" s="177">
        <f>IF($C$211=$F$211,AJ$189*Data!$E$207*Data!AI$61,0)*(1+AJ210)*(1+Data!$E$93)</f>
        <v>0</v>
      </c>
      <c r="AK211" s="177">
        <f>IF($C$211=$F$211,AK$189*Data!$E$207*Data!AJ$61,0)*(1+AK210)*(1+Data!$E$93)</f>
        <v>0</v>
      </c>
      <c r="AL211" s="177">
        <f>IF($C$211=$F$211,AL$189*Data!$E$207*Data!AK$61,0)*(1+AL210)*(1+Data!$E$93)</f>
        <v>0</v>
      </c>
      <c r="AM211" s="177">
        <f>IF($C$211=$F$211,AM$189*Data!$E$207*Data!AL$61,0)*(1+AM210)*(1+Data!$E$93)</f>
        <v>0</v>
      </c>
      <c r="AN211" s="177">
        <f>IF($C$211=$F$211,AN$189*Data!$E$207*Data!AM$61,0)*(1+AN210)*(1+Data!$E$93)</f>
        <v>0</v>
      </c>
      <c r="AO211" s="177">
        <f>IF($C$211=$F$211,AO$189*Data!$E$207*Data!AN$61,0)*(1+AO210)*(1+Data!$E$93)</f>
        <v>0</v>
      </c>
      <c r="AP211" s="29"/>
    </row>
    <row r="212" spans="1:42" outlineLevel="1" x14ac:dyDescent="0.25">
      <c r="A212" s="12"/>
      <c r="B212" s="13"/>
      <c r="C212" s="45" t="s">
        <v>124</v>
      </c>
      <c r="D212" s="45"/>
      <c r="E212" s="15" t="s">
        <v>318</v>
      </c>
      <c r="F212" s="158" t="str">
        <f>Dashboard!$I$63</f>
        <v>3 Axle Double Decker Bus</v>
      </c>
      <c r="G212" s="14"/>
      <c r="H212" s="62"/>
      <c r="I212" s="177">
        <f>IF($C$212=$F$212,I$189*Data!$E$208*Data!H$61,0)*(1+I210)*(1+Data!$E$93)</f>
        <v>0</v>
      </c>
      <c r="J212" s="177">
        <f>IF($C$212=$F$212,J$189*Data!$E$208*Data!I$61,0)*(1+J210)*(1+Data!$E$93)</f>
        <v>0</v>
      </c>
      <c r="K212" s="177">
        <f>IF($C$212=$F$212,K$189*Data!$E$208*Data!J$61,0)*(1+K210)*(1+Data!$E$93)</f>
        <v>0</v>
      </c>
      <c r="L212" s="177">
        <f>IF($C$212=$F$212,L$189*Data!$E$208*Data!K$61,0)*(1+L210)*(1+Data!$E$93)</f>
        <v>0</v>
      </c>
      <c r="M212" s="177">
        <f>IF($C$212=$F$212,M$189*Data!$E$208*Data!L$61,0)*(1+M210)*(1+Data!$E$93)</f>
        <v>0</v>
      </c>
      <c r="N212" s="177">
        <f>IF($C$212=$F$212,N$189*Data!$E$208*Data!M$61,0)*(1+N210)*(1+Data!$E$93)</f>
        <v>0</v>
      </c>
      <c r="O212" s="177">
        <f>IF($C$212=$F$212,O$189*Data!$E$208*Data!N$61,0)*(1+O210)*(1+Data!$E$93)</f>
        <v>0</v>
      </c>
      <c r="P212" s="177">
        <f>IF($C$212=$F$212,P$189*Data!$E$208*Data!O$61,0)*(1+P210)*(1+Data!$E$93)</f>
        <v>0</v>
      </c>
      <c r="Q212" s="177">
        <f>IF($C$212=$F$212,Q$189*Data!$E$208*Data!P$61,0)*(1+Q210)*(1+Data!$E$93)</f>
        <v>0</v>
      </c>
      <c r="R212" s="177">
        <f>IF($C$212=$F$212,R$189*Data!$E$208*Data!Q$61,0)*(1+R210)*(1+Data!$E$93)</f>
        <v>0</v>
      </c>
      <c r="S212" s="177">
        <f>IF($C$212=$F$212,S$189*Data!$E$208*Data!R$61,0)*(1+S210)*(1+Data!$E$93)</f>
        <v>0</v>
      </c>
      <c r="T212" s="177">
        <f>IF($C$212=$F$212,T$189*Data!$E$208*Data!S$61,0)*(1+T210)*(1+Data!$E$93)</f>
        <v>0</v>
      </c>
      <c r="U212" s="177">
        <f>IF($C$212=$F$212,U$189*Data!$E$208*Data!T$61,0)*(1+U210)*(1+Data!$E$93)</f>
        <v>0</v>
      </c>
      <c r="V212" s="177">
        <f>IF($C$212=$F$212,V$189*Data!$E$208*Data!U$61,0)*(1+V210)*(1+Data!$E$93)</f>
        <v>0</v>
      </c>
      <c r="W212" s="177">
        <f>IF($C$212=$F$212,W$189*Data!$E$208*Data!V$61,0)*(1+W210)*(1+Data!$E$93)</f>
        <v>0</v>
      </c>
      <c r="X212" s="177">
        <f>IF($C$212=$F$212,X$189*Data!$E$208*Data!W$61,0)*(1+X210)*(1+Data!$E$93)</f>
        <v>0</v>
      </c>
      <c r="Y212" s="177">
        <f>IF($C$212=$F$212,Y$189*Data!$E$208*Data!X$61,0)*(1+Y210)*(1+Data!$E$93)</f>
        <v>0</v>
      </c>
      <c r="Z212" s="177">
        <f>IF($C$212=$F$212,Z$189*Data!$E$208*Data!Y$61,0)*(1+Z210)*(1+Data!$E$93)</f>
        <v>0</v>
      </c>
      <c r="AA212" s="177">
        <f>IF($C$212=$F$212,AA$189*Data!$E$208*Data!Z$61,0)*(1+AA210)*(1+Data!$E$93)</f>
        <v>0</v>
      </c>
      <c r="AB212" s="177">
        <f>IF($C$212=$F$212,AB$189*Data!$E$208*Data!AA$61,0)*(1+AB210)*(1+Data!$E$93)</f>
        <v>0</v>
      </c>
      <c r="AC212" s="177">
        <f>IF($C$212=$F$212,AC$189*Data!$E$208*Data!AB$61,0)*(1+AC210)*(1+Data!$E$93)</f>
        <v>0</v>
      </c>
      <c r="AD212" s="177">
        <f>IF($C$212=$F$212,AD$189*Data!$E$208*Data!AC$61,0)*(1+AD210)*(1+Data!$E$93)</f>
        <v>0</v>
      </c>
      <c r="AE212" s="177">
        <f>IF($C$212=$F$212,AE$189*Data!$E$208*Data!AD$61,0)*(1+AE210)*(1+Data!$E$93)</f>
        <v>0</v>
      </c>
      <c r="AF212" s="177">
        <f>IF($C$212=$F$212,AF$189*Data!$E$208*Data!AE$61,0)*(1+AF210)*(1+Data!$E$93)</f>
        <v>0</v>
      </c>
      <c r="AG212" s="177">
        <f>IF($C$212=$F$212,AG$189*Data!$E$208*Data!AF$61,0)*(1+AG210)*(1+Data!$E$93)</f>
        <v>0</v>
      </c>
      <c r="AH212" s="177">
        <f>IF($C$212=$F$212,AH$189*Data!$E$208*Data!AG$61,0)*(1+AH210)*(1+Data!$E$93)</f>
        <v>0</v>
      </c>
      <c r="AI212" s="177">
        <f>IF($C$212=$F$212,AI$189*Data!$E$208*Data!AH$61,0)*(1+AI210)*(1+Data!$E$93)</f>
        <v>0</v>
      </c>
      <c r="AJ212" s="177">
        <f>IF($C$212=$F$212,AJ$189*Data!$E$208*Data!AI$61,0)*(1+AJ210)*(1+Data!$E$93)</f>
        <v>0</v>
      </c>
      <c r="AK212" s="177">
        <f>IF($C$212=$F$212,AK$189*Data!$E$208*Data!AJ$61,0)*(1+AK210)*(1+Data!$E$93)</f>
        <v>0</v>
      </c>
      <c r="AL212" s="177">
        <f>IF($C$212=$F$212,AL$189*Data!$E$208*Data!AK$61,0)*(1+AL210)*(1+Data!$E$93)</f>
        <v>0</v>
      </c>
      <c r="AM212" s="177">
        <f>IF($C$212=$F$212,AM$189*Data!$E$208*Data!AL$61,0)*(1+AM210)*(1+Data!$E$93)</f>
        <v>0</v>
      </c>
      <c r="AN212" s="177">
        <f>IF($C$212=$F$212,AN$189*Data!$E$208*Data!AM$61,0)*(1+AN210)*(1+Data!$E$93)</f>
        <v>0</v>
      </c>
      <c r="AO212" s="177">
        <f>IF($C$212=$F$212,AO$189*Data!$E$208*Data!AN$61,0)*(1+AO210)*(1+Data!$E$93)</f>
        <v>0</v>
      </c>
      <c r="AP212" s="29"/>
    </row>
    <row r="213" spans="1:42" outlineLevel="1" x14ac:dyDescent="0.25">
      <c r="A213" s="12"/>
      <c r="B213" s="13"/>
      <c r="C213" s="45" t="s">
        <v>126</v>
      </c>
      <c r="D213" s="45"/>
      <c r="E213" s="15" t="s">
        <v>318</v>
      </c>
      <c r="F213" s="158" t="str">
        <f>Dashboard!$I$63</f>
        <v>3 Axle Double Decker Bus</v>
      </c>
      <c r="G213" s="14"/>
      <c r="H213" s="62"/>
      <c r="I213" s="177">
        <f>IF($C$213=$F$213,I$189*Data!$E$209*Data!H$61,0)*(1+I210)*(1+Data!$E$93)</f>
        <v>273960.02235706022</v>
      </c>
      <c r="J213" s="177">
        <f>IF($C$213=$F$213,J$189*Data!$E$209*Data!I$61,0)*(1+J210)*(1+Data!$E$93)</f>
        <v>218855.84528772609</v>
      </c>
      <c r="K213" s="177">
        <f>IF($C$213=$F$213,K$189*Data!$E$209*Data!J$61,0)*(1+K210)*(1+Data!$E$93)</f>
        <v>218855.84528772609</v>
      </c>
      <c r="L213" s="177">
        <f>IF($C$213=$F$213,L$189*Data!$E$209*Data!K$61,0)*(1+L210)*(1+Data!$E$93)</f>
        <v>218855.84528772609</v>
      </c>
      <c r="M213" s="177">
        <f>IF($C$213=$F$213,M$189*Data!$E$209*Data!L$61,0)*(1+M210)*(1+Data!$E$93)</f>
        <v>218855.84528772609</v>
      </c>
      <c r="N213" s="177">
        <f>IF($C$213=$F$213,N$189*Data!$E$209*Data!M$61,0)*(1+N210)*(1+Data!$E$93)</f>
        <v>218855.84528772609</v>
      </c>
      <c r="O213" s="177">
        <f>IF($C$213=$F$213,O$189*Data!$E$209*Data!N$61,0)*(1+O210)*(1+Data!$E$93)</f>
        <v>218855.84528772609</v>
      </c>
      <c r="P213" s="177">
        <f>IF($C$213=$F$213,P$189*Data!$E$209*Data!O$61,0)*(1+P210)*(1+Data!$E$93)</f>
        <v>218855.84528772609</v>
      </c>
      <c r="Q213" s="177">
        <f>IF($C$213=$F$213,Q$189*Data!$E$209*Data!P$61,0)*(1+Q210)*(1+Data!$E$93)</f>
        <v>218855.84528772609</v>
      </c>
      <c r="R213" s="177">
        <f>IF($C$213=$F$213,R$189*Data!$E$209*Data!Q$61,0)*(1+R210)*(1+Data!$E$93)</f>
        <v>218855.84528772609</v>
      </c>
      <c r="S213" s="177">
        <f>IF($C$213=$F$213,S$189*Data!$E$209*Data!R$61,0)*(1+S210)*(1+Data!$E$93)</f>
        <v>218855.84528772609</v>
      </c>
      <c r="T213" s="177">
        <f>IF($C$213=$F$213,T$189*Data!$E$209*Data!S$61,0)*(1+T210)*(1+Data!$E$93)</f>
        <v>218855.84528772609</v>
      </c>
      <c r="U213" s="177">
        <f>IF($C$213=$F$213,U$189*Data!$E$209*Data!T$61,0)*(1+U210)*(1+Data!$E$93)</f>
        <v>0</v>
      </c>
      <c r="V213" s="177">
        <f>IF($C$213=$F$213,V$189*Data!$E$209*Data!U$61,0)*(1+V210)*(1+Data!$E$93)</f>
        <v>0</v>
      </c>
      <c r="W213" s="177">
        <f>IF($C$213=$F$213,W$189*Data!$E$209*Data!V$61,0)*(1+W210)*(1+Data!$E$93)</f>
        <v>0</v>
      </c>
      <c r="X213" s="177">
        <f>IF($C$213=$F$213,X$189*Data!$E$209*Data!W$61,0)*(1+X210)*(1+Data!$E$93)</f>
        <v>0</v>
      </c>
      <c r="Y213" s="177">
        <f>IF($C$213=$F$213,Y$189*Data!$E$209*Data!X$61,0)*(1+Y210)*(1+Data!$E$93)</f>
        <v>0</v>
      </c>
      <c r="Z213" s="177">
        <f>IF($C$213=$F$213,Z$189*Data!$E$209*Data!Y$61,0)*(1+Z210)*(1+Data!$E$93)</f>
        <v>0</v>
      </c>
      <c r="AA213" s="177">
        <f>IF($C$213=$F$213,AA$189*Data!$E$209*Data!Z$61,0)*(1+AA210)*(1+Data!$E$93)</f>
        <v>0</v>
      </c>
      <c r="AB213" s="177">
        <f>IF($C$213=$F$213,AB$189*Data!$E$209*Data!AA$61,0)*(1+AB210)*(1+Data!$E$93)</f>
        <v>0</v>
      </c>
      <c r="AC213" s="177">
        <f>IF($C$213=$F$213,AC$189*Data!$E$209*Data!AB$61,0)*(1+AC210)*(1+Data!$E$93)</f>
        <v>0</v>
      </c>
      <c r="AD213" s="177">
        <f>IF($C$213=$F$213,AD$189*Data!$E$209*Data!AC$61,0)*(1+AD210)*(1+Data!$E$93)</f>
        <v>0</v>
      </c>
      <c r="AE213" s="177">
        <f>IF($C$213=$F$213,AE$189*Data!$E$209*Data!AD$61,0)*(1+AE210)*(1+Data!$E$93)</f>
        <v>0</v>
      </c>
      <c r="AF213" s="177">
        <f>IF($C$213=$F$213,AF$189*Data!$E$209*Data!AE$61,0)*(1+AF210)*(1+Data!$E$93)</f>
        <v>0</v>
      </c>
      <c r="AG213" s="177">
        <f>IF($C$213=$F$213,AG$189*Data!$E$209*Data!AF$61,0)*(1+AG210)*(1+Data!$E$93)</f>
        <v>0</v>
      </c>
      <c r="AH213" s="177">
        <f>IF($C$213=$F$213,AH$189*Data!$E$209*Data!AG$61,0)*(1+AH210)*(1+Data!$E$93)</f>
        <v>0</v>
      </c>
      <c r="AI213" s="177">
        <f>IF($C$213=$F$213,AI$189*Data!$E$209*Data!AH$61,0)*(1+AI210)*(1+Data!$E$93)</f>
        <v>0</v>
      </c>
      <c r="AJ213" s="177">
        <f>IF($C$213=$F$213,AJ$189*Data!$E$209*Data!AI$61,0)*(1+AJ210)*(1+Data!$E$93)</f>
        <v>0</v>
      </c>
      <c r="AK213" s="177">
        <f>IF($C$213=$F$213,AK$189*Data!$E$209*Data!AJ$61,0)*(1+AK210)*(1+Data!$E$93)</f>
        <v>0</v>
      </c>
      <c r="AL213" s="177">
        <f>IF($C$213=$F$213,AL$189*Data!$E$209*Data!AK$61,0)*(1+AL210)*(1+Data!$E$93)</f>
        <v>0</v>
      </c>
      <c r="AM213" s="177">
        <f>IF($C$213=$F$213,AM$189*Data!$E$209*Data!AL$61,0)*(1+AM210)*(1+Data!$E$93)</f>
        <v>0</v>
      </c>
      <c r="AN213" s="177">
        <f>IF($C$213=$F$213,AN$189*Data!$E$209*Data!AM$61,0)*(1+AN210)*(1+Data!$E$93)</f>
        <v>0</v>
      </c>
      <c r="AO213" s="177">
        <f>IF($C$213=$F$213,AO$189*Data!$E$209*Data!AN$61,0)*(1+AO210)*(1+Data!$E$93)</f>
        <v>0</v>
      </c>
      <c r="AP213" s="17"/>
    </row>
    <row r="214" spans="1:42" outlineLevel="1" x14ac:dyDescent="0.25">
      <c r="A214" s="12"/>
      <c r="B214" s="13"/>
      <c r="C214" s="44"/>
      <c r="D214" s="44"/>
      <c r="E214" s="15"/>
      <c r="F214" s="16"/>
      <c r="G214" s="14"/>
      <c r="H214" s="46"/>
      <c r="I214" s="96"/>
      <c r="J214" s="96"/>
      <c r="K214" s="96"/>
      <c r="L214" s="96"/>
      <c r="M214" s="96"/>
      <c r="N214" s="96"/>
      <c r="O214" s="96"/>
      <c r="P214" s="96"/>
      <c r="Q214" s="96"/>
      <c r="R214" s="96"/>
      <c r="S214" s="96"/>
      <c r="T214" s="96"/>
      <c r="U214" s="96"/>
      <c r="V214" s="96"/>
      <c r="W214" s="96"/>
      <c r="X214" s="96"/>
      <c r="Y214" s="96"/>
      <c r="Z214" s="96"/>
      <c r="AA214" s="96"/>
      <c r="AB214" s="96"/>
      <c r="AC214" s="46"/>
      <c r="AD214" s="46"/>
      <c r="AE214" s="46"/>
      <c r="AF214" s="46"/>
      <c r="AG214" s="46"/>
      <c r="AH214" s="46"/>
      <c r="AI214" s="46"/>
      <c r="AJ214" s="46"/>
      <c r="AK214" s="46"/>
      <c r="AL214" s="46"/>
      <c r="AM214" s="46"/>
      <c r="AN214" s="46"/>
      <c r="AO214" s="46"/>
      <c r="AP214" s="17"/>
    </row>
    <row r="215" spans="1:42" outlineLevel="1" x14ac:dyDescent="0.25">
      <c r="A215" s="12"/>
      <c r="B215" s="13"/>
      <c r="C215" s="19" t="s">
        <v>512</v>
      </c>
      <c r="D215" s="45"/>
      <c r="E215" s="15"/>
      <c r="F215" s="158"/>
      <c r="G215" s="14"/>
      <c r="H215" s="28"/>
      <c r="I215" s="182">
        <f>SUM(I202:I204)+I206+I207+SUM(I211:I213)</f>
        <v>468150.60521420307</v>
      </c>
      <c r="J215" s="182">
        <f t="shared" ref="J215:W215" si="32">SUM(J202:J204)+J206+J207+SUM(J211:J213)</f>
        <v>413046.42814486893</v>
      </c>
      <c r="K215" s="182">
        <f t="shared" si="32"/>
        <v>413046.42814486893</v>
      </c>
      <c r="L215" s="182">
        <f t="shared" si="32"/>
        <v>413046.42814486893</v>
      </c>
      <c r="M215" s="182">
        <f t="shared" si="32"/>
        <v>413046.42814486893</v>
      </c>
      <c r="N215" s="182">
        <f t="shared" si="32"/>
        <v>413046.42814486893</v>
      </c>
      <c r="O215" s="182">
        <f t="shared" si="32"/>
        <v>413046.42814486893</v>
      </c>
      <c r="P215" s="182">
        <f t="shared" si="32"/>
        <v>413046.42814486893</v>
      </c>
      <c r="Q215" s="182">
        <f t="shared" si="32"/>
        <v>413046.42814486893</v>
      </c>
      <c r="R215" s="182">
        <f t="shared" si="32"/>
        <v>413046.42814486893</v>
      </c>
      <c r="S215" s="182">
        <f t="shared" si="32"/>
        <v>413046.42814486893</v>
      </c>
      <c r="T215" s="182">
        <f t="shared" si="32"/>
        <v>413046.42814486893</v>
      </c>
      <c r="U215" s="182">
        <f t="shared" si="32"/>
        <v>0</v>
      </c>
      <c r="V215" s="182">
        <f t="shared" si="32"/>
        <v>0</v>
      </c>
      <c r="W215" s="182">
        <f t="shared" si="32"/>
        <v>0</v>
      </c>
      <c r="X215" s="182">
        <f t="shared" ref="X215:AB215" si="33">SUM(X202:X204)+X206+X207+SUM(X211:X213)</f>
        <v>0</v>
      </c>
      <c r="Y215" s="182">
        <f t="shared" si="33"/>
        <v>0</v>
      </c>
      <c r="Z215" s="182">
        <f t="shared" si="33"/>
        <v>0</v>
      </c>
      <c r="AA215" s="182">
        <f t="shared" si="33"/>
        <v>0</v>
      </c>
      <c r="AB215" s="182">
        <f t="shared" si="33"/>
        <v>0</v>
      </c>
      <c r="AC215" s="28"/>
      <c r="AD215" s="28"/>
      <c r="AE215" s="28"/>
      <c r="AF215" s="28"/>
      <c r="AG215" s="28"/>
      <c r="AH215" s="28"/>
      <c r="AI215" s="28"/>
      <c r="AJ215" s="28"/>
      <c r="AK215" s="28"/>
      <c r="AL215" s="28"/>
      <c r="AM215" s="28"/>
      <c r="AN215" s="28"/>
      <c r="AO215" s="28"/>
      <c r="AP215" s="29"/>
    </row>
    <row r="216" spans="1:42" outlineLevel="1" x14ac:dyDescent="0.25">
      <c r="A216" s="12"/>
      <c r="B216" s="13"/>
      <c r="C216" s="45"/>
      <c r="D216" s="45"/>
      <c r="E216" s="15"/>
      <c r="F216" s="16"/>
      <c r="G216" s="14"/>
      <c r="H216" s="28"/>
      <c r="I216" s="177"/>
      <c r="J216" s="177"/>
      <c r="K216" s="177"/>
      <c r="L216" s="177"/>
      <c r="M216" s="177"/>
      <c r="N216" s="177"/>
      <c r="O216" s="177"/>
      <c r="P216" s="177"/>
      <c r="Q216" s="177"/>
      <c r="R216" s="177"/>
      <c r="S216" s="177"/>
      <c r="T216" s="177"/>
      <c r="U216" s="177"/>
      <c r="V216" s="177"/>
      <c r="W216" s="177"/>
      <c r="X216" s="28"/>
      <c r="Y216" s="28"/>
      <c r="Z216" s="28"/>
      <c r="AA216" s="28"/>
      <c r="AB216" s="28"/>
      <c r="AC216" s="28"/>
      <c r="AD216" s="28"/>
      <c r="AE216" s="28"/>
      <c r="AF216" s="28"/>
      <c r="AG216" s="28"/>
      <c r="AH216" s="28"/>
      <c r="AI216" s="28"/>
      <c r="AJ216" s="28"/>
      <c r="AK216" s="28"/>
      <c r="AL216" s="28"/>
      <c r="AM216" s="28"/>
      <c r="AN216" s="28"/>
      <c r="AO216" s="28"/>
      <c r="AP216" s="29"/>
    </row>
    <row r="217" spans="1:42" outlineLevel="1" x14ac:dyDescent="0.25">
      <c r="A217" s="12"/>
      <c r="B217" s="13"/>
      <c r="C217" s="37" t="s">
        <v>513</v>
      </c>
      <c r="D217" s="37"/>
      <c r="E217" s="38"/>
      <c r="F217" s="39"/>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17"/>
    </row>
    <row r="218" spans="1:42" s="140" customFormat="1" outlineLevel="1" x14ac:dyDescent="0.25">
      <c r="A218" s="78"/>
      <c r="B218" s="19"/>
      <c r="C218" s="44" t="s">
        <v>249</v>
      </c>
      <c r="D218" s="44"/>
      <c r="E218" s="21" t="s">
        <v>142</v>
      </c>
      <c r="F218" s="375" t="str">
        <f>Dashboard!I63</f>
        <v>3 Axle Double Decker Bus</v>
      </c>
      <c r="G218" s="20"/>
      <c r="H218" s="49"/>
      <c r="I218" s="182">
        <f>-IF(COUNT($I$3:I$3)=(Dashboard!$I$31+1),INDEX(Data!$E$99:$E$101,MATCH('H2 Blending'!$F$218,Data!$B$99:$B$101,0)),0)</f>
        <v>0</v>
      </c>
      <c r="J218" s="182">
        <f>-IF(COUNT($I$3:J$3)=(Dashboard!$I$31+1),INDEX(Data!$E$99:$E$101,MATCH('H2 Blending'!$F$218,Data!$B$99:$B$101,0)),0)</f>
        <v>0</v>
      </c>
      <c r="K218" s="182">
        <f>-IF(COUNT($I$3:K$3)=(Dashboard!$I$31+1),INDEX(Data!$E$99:$E$101,MATCH('H2 Blending'!$F$218,Data!$B$99:$B$101,0)),0)</f>
        <v>0</v>
      </c>
      <c r="L218" s="182">
        <f>-IF(COUNT($I$3:L$3)=(Dashboard!$I$31+1),INDEX(Data!$E$99:$E$101,MATCH('H2 Blending'!$F$218,Data!$B$99:$B$101,0)),0)</f>
        <v>0</v>
      </c>
      <c r="M218" s="182">
        <f>-IF(COUNT($I$3:M$3)=(Dashboard!$I$31+1),INDEX(Data!$E$99:$E$101,MATCH('H2 Blending'!$F$218,Data!$B$99:$B$101,0)),0)</f>
        <v>0</v>
      </c>
      <c r="N218" s="182">
        <f>-IF(COUNT($I$3:N$3)=(Dashboard!$I$31+1),INDEX(Data!$E$99:$E$101,MATCH('H2 Blending'!$F$218,Data!$B$99:$B$101,0)),0)</f>
        <v>0</v>
      </c>
      <c r="O218" s="182">
        <f>-IF(COUNT($I$3:O$3)=(Dashboard!$I$31+1),INDEX(Data!$E$99:$E$101,MATCH('H2 Blending'!$F$218,Data!$B$99:$B$101,0)),0)</f>
        <v>0</v>
      </c>
      <c r="P218" s="182">
        <f>-IF(COUNT($I$3:P$3)=(Dashboard!$I$31+1),INDEX(Data!$E$99:$E$101,MATCH('H2 Blending'!$F$218,Data!$B$99:$B$101,0)),0)</f>
        <v>0</v>
      </c>
      <c r="Q218" s="182">
        <f>-IF(COUNT($I$3:Q$3)=(Dashboard!$I$31+1),INDEX(Data!$E$99:$E$101,MATCH('H2 Blending'!$F$218,Data!$B$99:$B$101,0)),0)</f>
        <v>0</v>
      </c>
      <c r="R218" s="182">
        <f>-IF(COUNT($I$3:R$3)=(Dashboard!$I$31+1),INDEX(Data!$E$99:$E$101,MATCH('H2 Blending'!$F$218,Data!$B$99:$B$101,0)),0)</f>
        <v>0</v>
      </c>
      <c r="S218" s="182">
        <f>-IF(COUNT($I$3:S$3)=(Dashboard!$I$31+1),INDEX(Data!$E$99:$E$101,MATCH('H2 Blending'!$F$218,Data!$B$99:$B$101,0)),0)</f>
        <v>0</v>
      </c>
      <c r="T218" s="182">
        <f>-IF(COUNT($I$3:T$3)=(Dashboard!$I$31+1),INDEX(Data!$E$99:$E$101,MATCH('H2 Blending'!$F$218,Data!$B$99:$B$101,0)),0)</f>
        <v>0</v>
      </c>
      <c r="U218" s="182">
        <f>-IF(COUNT($I$3:U$3)=(Dashboard!$I$31+1),INDEX(Data!$E$99:$E$101,MATCH('H2 Blending'!$F$218,Data!$B$99:$B$101,0)),0)</f>
        <v>-105000</v>
      </c>
      <c r="V218" s="182">
        <f>-IF(COUNT($I$3:V$3)=(Dashboard!$I$31+1),INDEX(Data!$E$99:$E$101,MATCH('H2 Blending'!$F$218,Data!$B$99:$B$101,0)),0)</f>
        <v>0</v>
      </c>
      <c r="W218" s="182">
        <f>-IF(COUNT($I$3:W$3)=(Dashboard!$I$31+1),INDEX(Data!$E$99:$E$101,MATCH('H2 Blending'!$F$218,Data!$B$99:$B$101,0)),0)</f>
        <v>0</v>
      </c>
      <c r="X218" s="182">
        <f>-IF(COUNT($I$3:X$3)=(Dashboard!$I$31+1),INDEX(Data!$E$99:$E$101,MATCH('H2 Blending'!$F$218,Data!$B$99:$B$101,0)),0)</f>
        <v>0</v>
      </c>
      <c r="Y218" s="182">
        <f>-IF(COUNT($I$3:Y$3)=(Dashboard!$I$31+1),INDEX(Data!$E$99:$E$101,MATCH('H2 Blending'!$F$218,Data!$B$99:$B$101,0)),0)</f>
        <v>0</v>
      </c>
      <c r="Z218" s="182">
        <f>-IF(COUNT($I$3:Z$3)=(Dashboard!$I$31+1),INDEX(Data!$E$99:$E$101,MATCH('H2 Blending'!$F$218,Data!$B$99:$B$101,0)),0)</f>
        <v>0</v>
      </c>
      <c r="AA218" s="182">
        <f>-IF(COUNT($I$3:AA$3)=(Dashboard!$I$31+1),INDEX(Data!$E$99:$E$101,MATCH('H2 Blending'!$F$218,Data!$B$99:$B$101,0)),0)</f>
        <v>0</v>
      </c>
      <c r="AB218" s="182">
        <f>-IF(COUNT($I$3:AB$3)=(Dashboard!$I$31+1),INDEX(Data!$E$99:$E$101,MATCH('H2 Blending'!$F$218,Data!$B$99:$B$101,0)),0)</f>
        <v>0</v>
      </c>
      <c r="AC218" s="182">
        <f>-IF(COUNT($I$3:AC$3)=(Dashboard!$I$31+1),INDEX(Data!$E$99:$E$101,MATCH('H2 Blending'!$F$218,Data!$B$99:$B$101,0)),0)</f>
        <v>0</v>
      </c>
      <c r="AD218" s="182">
        <f>-IF(COUNT($I$3:AD$3)=(Dashboard!$I$31+1),INDEX(Data!$E$99:$E$101,MATCH('H2 Blending'!$F$218,Data!$B$99:$B$101,0)),0)</f>
        <v>0</v>
      </c>
      <c r="AE218" s="182">
        <f>-IF(COUNT($I$3:AE$3)=(Dashboard!$I$31+1),INDEX(Data!$E$99:$E$101,MATCH('H2 Blending'!$F$218,Data!$B$99:$B$101,0)),0)</f>
        <v>0</v>
      </c>
      <c r="AF218" s="182">
        <f>-IF(COUNT($I$3:AF$3)=(Dashboard!$I$31+1),INDEX(Data!$E$99:$E$101,MATCH('H2 Blending'!$F$218,Data!$B$99:$B$101,0)),0)</f>
        <v>0</v>
      </c>
      <c r="AG218" s="182">
        <f>-IF(COUNT($I$3:AG$3)=(Dashboard!$I$31+1),INDEX(Data!$E$99:$E$101,MATCH('H2 Blending'!$F$218,Data!$B$99:$B$101,0)),0)</f>
        <v>0</v>
      </c>
      <c r="AH218" s="182">
        <f>-IF(COUNT($I$3:AH$3)=(Dashboard!$I$31+1),INDEX(Data!$E$99:$E$101,MATCH('H2 Blending'!$F$218,Data!$B$99:$B$101,0)),0)</f>
        <v>0</v>
      </c>
      <c r="AI218" s="182">
        <f>-IF(COUNT($I$3:AI$3)=(Dashboard!$I$31+1),INDEX(Data!$E$99:$E$101,MATCH('H2 Blending'!$F$218,Data!$B$99:$B$101,0)),0)</f>
        <v>0</v>
      </c>
      <c r="AJ218" s="182">
        <f>-IF(COUNT($I$3:AJ$3)=(Dashboard!$I$31+1),INDEX(Data!$E$99:$E$101,MATCH('H2 Blending'!$F$218,Data!$B$99:$B$101,0)),0)</f>
        <v>0</v>
      </c>
      <c r="AK218" s="182">
        <f>-IF(COUNT($I$3:AK$3)=(Dashboard!$I$31+1),INDEX(Data!$E$99:$E$101,MATCH('H2 Blending'!$F$218,Data!$B$99:$B$101,0)),0)</f>
        <v>0</v>
      </c>
      <c r="AL218" s="182">
        <f>-IF(COUNT($I$3:AL$3)=(Dashboard!$I$31+1),INDEX(Data!$E$99:$E$101,MATCH('H2 Blending'!$F$218,Data!$B$99:$B$101,0)),0)</f>
        <v>0</v>
      </c>
      <c r="AM218" s="182">
        <f>-IF(COUNT($I$3:AM$3)=(Dashboard!$I$31+1),INDEX(Data!$E$99:$E$101,MATCH('H2 Blending'!$F$218,Data!$B$99:$B$101,0)),0)</f>
        <v>0</v>
      </c>
      <c r="AN218" s="182">
        <f>-IF(COUNT($I$3:AN$3)=(Dashboard!$I$31+1),INDEX(Data!$E$99:$E$101,MATCH('H2 Blending'!$F$218,Data!$B$99:$B$101,0)),0)</f>
        <v>0</v>
      </c>
      <c r="AO218" s="182">
        <f>-IF(COUNT($I$3:AO$3)=(Dashboard!$I$31+1),INDEX(Data!$E$99:$E$101,MATCH('H2 Blending'!$F$218,Data!$B$99:$B$101,0)),0)</f>
        <v>0</v>
      </c>
      <c r="AP218" s="50"/>
    </row>
    <row r="219" spans="1:42" outlineLevel="1" x14ac:dyDescent="0.25">
      <c r="A219" s="12"/>
      <c r="B219" s="13"/>
      <c r="C219" s="14"/>
      <c r="D219" s="14"/>
      <c r="E219" s="15"/>
      <c r="F219" s="16"/>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7"/>
    </row>
    <row r="220" spans="1:42" outlineLevel="1" x14ac:dyDescent="0.25">
      <c r="A220" s="12"/>
      <c r="B220" s="13"/>
      <c r="C220" s="37" t="s">
        <v>479</v>
      </c>
      <c r="D220" s="37"/>
      <c r="E220" s="38" t="s">
        <v>54</v>
      </c>
      <c r="F220" s="39"/>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17"/>
    </row>
    <row r="221" spans="1:42" outlineLevel="1" x14ac:dyDescent="0.25">
      <c r="A221" s="12"/>
      <c r="B221" s="13"/>
      <c r="C221" s="14" t="s">
        <v>479</v>
      </c>
      <c r="D221" s="14"/>
      <c r="E221" s="15" t="s">
        <v>54</v>
      </c>
      <c r="F221" s="16"/>
      <c r="G221" s="96"/>
      <c r="H221" s="165"/>
      <c r="I221" s="165">
        <f>I215+I199+I218</f>
        <v>470179.5290656219</v>
      </c>
      <c r="J221" s="165">
        <f t="shared" ref="J221:AO221" si="34">J215+J199+J218</f>
        <v>415075.35199628776</v>
      </c>
      <c r="K221" s="165">
        <f t="shared" si="34"/>
        <v>415075.35199628776</v>
      </c>
      <c r="L221" s="165">
        <f t="shared" si="34"/>
        <v>415075.35199628776</v>
      </c>
      <c r="M221" s="165">
        <f t="shared" si="34"/>
        <v>415075.35199628776</v>
      </c>
      <c r="N221" s="165">
        <f t="shared" si="34"/>
        <v>415075.35199628776</v>
      </c>
      <c r="O221" s="165">
        <f t="shared" si="34"/>
        <v>415075.35199628776</v>
      </c>
      <c r="P221" s="165">
        <f t="shared" si="34"/>
        <v>415075.35199628776</v>
      </c>
      <c r="Q221" s="165">
        <f t="shared" si="34"/>
        <v>415075.35199628776</v>
      </c>
      <c r="R221" s="165">
        <f t="shared" si="34"/>
        <v>415075.35199628776</v>
      </c>
      <c r="S221" s="165">
        <f t="shared" si="34"/>
        <v>415075.35199628776</v>
      </c>
      <c r="T221" s="165">
        <f t="shared" si="34"/>
        <v>415075.35199628776</v>
      </c>
      <c r="U221" s="165">
        <f t="shared" si="34"/>
        <v>-105000</v>
      </c>
      <c r="V221" s="165">
        <f t="shared" si="34"/>
        <v>0</v>
      </c>
      <c r="W221" s="165">
        <f t="shared" si="34"/>
        <v>0</v>
      </c>
      <c r="X221" s="165">
        <f t="shared" si="34"/>
        <v>0</v>
      </c>
      <c r="Y221" s="165">
        <f t="shared" si="34"/>
        <v>0</v>
      </c>
      <c r="Z221" s="165">
        <f t="shared" si="34"/>
        <v>0</v>
      </c>
      <c r="AA221" s="165">
        <f t="shared" si="34"/>
        <v>0</v>
      </c>
      <c r="AB221" s="165">
        <f t="shared" si="34"/>
        <v>0</v>
      </c>
      <c r="AC221" s="165">
        <f t="shared" si="34"/>
        <v>0</v>
      </c>
      <c r="AD221" s="165">
        <f t="shared" si="34"/>
        <v>0</v>
      </c>
      <c r="AE221" s="165">
        <f t="shared" si="34"/>
        <v>0</v>
      </c>
      <c r="AF221" s="165">
        <f t="shared" si="34"/>
        <v>0</v>
      </c>
      <c r="AG221" s="165">
        <f t="shared" si="34"/>
        <v>0</v>
      </c>
      <c r="AH221" s="165">
        <f t="shared" si="34"/>
        <v>0</v>
      </c>
      <c r="AI221" s="165">
        <f t="shared" si="34"/>
        <v>0</v>
      </c>
      <c r="AJ221" s="165">
        <f t="shared" si="34"/>
        <v>0</v>
      </c>
      <c r="AK221" s="165">
        <f t="shared" si="34"/>
        <v>0</v>
      </c>
      <c r="AL221" s="165">
        <f t="shared" si="34"/>
        <v>0</v>
      </c>
      <c r="AM221" s="165">
        <f t="shared" si="34"/>
        <v>0</v>
      </c>
      <c r="AN221" s="165">
        <f t="shared" si="34"/>
        <v>0</v>
      </c>
      <c r="AO221" s="165">
        <f t="shared" si="34"/>
        <v>0</v>
      </c>
      <c r="AP221" s="29"/>
    </row>
    <row r="222" spans="1:42" s="140" customFormat="1" outlineLevel="1" x14ac:dyDescent="0.25">
      <c r="A222" s="78"/>
      <c r="B222" s="19"/>
      <c r="C222" s="20" t="s">
        <v>480</v>
      </c>
      <c r="D222" s="20"/>
      <c r="E222" s="15" t="s">
        <v>54</v>
      </c>
      <c r="F222" s="48"/>
      <c r="G222" s="95"/>
      <c r="H222" s="182"/>
      <c r="I222" s="182">
        <f>I221*Data!H$9</f>
        <v>452095.70102463639</v>
      </c>
      <c r="J222" s="182">
        <f>J221*Data!I$9</f>
        <v>383760.49555869796</v>
      </c>
      <c r="K222" s="182">
        <f>K221*Data!J$9</f>
        <v>369000.47649874806</v>
      </c>
      <c r="L222" s="182">
        <f>L221*Data!K$9</f>
        <v>354808.15047956543</v>
      </c>
      <c r="M222" s="182">
        <f>M221*Data!L$9</f>
        <v>341161.68315342825</v>
      </c>
      <c r="N222" s="182">
        <f>N221*Data!M$9</f>
        <v>328040.07995521947</v>
      </c>
      <c r="O222" s="182">
        <f>O221*Data!N$9</f>
        <v>315423.15380309569</v>
      </c>
      <c r="P222" s="182">
        <f>P221*Data!O$9</f>
        <v>303291.4940414381</v>
      </c>
      <c r="Q222" s="182">
        <f>Q221*Data!P$9</f>
        <v>291626.43657830579</v>
      </c>
      <c r="R222" s="182">
        <f>R221*Data!Q$9</f>
        <v>280410.0351714479</v>
      </c>
      <c r="S222" s="182">
        <f>S221*Data!R$9</f>
        <v>269625.03381869994</v>
      </c>
      <c r="T222" s="182">
        <f>T221*Data!S$9</f>
        <v>259254.84021028833</v>
      </c>
      <c r="U222" s="182">
        <f>U221*Data!T$9</f>
        <v>-63060.279044141193</v>
      </c>
      <c r="V222" s="182">
        <f>V221*Data!U$9</f>
        <v>0</v>
      </c>
      <c r="W222" s="182">
        <f>W221*Data!V$9</f>
        <v>0</v>
      </c>
      <c r="X222" s="182">
        <f>X221*Data!W$9</f>
        <v>0</v>
      </c>
      <c r="Y222" s="182">
        <f>Y221*Data!X$9</f>
        <v>0</v>
      </c>
      <c r="Z222" s="182">
        <f>Z221*Data!Y$9</f>
        <v>0</v>
      </c>
      <c r="AA222" s="182">
        <f>AA221*Data!Z$9</f>
        <v>0</v>
      </c>
      <c r="AB222" s="182">
        <f>AB221*Data!AA$9</f>
        <v>0</v>
      </c>
      <c r="AC222" s="182">
        <f>AC221*Data!AB$9</f>
        <v>0</v>
      </c>
      <c r="AD222" s="182">
        <f>AD221*Data!AC$9</f>
        <v>0</v>
      </c>
      <c r="AE222" s="182">
        <f>AE221*Data!AD$9</f>
        <v>0</v>
      </c>
      <c r="AF222" s="182">
        <f>AF221*Data!AE$9</f>
        <v>0</v>
      </c>
      <c r="AG222" s="182">
        <f>AG221*Data!AF$9</f>
        <v>0</v>
      </c>
      <c r="AH222" s="182">
        <f>AH221*Data!AG$9</f>
        <v>0</v>
      </c>
      <c r="AI222" s="182">
        <f>AI221*Data!AH$9</f>
        <v>0</v>
      </c>
      <c r="AJ222" s="182">
        <f>AJ221*Data!AI$9</f>
        <v>0</v>
      </c>
      <c r="AK222" s="182">
        <f>AK221*Data!AJ$9</f>
        <v>0</v>
      </c>
      <c r="AL222" s="182">
        <f>AL221*Data!AK$9</f>
        <v>0</v>
      </c>
      <c r="AM222" s="182">
        <f>AM221*Data!AL$9</f>
        <v>0</v>
      </c>
      <c r="AN222" s="182">
        <f>AN221*Data!AM$9</f>
        <v>0</v>
      </c>
      <c r="AO222" s="182">
        <f>AO221*Data!AN$9</f>
        <v>0</v>
      </c>
      <c r="AP222" s="50"/>
    </row>
    <row r="223" spans="1:42" outlineLevel="1" x14ac:dyDescent="0.25">
      <c r="A223" s="12"/>
      <c r="B223" s="13"/>
      <c r="C223" s="14" t="s">
        <v>479</v>
      </c>
      <c r="D223" s="14"/>
      <c r="E223" s="15" t="s">
        <v>142</v>
      </c>
      <c r="F223" s="16"/>
      <c r="G223" s="165">
        <f>SUM(H222:AO222)</f>
        <v>3885437.30124943</v>
      </c>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9"/>
    </row>
    <row r="224" spans="1:42" outlineLevel="1" x14ac:dyDescent="0.25">
      <c r="A224" s="12"/>
      <c r="B224" s="13"/>
      <c r="C224" s="44" t="s">
        <v>514</v>
      </c>
      <c r="D224" s="44"/>
      <c r="E224" s="15" t="s">
        <v>261</v>
      </c>
      <c r="F224" s="16"/>
      <c r="G224" s="183">
        <f>G223/SUM(I189:AO189)</f>
        <v>3.4592568565254895</v>
      </c>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7"/>
    </row>
    <row r="225" spans="1:42" outlineLevel="1" x14ac:dyDescent="0.25">
      <c r="A225" s="12"/>
      <c r="B225" s="13"/>
      <c r="C225" s="14"/>
      <c r="D225" s="14"/>
      <c r="E225" s="15"/>
      <c r="F225" s="16"/>
      <c r="G225" s="14"/>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17"/>
    </row>
    <row r="226" spans="1:42" outlineLevel="1" x14ac:dyDescent="0.25">
      <c r="A226" s="12"/>
      <c r="B226" s="13"/>
      <c r="C226" s="19"/>
      <c r="D226" s="19"/>
      <c r="E226" s="15"/>
      <c r="F226" s="16"/>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row>
    <row r="227" spans="1:42" outlineLevel="1" x14ac:dyDescent="0.25">
      <c r="A227" s="12"/>
      <c r="B227" s="13"/>
      <c r="C227" s="37" t="s">
        <v>515</v>
      </c>
      <c r="D227" s="37"/>
      <c r="E227" s="38"/>
      <c r="F227" s="39"/>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17"/>
    </row>
    <row r="228" spans="1:42" outlineLevel="1" x14ac:dyDescent="0.25">
      <c r="A228" s="12"/>
      <c r="B228" s="13"/>
      <c r="C228" s="20" t="s">
        <v>516</v>
      </c>
      <c r="D228" s="45"/>
      <c r="E228" s="15"/>
      <c r="F228" s="16"/>
      <c r="G228" s="165"/>
      <c r="H228" s="165"/>
      <c r="I228" s="165"/>
      <c r="J228" s="165"/>
      <c r="K228" s="165"/>
      <c r="L228" s="165"/>
      <c r="M228" s="165"/>
      <c r="N228" s="165"/>
      <c r="O228" s="165"/>
      <c r="P228" s="165"/>
      <c r="Q228" s="165"/>
      <c r="R228" s="165"/>
      <c r="S228" s="165"/>
      <c r="T228" s="165"/>
      <c r="U228" s="28"/>
      <c r="V228" s="28"/>
      <c r="W228" s="28"/>
      <c r="X228" s="28"/>
      <c r="Y228" s="28"/>
      <c r="Z228" s="28"/>
      <c r="AA228" s="28"/>
      <c r="AB228" s="28"/>
      <c r="AC228" s="28"/>
      <c r="AD228" s="28"/>
      <c r="AE228" s="28"/>
      <c r="AF228" s="28"/>
      <c r="AG228" s="28"/>
      <c r="AH228" s="28"/>
      <c r="AI228" s="28"/>
      <c r="AJ228" s="28"/>
      <c r="AK228" s="28"/>
      <c r="AL228" s="28"/>
      <c r="AM228" s="28"/>
      <c r="AN228" s="28"/>
      <c r="AO228" s="28"/>
      <c r="AP228" s="29"/>
    </row>
    <row r="229" spans="1:42" outlineLevel="1" x14ac:dyDescent="0.25">
      <c r="A229" s="12"/>
      <c r="B229" s="13"/>
      <c r="C229" s="45" t="s">
        <v>517</v>
      </c>
      <c r="D229" s="45"/>
      <c r="E229" s="15" t="s">
        <v>342</v>
      </c>
      <c r="F229" s="179">
        <f>Data!$E$216</f>
        <v>0</v>
      </c>
      <c r="G229" s="165"/>
      <c r="H229" s="165"/>
      <c r="I229" s="165"/>
      <c r="J229" s="165"/>
      <c r="K229" s="165"/>
      <c r="L229" s="165"/>
      <c r="M229" s="165"/>
      <c r="N229" s="165"/>
      <c r="O229" s="165"/>
      <c r="P229" s="165"/>
      <c r="Q229" s="165"/>
      <c r="R229" s="165"/>
      <c r="S229" s="165"/>
      <c r="T229" s="165"/>
      <c r="U229" s="28"/>
      <c r="V229" s="28"/>
      <c r="W229" s="28"/>
      <c r="X229" s="28"/>
      <c r="Y229" s="28"/>
      <c r="Z229" s="28"/>
      <c r="AA229" s="28"/>
      <c r="AB229" s="28"/>
      <c r="AC229" s="28"/>
      <c r="AD229" s="28"/>
      <c r="AE229" s="28"/>
      <c r="AF229" s="28"/>
      <c r="AG229" s="28"/>
      <c r="AH229" s="28"/>
      <c r="AI229" s="28"/>
      <c r="AJ229" s="28"/>
      <c r="AK229" s="28"/>
      <c r="AL229" s="28"/>
      <c r="AM229" s="28"/>
      <c r="AN229" s="28"/>
      <c r="AO229" s="28"/>
      <c r="AP229" s="29"/>
    </row>
    <row r="230" spans="1:42" outlineLevel="1" x14ac:dyDescent="0.25">
      <c r="A230" s="12"/>
      <c r="B230" s="13"/>
      <c r="C230" s="45" t="s">
        <v>518</v>
      </c>
      <c r="D230" s="45"/>
      <c r="E230" s="15" t="s">
        <v>142</v>
      </c>
      <c r="F230" s="179"/>
      <c r="G230" s="186">
        <f>F229*Data!$G$16/1000</f>
        <v>0</v>
      </c>
      <c r="H230" s="165"/>
      <c r="I230" s="165"/>
      <c r="J230" s="165"/>
      <c r="K230" s="165"/>
      <c r="L230" s="165"/>
      <c r="M230" s="165"/>
      <c r="N230" s="165"/>
      <c r="O230" s="165"/>
      <c r="P230" s="165"/>
      <c r="Q230" s="165"/>
      <c r="R230" s="165"/>
      <c r="S230" s="165"/>
      <c r="T230" s="165"/>
      <c r="U230" s="28"/>
      <c r="V230" s="28"/>
      <c r="W230" s="28"/>
      <c r="X230" s="28"/>
      <c r="Y230" s="28"/>
      <c r="Z230" s="28"/>
      <c r="AA230" s="28"/>
      <c r="AB230" s="28"/>
      <c r="AC230" s="28"/>
      <c r="AD230" s="28"/>
      <c r="AE230" s="28"/>
      <c r="AF230" s="28"/>
      <c r="AG230" s="28"/>
      <c r="AH230" s="28"/>
      <c r="AI230" s="28"/>
      <c r="AJ230" s="28"/>
      <c r="AK230" s="28"/>
      <c r="AL230" s="28"/>
      <c r="AM230" s="28"/>
      <c r="AN230" s="28"/>
      <c r="AO230" s="28"/>
      <c r="AP230" s="29"/>
    </row>
    <row r="231" spans="1:42" outlineLevel="1" x14ac:dyDescent="0.25">
      <c r="A231" s="12"/>
      <c r="B231" s="13"/>
      <c r="C231" s="45" t="s">
        <v>518</v>
      </c>
      <c r="D231" s="45"/>
      <c r="E231" s="15" t="s">
        <v>261</v>
      </c>
      <c r="F231" s="179"/>
      <c r="G231" s="184">
        <f>G230/(SUM(H189:AN189))</f>
        <v>0</v>
      </c>
      <c r="H231" s="165"/>
      <c r="I231" s="165"/>
      <c r="J231" s="165"/>
      <c r="K231" s="165"/>
      <c r="L231" s="165"/>
      <c r="M231" s="165"/>
      <c r="N231" s="165"/>
      <c r="O231" s="165"/>
      <c r="P231" s="165"/>
      <c r="Q231" s="165"/>
      <c r="R231" s="165"/>
      <c r="S231" s="165"/>
      <c r="T231" s="165"/>
      <c r="U231" s="28"/>
      <c r="V231" s="28"/>
      <c r="W231" s="28"/>
      <c r="X231" s="28"/>
      <c r="Y231" s="28"/>
      <c r="Z231" s="28"/>
      <c r="AA231" s="28"/>
      <c r="AB231" s="28"/>
      <c r="AC231" s="28"/>
      <c r="AD231" s="28"/>
      <c r="AE231" s="28"/>
      <c r="AF231" s="28"/>
      <c r="AG231" s="28"/>
      <c r="AH231" s="28"/>
      <c r="AI231" s="28"/>
      <c r="AJ231" s="28"/>
      <c r="AK231" s="28"/>
      <c r="AL231" s="28"/>
      <c r="AM231" s="28"/>
      <c r="AN231" s="28"/>
      <c r="AO231" s="28"/>
      <c r="AP231" s="29"/>
    </row>
    <row r="232" spans="1:42" outlineLevel="1" x14ac:dyDescent="0.25">
      <c r="A232" s="12"/>
      <c r="B232" s="13"/>
      <c r="C232" s="20" t="s">
        <v>519</v>
      </c>
      <c r="D232" s="19"/>
      <c r="E232" s="15"/>
      <c r="F232" s="16"/>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7"/>
    </row>
    <row r="233" spans="1:42" outlineLevel="1" x14ac:dyDescent="0.25">
      <c r="A233" s="12"/>
      <c r="B233" s="13"/>
      <c r="C233" t="s">
        <v>520</v>
      </c>
      <c r="D233" s="14"/>
      <c r="E233" s="15" t="s">
        <v>521</v>
      </c>
      <c r="F233" s="16"/>
      <c r="G233" s="14"/>
      <c r="H233" s="141"/>
      <c r="I233" s="141">
        <f t="shared" ref="I233:AN233" si="35">I189</f>
        <v>93600</v>
      </c>
      <c r="J233" s="141">
        <f t="shared" si="35"/>
        <v>93600</v>
      </c>
      <c r="K233" s="141">
        <f t="shared" si="35"/>
        <v>93600</v>
      </c>
      <c r="L233" s="141">
        <f t="shared" si="35"/>
        <v>93600</v>
      </c>
      <c r="M233" s="141">
        <f t="shared" si="35"/>
        <v>93600</v>
      </c>
      <c r="N233" s="141">
        <f t="shared" si="35"/>
        <v>93600</v>
      </c>
      <c r="O233" s="141">
        <f t="shared" si="35"/>
        <v>93600</v>
      </c>
      <c r="P233" s="141">
        <f t="shared" si="35"/>
        <v>93600</v>
      </c>
      <c r="Q233" s="141">
        <f t="shared" si="35"/>
        <v>93600</v>
      </c>
      <c r="R233" s="141">
        <f t="shared" si="35"/>
        <v>93600</v>
      </c>
      <c r="S233" s="141">
        <f t="shared" si="35"/>
        <v>93600</v>
      </c>
      <c r="T233" s="141">
        <f t="shared" si="35"/>
        <v>93600</v>
      </c>
      <c r="U233" s="141">
        <f t="shared" si="35"/>
        <v>0</v>
      </c>
      <c r="V233" s="141">
        <f t="shared" si="35"/>
        <v>0</v>
      </c>
      <c r="W233" s="141">
        <f t="shared" si="35"/>
        <v>0</v>
      </c>
      <c r="X233" s="141">
        <f t="shared" si="35"/>
        <v>0</v>
      </c>
      <c r="Y233" s="141">
        <f t="shared" si="35"/>
        <v>0</v>
      </c>
      <c r="Z233" s="141">
        <f t="shared" si="35"/>
        <v>0</v>
      </c>
      <c r="AA233" s="141">
        <f t="shared" si="35"/>
        <v>0</v>
      </c>
      <c r="AB233" s="141">
        <f t="shared" si="35"/>
        <v>0</v>
      </c>
      <c r="AC233" s="141">
        <f t="shared" si="35"/>
        <v>0</v>
      </c>
      <c r="AD233" s="141">
        <f t="shared" si="35"/>
        <v>0</v>
      </c>
      <c r="AE233" s="141">
        <f t="shared" si="35"/>
        <v>0</v>
      </c>
      <c r="AF233" s="141">
        <f t="shared" si="35"/>
        <v>0</v>
      </c>
      <c r="AG233" s="141">
        <f t="shared" si="35"/>
        <v>0</v>
      </c>
      <c r="AH233" s="141">
        <f t="shared" si="35"/>
        <v>0</v>
      </c>
      <c r="AI233" s="141">
        <f t="shared" si="35"/>
        <v>0</v>
      </c>
      <c r="AJ233" s="141">
        <f t="shared" si="35"/>
        <v>0</v>
      </c>
      <c r="AK233" s="141">
        <f t="shared" si="35"/>
        <v>0</v>
      </c>
      <c r="AL233" s="141">
        <f t="shared" si="35"/>
        <v>0</v>
      </c>
      <c r="AM233" s="141">
        <f t="shared" si="35"/>
        <v>0</v>
      </c>
      <c r="AN233" s="141">
        <f t="shared" si="35"/>
        <v>0</v>
      </c>
      <c r="AO233" s="141"/>
      <c r="AP233" s="14"/>
    </row>
    <row r="234" spans="1:42" outlineLevel="1" x14ac:dyDescent="0.25">
      <c r="A234" s="12"/>
      <c r="B234" s="13"/>
      <c r="C234" s="14" t="s">
        <v>535</v>
      </c>
      <c r="D234" s="14"/>
      <c r="E234" s="15"/>
      <c r="F234" s="16"/>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4"/>
      <c r="AP234" s="14"/>
    </row>
    <row r="235" spans="1:42" ht="14.25" customHeight="1" outlineLevel="1" x14ac:dyDescent="0.25">
      <c r="A235" s="54"/>
      <c r="B235" s="13"/>
      <c r="C235" s="14" t="s">
        <v>205</v>
      </c>
      <c r="D235" s="14"/>
      <c r="E235" s="70" t="s">
        <v>352</v>
      </c>
      <c r="F235" s="201">
        <f>Data!E576/1000</f>
        <v>2.8981340137604161E-3</v>
      </c>
      <c r="G235" s="56"/>
      <c r="H235" s="56"/>
      <c r="I235" s="56">
        <f>I$233*$F235</f>
        <v>271.26534368797496</v>
      </c>
      <c r="J235" s="56">
        <f t="shared" ref="J235:AO241" si="36">J$233*$F235</f>
        <v>271.26534368797496</v>
      </c>
      <c r="K235" s="56">
        <f t="shared" si="36"/>
        <v>271.26534368797496</v>
      </c>
      <c r="L235" s="56">
        <f t="shared" si="36"/>
        <v>271.26534368797496</v>
      </c>
      <c r="M235" s="56">
        <f t="shared" si="36"/>
        <v>271.26534368797496</v>
      </c>
      <c r="N235" s="56">
        <f t="shared" si="36"/>
        <v>271.26534368797496</v>
      </c>
      <c r="O235" s="56">
        <f t="shared" si="36"/>
        <v>271.26534368797496</v>
      </c>
      <c r="P235" s="56">
        <f t="shared" si="36"/>
        <v>271.26534368797496</v>
      </c>
      <c r="Q235" s="56">
        <f t="shared" si="36"/>
        <v>271.26534368797496</v>
      </c>
      <c r="R235" s="56">
        <f t="shared" si="36"/>
        <v>271.26534368797496</v>
      </c>
      <c r="S235" s="56">
        <f t="shared" si="36"/>
        <v>271.26534368797496</v>
      </c>
      <c r="T235" s="56">
        <f t="shared" si="36"/>
        <v>271.26534368797496</v>
      </c>
      <c r="U235" s="56">
        <f t="shared" si="36"/>
        <v>0</v>
      </c>
      <c r="V235" s="56">
        <f t="shared" si="36"/>
        <v>0</v>
      </c>
      <c r="W235" s="56">
        <f t="shared" si="36"/>
        <v>0</v>
      </c>
      <c r="X235" s="56">
        <f t="shared" si="36"/>
        <v>0</v>
      </c>
      <c r="Y235" s="56">
        <f t="shared" si="36"/>
        <v>0</v>
      </c>
      <c r="Z235" s="56">
        <f t="shared" si="36"/>
        <v>0</v>
      </c>
      <c r="AA235" s="56">
        <f t="shared" si="36"/>
        <v>0</v>
      </c>
      <c r="AB235" s="56">
        <f t="shared" si="36"/>
        <v>0</v>
      </c>
      <c r="AC235" s="56">
        <f t="shared" si="36"/>
        <v>0</v>
      </c>
      <c r="AD235" s="56">
        <f t="shared" si="36"/>
        <v>0</v>
      </c>
      <c r="AE235" s="56">
        <f t="shared" si="36"/>
        <v>0</v>
      </c>
      <c r="AF235" s="56">
        <f t="shared" si="36"/>
        <v>0</v>
      </c>
      <c r="AG235" s="56">
        <f t="shared" si="36"/>
        <v>0</v>
      </c>
      <c r="AH235" s="56">
        <f t="shared" si="36"/>
        <v>0</v>
      </c>
      <c r="AI235" s="56">
        <f t="shared" si="36"/>
        <v>0</v>
      </c>
      <c r="AJ235" s="56">
        <f t="shared" si="36"/>
        <v>0</v>
      </c>
      <c r="AK235" s="56">
        <f t="shared" si="36"/>
        <v>0</v>
      </c>
      <c r="AL235" s="56">
        <f t="shared" si="36"/>
        <v>0</v>
      </c>
      <c r="AM235" s="56">
        <f t="shared" si="36"/>
        <v>0</v>
      </c>
      <c r="AN235" s="56">
        <f t="shared" si="36"/>
        <v>0</v>
      </c>
      <c r="AO235" s="56">
        <f t="shared" si="36"/>
        <v>0</v>
      </c>
      <c r="AP235" s="29"/>
    </row>
    <row r="236" spans="1:42" outlineLevel="1" x14ac:dyDescent="0.25">
      <c r="A236" s="54"/>
      <c r="B236" s="13"/>
      <c r="C236" s="14" t="s">
        <v>484</v>
      </c>
      <c r="D236" s="14"/>
      <c r="E236" s="70" t="s">
        <v>352</v>
      </c>
      <c r="F236" s="201">
        <f>Data!E577/1000</f>
        <v>2.2531179338551168</v>
      </c>
      <c r="G236" s="56"/>
      <c r="H236" s="56"/>
      <c r="I236" s="56">
        <f t="shared" ref="I236:X241" si="37">I$233*$F236</f>
        <v>210891.83860883894</v>
      </c>
      <c r="J236" s="56">
        <f t="shared" si="37"/>
        <v>210891.83860883894</v>
      </c>
      <c r="K236" s="56">
        <f t="shared" si="37"/>
        <v>210891.83860883894</v>
      </c>
      <c r="L236" s="56">
        <f t="shared" si="37"/>
        <v>210891.83860883894</v>
      </c>
      <c r="M236" s="56">
        <f t="shared" si="37"/>
        <v>210891.83860883894</v>
      </c>
      <c r="N236" s="56">
        <f t="shared" si="37"/>
        <v>210891.83860883894</v>
      </c>
      <c r="O236" s="56">
        <f t="shared" si="37"/>
        <v>210891.83860883894</v>
      </c>
      <c r="P236" s="56">
        <f t="shared" si="37"/>
        <v>210891.83860883894</v>
      </c>
      <c r="Q236" s="56">
        <f t="shared" si="37"/>
        <v>210891.83860883894</v>
      </c>
      <c r="R236" s="56">
        <f t="shared" si="37"/>
        <v>210891.83860883894</v>
      </c>
      <c r="S236" s="56">
        <f t="shared" si="37"/>
        <v>210891.83860883894</v>
      </c>
      <c r="T236" s="56">
        <f t="shared" si="37"/>
        <v>210891.83860883894</v>
      </c>
      <c r="U236" s="56">
        <f t="shared" si="37"/>
        <v>0</v>
      </c>
      <c r="V236" s="56">
        <f t="shared" si="37"/>
        <v>0</v>
      </c>
      <c r="W236" s="56">
        <f t="shared" si="37"/>
        <v>0</v>
      </c>
      <c r="X236" s="56">
        <f t="shared" si="37"/>
        <v>0</v>
      </c>
      <c r="Y236" s="56">
        <f t="shared" si="36"/>
        <v>0</v>
      </c>
      <c r="Z236" s="56">
        <f t="shared" si="36"/>
        <v>0</v>
      </c>
      <c r="AA236" s="56">
        <f t="shared" si="36"/>
        <v>0</v>
      </c>
      <c r="AB236" s="56">
        <f t="shared" si="36"/>
        <v>0</v>
      </c>
      <c r="AC236" s="56">
        <f t="shared" si="36"/>
        <v>0</v>
      </c>
      <c r="AD236" s="56">
        <f t="shared" si="36"/>
        <v>0</v>
      </c>
      <c r="AE236" s="56">
        <f t="shared" si="36"/>
        <v>0</v>
      </c>
      <c r="AF236" s="56">
        <f t="shared" si="36"/>
        <v>0</v>
      </c>
      <c r="AG236" s="56">
        <f t="shared" si="36"/>
        <v>0</v>
      </c>
      <c r="AH236" s="56">
        <f t="shared" si="36"/>
        <v>0</v>
      </c>
      <c r="AI236" s="56">
        <f t="shared" si="36"/>
        <v>0</v>
      </c>
      <c r="AJ236" s="56">
        <f t="shared" si="36"/>
        <v>0</v>
      </c>
      <c r="AK236" s="56">
        <f t="shared" si="36"/>
        <v>0</v>
      </c>
      <c r="AL236" s="56">
        <f t="shared" si="36"/>
        <v>0</v>
      </c>
      <c r="AM236" s="56">
        <f t="shared" si="36"/>
        <v>0</v>
      </c>
      <c r="AN236" s="56">
        <f t="shared" si="36"/>
        <v>0</v>
      </c>
      <c r="AO236" s="56">
        <f t="shared" si="36"/>
        <v>0</v>
      </c>
      <c r="AP236" s="29"/>
    </row>
    <row r="237" spans="1:42" outlineLevel="1" x14ac:dyDescent="0.25">
      <c r="A237" s="54"/>
      <c r="B237" s="13"/>
      <c r="C237" s="14" t="s">
        <v>285</v>
      </c>
      <c r="D237" s="14"/>
      <c r="E237" s="70" t="s">
        <v>352</v>
      </c>
      <c r="F237" s="201">
        <f>Data!E578/1000</f>
        <v>2.4674863588574204E-4</v>
      </c>
      <c r="G237" s="56"/>
      <c r="H237" s="56"/>
      <c r="I237" s="56">
        <f t="shared" si="37"/>
        <v>23.095672318905454</v>
      </c>
      <c r="J237" s="56">
        <f t="shared" si="36"/>
        <v>23.095672318905454</v>
      </c>
      <c r="K237" s="56">
        <f t="shared" si="36"/>
        <v>23.095672318905454</v>
      </c>
      <c r="L237" s="56">
        <f t="shared" si="36"/>
        <v>23.095672318905454</v>
      </c>
      <c r="M237" s="56">
        <f t="shared" si="36"/>
        <v>23.095672318905454</v>
      </c>
      <c r="N237" s="56">
        <f t="shared" si="36"/>
        <v>23.095672318905454</v>
      </c>
      <c r="O237" s="56">
        <f t="shared" si="36"/>
        <v>23.095672318905454</v>
      </c>
      <c r="P237" s="56">
        <f t="shared" si="36"/>
        <v>23.095672318905454</v>
      </c>
      <c r="Q237" s="56">
        <f t="shared" si="36"/>
        <v>23.095672318905454</v>
      </c>
      <c r="R237" s="56">
        <f t="shared" si="36"/>
        <v>23.095672318905454</v>
      </c>
      <c r="S237" s="56">
        <f t="shared" si="36"/>
        <v>23.095672318905454</v>
      </c>
      <c r="T237" s="56">
        <f t="shared" si="36"/>
        <v>23.095672318905454</v>
      </c>
      <c r="U237" s="56">
        <f t="shared" si="36"/>
        <v>0</v>
      </c>
      <c r="V237" s="56">
        <f t="shared" si="36"/>
        <v>0</v>
      </c>
      <c r="W237" s="56">
        <f t="shared" si="36"/>
        <v>0</v>
      </c>
      <c r="X237" s="56">
        <f t="shared" si="36"/>
        <v>0</v>
      </c>
      <c r="Y237" s="56">
        <f t="shared" si="36"/>
        <v>0</v>
      </c>
      <c r="Z237" s="56">
        <f t="shared" si="36"/>
        <v>0</v>
      </c>
      <c r="AA237" s="56">
        <f t="shared" si="36"/>
        <v>0</v>
      </c>
      <c r="AB237" s="56">
        <f t="shared" si="36"/>
        <v>0</v>
      </c>
      <c r="AC237" s="56">
        <f t="shared" si="36"/>
        <v>0</v>
      </c>
      <c r="AD237" s="56">
        <f t="shared" si="36"/>
        <v>0</v>
      </c>
      <c r="AE237" s="56">
        <f t="shared" si="36"/>
        <v>0</v>
      </c>
      <c r="AF237" s="56">
        <f t="shared" si="36"/>
        <v>0</v>
      </c>
      <c r="AG237" s="56">
        <f t="shared" si="36"/>
        <v>0</v>
      </c>
      <c r="AH237" s="56">
        <f t="shared" si="36"/>
        <v>0</v>
      </c>
      <c r="AI237" s="56">
        <f t="shared" si="36"/>
        <v>0</v>
      </c>
      <c r="AJ237" s="56">
        <f t="shared" si="36"/>
        <v>0</v>
      </c>
      <c r="AK237" s="56">
        <f t="shared" si="36"/>
        <v>0</v>
      </c>
      <c r="AL237" s="56">
        <f t="shared" si="36"/>
        <v>0</v>
      </c>
      <c r="AM237" s="56">
        <f t="shared" si="36"/>
        <v>0</v>
      </c>
      <c r="AN237" s="56">
        <f t="shared" si="36"/>
        <v>0</v>
      </c>
      <c r="AO237" s="56">
        <f t="shared" si="36"/>
        <v>0</v>
      </c>
      <c r="AP237" s="29"/>
    </row>
    <row r="238" spans="1:42" outlineLevel="1" x14ac:dyDescent="0.25">
      <c r="A238" s="54"/>
      <c r="B238" s="13"/>
      <c r="C238" s="14" t="s">
        <v>220</v>
      </c>
      <c r="D238" s="14"/>
      <c r="E238" s="70" t="s">
        <v>352</v>
      </c>
      <c r="F238" s="201">
        <f>Data!E579/1000</f>
        <v>1.0386979165916608E-2</v>
      </c>
      <c r="G238" s="56"/>
      <c r="H238" s="56"/>
      <c r="I238" s="56">
        <f t="shared" si="37"/>
        <v>972.22124992979445</v>
      </c>
      <c r="J238" s="56">
        <f t="shared" si="36"/>
        <v>972.22124992979445</v>
      </c>
      <c r="K238" s="56">
        <f t="shared" si="36"/>
        <v>972.22124992979445</v>
      </c>
      <c r="L238" s="56">
        <f t="shared" si="36"/>
        <v>972.22124992979445</v>
      </c>
      <c r="M238" s="56">
        <f t="shared" si="36"/>
        <v>972.22124992979445</v>
      </c>
      <c r="N238" s="56">
        <f t="shared" si="36"/>
        <v>972.22124992979445</v>
      </c>
      <c r="O238" s="56">
        <f t="shared" si="36"/>
        <v>972.22124992979445</v>
      </c>
      <c r="P238" s="56">
        <f t="shared" si="36"/>
        <v>972.22124992979445</v>
      </c>
      <c r="Q238" s="56">
        <f t="shared" si="36"/>
        <v>972.22124992979445</v>
      </c>
      <c r="R238" s="56">
        <f t="shared" si="36"/>
        <v>972.22124992979445</v>
      </c>
      <c r="S238" s="56">
        <f t="shared" si="36"/>
        <v>972.22124992979445</v>
      </c>
      <c r="T238" s="56">
        <f t="shared" si="36"/>
        <v>972.22124992979445</v>
      </c>
      <c r="U238" s="56">
        <f t="shared" si="36"/>
        <v>0</v>
      </c>
      <c r="V238" s="56">
        <f t="shared" si="36"/>
        <v>0</v>
      </c>
      <c r="W238" s="56">
        <f t="shared" si="36"/>
        <v>0</v>
      </c>
      <c r="X238" s="56">
        <f t="shared" si="36"/>
        <v>0</v>
      </c>
      <c r="Y238" s="56">
        <f t="shared" si="36"/>
        <v>0</v>
      </c>
      <c r="Z238" s="56">
        <f t="shared" si="36"/>
        <v>0</v>
      </c>
      <c r="AA238" s="56">
        <f t="shared" si="36"/>
        <v>0</v>
      </c>
      <c r="AB238" s="56">
        <f t="shared" si="36"/>
        <v>0</v>
      </c>
      <c r="AC238" s="56">
        <f t="shared" si="36"/>
        <v>0</v>
      </c>
      <c r="AD238" s="56">
        <f t="shared" si="36"/>
        <v>0</v>
      </c>
      <c r="AE238" s="56">
        <f t="shared" si="36"/>
        <v>0</v>
      </c>
      <c r="AF238" s="56">
        <f t="shared" si="36"/>
        <v>0</v>
      </c>
      <c r="AG238" s="56">
        <f t="shared" si="36"/>
        <v>0</v>
      </c>
      <c r="AH238" s="56">
        <f t="shared" si="36"/>
        <v>0</v>
      </c>
      <c r="AI238" s="56">
        <f t="shared" si="36"/>
        <v>0</v>
      </c>
      <c r="AJ238" s="56">
        <f t="shared" si="36"/>
        <v>0</v>
      </c>
      <c r="AK238" s="56">
        <f t="shared" si="36"/>
        <v>0</v>
      </c>
      <c r="AL238" s="56">
        <f t="shared" si="36"/>
        <v>0</v>
      </c>
      <c r="AM238" s="56">
        <f t="shared" si="36"/>
        <v>0</v>
      </c>
      <c r="AN238" s="56">
        <f t="shared" si="36"/>
        <v>0</v>
      </c>
      <c r="AO238" s="56">
        <f t="shared" si="36"/>
        <v>0</v>
      </c>
      <c r="AP238" s="29"/>
    </row>
    <row r="239" spans="1:42" outlineLevel="1" x14ac:dyDescent="0.25">
      <c r="A239" s="54"/>
      <c r="B239" s="13"/>
      <c r="C239" s="14" t="s">
        <v>212</v>
      </c>
      <c r="D239" s="14"/>
      <c r="E239" s="70" t="s">
        <v>352</v>
      </c>
      <c r="F239" s="201">
        <f>Data!E580/1000</f>
        <v>1.2494896470236806E-3</v>
      </c>
      <c r="G239" s="56"/>
      <c r="H239" s="56"/>
      <c r="I239" s="56">
        <f t="shared" si="37"/>
        <v>116.9522309614165</v>
      </c>
      <c r="J239" s="56">
        <f t="shared" si="36"/>
        <v>116.9522309614165</v>
      </c>
      <c r="K239" s="56">
        <f t="shared" si="36"/>
        <v>116.9522309614165</v>
      </c>
      <c r="L239" s="56">
        <f t="shared" si="36"/>
        <v>116.9522309614165</v>
      </c>
      <c r="M239" s="56">
        <f t="shared" si="36"/>
        <v>116.9522309614165</v>
      </c>
      <c r="N239" s="56">
        <f t="shared" si="36"/>
        <v>116.9522309614165</v>
      </c>
      <c r="O239" s="56">
        <f t="shared" si="36"/>
        <v>116.9522309614165</v>
      </c>
      <c r="P239" s="56">
        <f t="shared" si="36"/>
        <v>116.9522309614165</v>
      </c>
      <c r="Q239" s="56">
        <f t="shared" si="36"/>
        <v>116.9522309614165</v>
      </c>
      <c r="R239" s="56">
        <f t="shared" si="36"/>
        <v>116.9522309614165</v>
      </c>
      <c r="S239" s="56">
        <f t="shared" si="36"/>
        <v>116.9522309614165</v>
      </c>
      <c r="T239" s="56">
        <f t="shared" si="36"/>
        <v>116.9522309614165</v>
      </c>
      <c r="U239" s="56">
        <f t="shared" si="36"/>
        <v>0</v>
      </c>
      <c r="V239" s="56">
        <f t="shared" si="36"/>
        <v>0</v>
      </c>
      <c r="W239" s="56">
        <f t="shared" si="36"/>
        <v>0</v>
      </c>
      <c r="X239" s="56">
        <f t="shared" si="36"/>
        <v>0</v>
      </c>
      <c r="Y239" s="56">
        <f t="shared" si="36"/>
        <v>0</v>
      </c>
      <c r="Z239" s="56">
        <f t="shared" si="36"/>
        <v>0</v>
      </c>
      <c r="AA239" s="56">
        <f t="shared" si="36"/>
        <v>0</v>
      </c>
      <c r="AB239" s="56">
        <f t="shared" si="36"/>
        <v>0</v>
      </c>
      <c r="AC239" s="56">
        <f t="shared" si="36"/>
        <v>0</v>
      </c>
      <c r="AD239" s="56">
        <f t="shared" si="36"/>
        <v>0</v>
      </c>
      <c r="AE239" s="56">
        <f t="shared" si="36"/>
        <v>0</v>
      </c>
      <c r="AF239" s="56">
        <f t="shared" si="36"/>
        <v>0</v>
      </c>
      <c r="AG239" s="56">
        <f t="shared" si="36"/>
        <v>0</v>
      </c>
      <c r="AH239" s="56">
        <f t="shared" si="36"/>
        <v>0</v>
      </c>
      <c r="AI239" s="56">
        <f t="shared" si="36"/>
        <v>0</v>
      </c>
      <c r="AJ239" s="56">
        <f t="shared" si="36"/>
        <v>0</v>
      </c>
      <c r="AK239" s="56">
        <f t="shared" si="36"/>
        <v>0</v>
      </c>
      <c r="AL239" s="56">
        <f t="shared" si="36"/>
        <v>0</v>
      </c>
      <c r="AM239" s="56">
        <f t="shared" si="36"/>
        <v>0</v>
      </c>
      <c r="AN239" s="56">
        <f t="shared" si="36"/>
        <v>0</v>
      </c>
      <c r="AO239" s="56">
        <f t="shared" si="36"/>
        <v>0</v>
      </c>
      <c r="AP239" s="29"/>
    </row>
    <row r="240" spans="1:42" outlineLevel="1" x14ac:dyDescent="0.25">
      <c r="A240" s="54"/>
      <c r="B240" s="13"/>
      <c r="C240" s="14" t="s">
        <v>485</v>
      </c>
      <c r="D240" s="14"/>
      <c r="E240" s="70" t="s">
        <v>352</v>
      </c>
      <c r="F240" s="201">
        <f>Data!E581/1000</f>
        <v>1.9326898359812094E-4</v>
      </c>
      <c r="G240" s="56"/>
      <c r="H240" s="56"/>
      <c r="I240" s="56">
        <f t="shared" si="37"/>
        <v>18.08997686478412</v>
      </c>
      <c r="J240" s="56">
        <f t="shared" si="36"/>
        <v>18.08997686478412</v>
      </c>
      <c r="K240" s="56">
        <f t="shared" si="36"/>
        <v>18.08997686478412</v>
      </c>
      <c r="L240" s="56">
        <f t="shared" si="36"/>
        <v>18.08997686478412</v>
      </c>
      <c r="M240" s="56">
        <f t="shared" si="36"/>
        <v>18.08997686478412</v>
      </c>
      <c r="N240" s="56">
        <f t="shared" si="36"/>
        <v>18.08997686478412</v>
      </c>
      <c r="O240" s="56">
        <f t="shared" si="36"/>
        <v>18.08997686478412</v>
      </c>
      <c r="P240" s="56">
        <f t="shared" si="36"/>
        <v>18.08997686478412</v>
      </c>
      <c r="Q240" s="56">
        <f t="shared" si="36"/>
        <v>18.08997686478412</v>
      </c>
      <c r="R240" s="56">
        <f t="shared" si="36"/>
        <v>18.08997686478412</v>
      </c>
      <c r="S240" s="56">
        <f t="shared" si="36"/>
        <v>18.08997686478412</v>
      </c>
      <c r="T240" s="56">
        <f t="shared" si="36"/>
        <v>18.08997686478412</v>
      </c>
      <c r="U240" s="56">
        <f t="shared" si="36"/>
        <v>0</v>
      </c>
      <c r="V240" s="56">
        <f t="shared" si="36"/>
        <v>0</v>
      </c>
      <c r="W240" s="56">
        <f t="shared" si="36"/>
        <v>0</v>
      </c>
      <c r="X240" s="56">
        <f t="shared" si="36"/>
        <v>0</v>
      </c>
      <c r="Y240" s="56">
        <f t="shared" si="36"/>
        <v>0</v>
      </c>
      <c r="Z240" s="56">
        <f t="shared" si="36"/>
        <v>0</v>
      </c>
      <c r="AA240" s="56">
        <f t="shared" si="36"/>
        <v>0</v>
      </c>
      <c r="AB240" s="56">
        <f t="shared" si="36"/>
        <v>0</v>
      </c>
      <c r="AC240" s="56">
        <f t="shared" si="36"/>
        <v>0</v>
      </c>
      <c r="AD240" s="56">
        <f t="shared" si="36"/>
        <v>0</v>
      </c>
      <c r="AE240" s="56">
        <f t="shared" si="36"/>
        <v>0</v>
      </c>
      <c r="AF240" s="56">
        <f t="shared" si="36"/>
        <v>0</v>
      </c>
      <c r="AG240" s="56">
        <f t="shared" si="36"/>
        <v>0</v>
      </c>
      <c r="AH240" s="56">
        <f t="shared" si="36"/>
        <v>0</v>
      </c>
      <c r="AI240" s="56">
        <f t="shared" si="36"/>
        <v>0</v>
      </c>
      <c r="AJ240" s="56">
        <f t="shared" si="36"/>
        <v>0</v>
      </c>
      <c r="AK240" s="56">
        <f t="shared" si="36"/>
        <v>0</v>
      </c>
      <c r="AL240" s="56">
        <f t="shared" si="36"/>
        <v>0</v>
      </c>
      <c r="AM240" s="56">
        <f t="shared" si="36"/>
        <v>0</v>
      </c>
      <c r="AN240" s="56">
        <f t="shared" si="36"/>
        <v>0</v>
      </c>
      <c r="AO240" s="56">
        <f t="shared" si="36"/>
        <v>0</v>
      </c>
      <c r="AP240" s="29"/>
    </row>
    <row r="241" spans="1:42" outlineLevel="1" x14ac:dyDescent="0.25">
      <c r="A241" s="54"/>
      <c r="B241" s="13"/>
      <c r="C241" s="14" t="s">
        <v>214</v>
      </c>
      <c r="D241" s="14"/>
      <c r="E241" s="70" t="s">
        <v>352</v>
      </c>
      <c r="F241" s="201">
        <f>Data!E582/1000</f>
        <v>2.7461523537483907E-5</v>
      </c>
      <c r="G241" s="56"/>
      <c r="H241" s="56"/>
      <c r="I241" s="56">
        <f t="shared" si="37"/>
        <v>2.5703986031084938</v>
      </c>
      <c r="J241" s="56">
        <f t="shared" si="36"/>
        <v>2.5703986031084938</v>
      </c>
      <c r="K241" s="56">
        <f t="shared" si="36"/>
        <v>2.5703986031084938</v>
      </c>
      <c r="L241" s="56">
        <f t="shared" si="36"/>
        <v>2.5703986031084938</v>
      </c>
      <c r="M241" s="56">
        <f t="shared" si="36"/>
        <v>2.5703986031084938</v>
      </c>
      <c r="N241" s="56">
        <f t="shared" si="36"/>
        <v>2.5703986031084938</v>
      </c>
      <c r="O241" s="56">
        <f t="shared" si="36"/>
        <v>2.5703986031084938</v>
      </c>
      <c r="P241" s="56">
        <f t="shared" si="36"/>
        <v>2.5703986031084938</v>
      </c>
      <c r="Q241" s="56">
        <f t="shared" si="36"/>
        <v>2.5703986031084938</v>
      </c>
      <c r="R241" s="56">
        <f t="shared" si="36"/>
        <v>2.5703986031084938</v>
      </c>
      <c r="S241" s="56">
        <f t="shared" si="36"/>
        <v>2.5703986031084938</v>
      </c>
      <c r="T241" s="56">
        <f t="shared" si="36"/>
        <v>2.5703986031084938</v>
      </c>
      <c r="U241" s="56">
        <f t="shared" si="36"/>
        <v>0</v>
      </c>
      <c r="V241" s="56">
        <f t="shared" si="36"/>
        <v>0</v>
      </c>
      <c r="W241" s="56">
        <f t="shared" si="36"/>
        <v>0</v>
      </c>
      <c r="X241" s="56">
        <f t="shared" si="36"/>
        <v>0</v>
      </c>
      <c r="Y241" s="56">
        <f t="shared" si="36"/>
        <v>0</v>
      </c>
      <c r="Z241" s="56">
        <f t="shared" si="36"/>
        <v>0</v>
      </c>
      <c r="AA241" s="56">
        <f t="shared" si="36"/>
        <v>0</v>
      </c>
      <c r="AB241" s="56">
        <f t="shared" si="36"/>
        <v>0</v>
      </c>
      <c r="AC241" s="56">
        <f t="shared" si="36"/>
        <v>0</v>
      </c>
      <c r="AD241" s="56">
        <f t="shared" si="36"/>
        <v>0</v>
      </c>
      <c r="AE241" s="56">
        <f t="shared" si="36"/>
        <v>0</v>
      </c>
      <c r="AF241" s="56">
        <f t="shared" si="36"/>
        <v>0</v>
      </c>
      <c r="AG241" s="56">
        <f t="shared" si="36"/>
        <v>0</v>
      </c>
      <c r="AH241" s="56">
        <f t="shared" si="36"/>
        <v>0</v>
      </c>
      <c r="AI241" s="56">
        <f t="shared" si="36"/>
        <v>0</v>
      </c>
      <c r="AJ241" s="56">
        <f t="shared" si="36"/>
        <v>0</v>
      </c>
      <c r="AK241" s="56">
        <f t="shared" si="36"/>
        <v>0</v>
      </c>
      <c r="AL241" s="56">
        <f t="shared" si="36"/>
        <v>0</v>
      </c>
      <c r="AM241" s="56">
        <f t="shared" si="36"/>
        <v>0</v>
      </c>
      <c r="AN241" s="56">
        <f t="shared" si="36"/>
        <v>0</v>
      </c>
      <c r="AO241" s="56">
        <f t="shared" si="36"/>
        <v>0</v>
      </c>
      <c r="AP241" s="29"/>
    </row>
    <row r="242" spans="1:42" outlineLevel="1" x14ac:dyDescent="0.25">
      <c r="A242" s="12"/>
      <c r="B242" s="13"/>
      <c r="C242" s="14"/>
      <c r="D242" s="14"/>
      <c r="E242" s="15"/>
      <c r="F242" s="16"/>
      <c r="G242" s="159"/>
      <c r="H242" s="159"/>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14"/>
    </row>
    <row r="243" spans="1:42" outlineLevel="1" x14ac:dyDescent="0.25">
      <c r="A243" s="54"/>
      <c r="B243" s="13"/>
      <c r="C243" s="14" t="s">
        <v>205</v>
      </c>
      <c r="D243" s="14"/>
      <c r="E243" s="70" t="s">
        <v>474</v>
      </c>
      <c r="F243" s="258">
        <f>Data!$E$35/1000</f>
        <v>3.4099438202247192E-3</v>
      </c>
      <c r="G243" s="56"/>
      <c r="H243" s="56"/>
      <c r="I243" s="56">
        <f>I$235*$F243</f>
        <v>0.92499958234994473</v>
      </c>
      <c r="J243" s="56">
        <f t="shared" ref="J243:AO243" si="38">J$235*$F243</f>
        <v>0.92499958234994473</v>
      </c>
      <c r="K243" s="56">
        <f t="shared" si="38"/>
        <v>0.92499958234994473</v>
      </c>
      <c r="L243" s="56">
        <f t="shared" si="38"/>
        <v>0.92499958234994473</v>
      </c>
      <c r="M243" s="56">
        <f t="shared" si="38"/>
        <v>0.92499958234994473</v>
      </c>
      <c r="N243" s="56">
        <f t="shared" si="38"/>
        <v>0.92499958234994473</v>
      </c>
      <c r="O243" s="56">
        <f t="shared" si="38"/>
        <v>0.92499958234994473</v>
      </c>
      <c r="P243" s="56">
        <f t="shared" si="38"/>
        <v>0.92499958234994473</v>
      </c>
      <c r="Q243" s="56">
        <f t="shared" si="38"/>
        <v>0.92499958234994473</v>
      </c>
      <c r="R243" s="56">
        <f t="shared" si="38"/>
        <v>0.92499958234994473</v>
      </c>
      <c r="S243" s="56">
        <f t="shared" si="38"/>
        <v>0.92499958234994473</v>
      </c>
      <c r="T243" s="56">
        <f t="shared" si="38"/>
        <v>0.92499958234994473</v>
      </c>
      <c r="U243" s="56">
        <f t="shared" si="38"/>
        <v>0</v>
      </c>
      <c r="V243" s="56">
        <f t="shared" si="38"/>
        <v>0</v>
      </c>
      <c r="W243" s="56">
        <f t="shared" si="38"/>
        <v>0</v>
      </c>
      <c r="X243" s="56">
        <f t="shared" si="38"/>
        <v>0</v>
      </c>
      <c r="Y243" s="56">
        <f t="shared" si="38"/>
        <v>0</v>
      </c>
      <c r="Z243" s="56">
        <f t="shared" si="38"/>
        <v>0</v>
      </c>
      <c r="AA243" s="56">
        <f t="shared" si="38"/>
        <v>0</v>
      </c>
      <c r="AB243" s="56">
        <f t="shared" si="38"/>
        <v>0</v>
      </c>
      <c r="AC243" s="56">
        <f t="shared" si="38"/>
        <v>0</v>
      </c>
      <c r="AD243" s="56">
        <f t="shared" si="38"/>
        <v>0</v>
      </c>
      <c r="AE243" s="56">
        <f t="shared" si="38"/>
        <v>0</v>
      </c>
      <c r="AF243" s="56">
        <f t="shared" si="38"/>
        <v>0</v>
      </c>
      <c r="AG243" s="56">
        <f t="shared" si="38"/>
        <v>0</v>
      </c>
      <c r="AH243" s="56">
        <f t="shared" si="38"/>
        <v>0</v>
      </c>
      <c r="AI243" s="56">
        <f t="shared" si="38"/>
        <v>0</v>
      </c>
      <c r="AJ243" s="56">
        <f t="shared" si="38"/>
        <v>0</v>
      </c>
      <c r="AK243" s="56">
        <f t="shared" si="38"/>
        <v>0</v>
      </c>
      <c r="AL243" s="56">
        <f t="shared" si="38"/>
        <v>0</v>
      </c>
      <c r="AM243" s="56">
        <f t="shared" si="38"/>
        <v>0</v>
      </c>
      <c r="AN243" s="56">
        <f t="shared" si="38"/>
        <v>0</v>
      </c>
      <c r="AO243" s="56">
        <f t="shared" si="38"/>
        <v>0</v>
      </c>
      <c r="AP243" s="29"/>
    </row>
    <row r="244" spans="1:42" outlineLevel="1" x14ac:dyDescent="0.25">
      <c r="A244" s="54"/>
      <c r="B244" s="13"/>
      <c r="C244" s="14" t="s">
        <v>484</v>
      </c>
      <c r="D244" s="14"/>
      <c r="E244" s="70" t="s">
        <v>474</v>
      </c>
      <c r="F244" s="258"/>
      <c r="G244" s="56"/>
      <c r="H244" s="56"/>
      <c r="I244" s="56">
        <f>I$236*Data!H$16/1000</f>
        <v>20456.508345057377</v>
      </c>
      <c r="J244" s="56">
        <f>J$236*Data!I$16/1000</f>
        <v>22565.426731145766</v>
      </c>
      <c r="K244" s="56">
        <f>K$236*Data!J$16/1000</f>
        <v>24463.453278625318</v>
      </c>
      <c r="L244" s="56">
        <f>L$236*Data!K$16/1000</f>
        <v>26572.371664713708</v>
      </c>
      <c r="M244" s="56">
        <f>M$236*Data!L$16/1000</f>
        <v>28681.290050802098</v>
      </c>
      <c r="N244" s="56">
        <f>N$236*Data!M$16/1000</f>
        <v>30790.208436890487</v>
      </c>
      <c r="O244" s="56">
        <f>O$236*Data!N$16/1000</f>
        <v>32688.234984370036</v>
      </c>
      <c r="P244" s="56">
        <f>P$236*Data!O$16/1000</f>
        <v>33953.586016023073</v>
      </c>
      <c r="Q244" s="56">
        <f>Q$236*Data!P$16/1000</f>
        <v>35218.937047676103</v>
      </c>
      <c r="R244" s="56">
        <f>R$236*Data!Q$16/1000</f>
        <v>36695.179917937974</v>
      </c>
      <c r="S244" s="56">
        <f>S$236*Data!R$16/1000</f>
        <v>37960.530949591011</v>
      </c>
      <c r="T244" s="56">
        <f>T$236*Data!S$16/1000</f>
        <v>39225.881981244042</v>
      </c>
      <c r="U244" s="56">
        <f>U$236*Data!T$16/1000</f>
        <v>0</v>
      </c>
      <c r="V244" s="56">
        <f>V$236*Data!U$16/1000</f>
        <v>0</v>
      </c>
      <c r="W244" s="56">
        <f>W$236*Data!V$16/1000</f>
        <v>0</v>
      </c>
      <c r="X244" s="56">
        <f>X$236*Data!W$16/1000</f>
        <v>0</v>
      </c>
      <c r="Y244" s="56">
        <f>Y$236*Data!X$16/1000</f>
        <v>0</v>
      </c>
      <c r="Z244" s="56">
        <f>Z$236*Data!Y$16/1000</f>
        <v>0</v>
      </c>
      <c r="AA244" s="56">
        <f>AA$236*Data!Z$16/1000</f>
        <v>0</v>
      </c>
      <c r="AB244" s="56">
        <f>AB$236*Data!AA$16/1000</f>
        <v>0</v>
      </c>
      <c r="AC244" s="56">
        <f>AC$236*Data!AB$16/1000</f>
        <v>0</v>
      </c>
      <c r="AD244" s="56">
        <f>AD$236*Data!AC$16/1000</f>
        <v>0</v>
      </c>
      <c r="AE244" s="56">
        <f>AE$236*Data!AD$16/1000</f>
        <v>0</v>
      </c>
      <c r="AF244" s="56">
        <f>AF$236*Data!AE$16/1000</f>
        <v>0</v>
      </c>
      <c r="AG244" s="56">
        <f>AG$236*Data!AF$16/1000</f>
        <v>0</v>
      </c>
      <c r="AH244" s="56">
        <f>AH$236*Data!AG$16/1000</f>
        <v>0</v>
      </c>
      <c r="AI244" s="56">
        <f>AI$236*Data!AH$16/1000</f>
        <v>0</v>
      </c>
      <c r="AJ244" s="56">
        <f>AJ$236*Data!AI$16/1000</f>
        <v>0</v>
      </c>
      <c r="AK244" s="56">
        <f>AK$236*Data!AJ$16/1000</f>
        <v>0</v>
      </c>
      <c r="AL244" s="56">
        <f>AL$236*Data!AK$16/1000</f>
        <v>0</v>
      </c>
      <c r="AM244" s="56">
        <f>AM$236*Data!AL$16/1000</f>
        <v>0</v>
      </c>
      <c r="AN244" s="56">
        <f>AN$236*Data!AM$16/1000</f>
        <v>0</v>
      </c>
      <c r="AO244" s="56">
        <f>AO$236*Data!AN$16/1000</f>
        <v>0</v>
      </c>
      <c r="AP244" s="29"/>
    </row>
    <row r="245" spans="1:42" outlineLevel="1" x14ac:dyDescent="0.25">
      <c r="A245" s="54"/>
      <c r="B245" s="13"/>
      <c r="C245" s="14" t="s">
        <v>285</v>
      </c>
      <c r="D245" s="14"/>
      <c r="E245" s="70" t="s">
        <v>474</v>
      </c>
      <c r="F245" s="258">
        <f>Data!$E$36/1000</f>
        <v>1.0822865168539326</v>
      </c>
      <c r="G245" s="56"/>
      <c r="H245" s="56"/>
      <c r="I245" s="56">
        <f>I$237*$F245</f>
        <v>24.996134748427973</v>
      </c>
      <c r="J245" s="56">
        <f t="shared" ref="J245:AO245" si="39">J$237*$F245</f>
        <v>24.996134748427973</v>
      </c>
      <c r="K245" s="56">
        <f t="shared" si="39"/>
        <v>24.996134748427973</v>
      </c>
      <c r="L245" s="56">
        <f t="shared" si="39"/>
        <v>24.996134748427973</v>
      </c>
      <c r="M245" s="56">
        <f t="shared" si="39"/>
        <v>24.996134748427973</v>
      </c>
      <c r="N245" s="56">
        <f t="shared" si="39"/>
        <v>24.996134748427973</v>
      </c>
      <c r="O245" s="56">
        <f t="shared" si="39"/>
        <v>24.996134748427973</v>
      </c>
      <c r="P245" s="56">
        <f t="shared" si="39"/>
        <v>24.996134748427973</v>
      </c>
      <c r="Q245" s="56">
        <f t="shared" si="39"/>
        <v>24.996134748427973</v>
      </c>
      <c r="R245" s="56">
        <f t="shared" si="39"/>
        <v>24.996134748427973</v>
      </c>
      <c r="S245" s="56">
        <f t="shared" si="39"/>
        <v>24.996134748427973</v>
      </c>
      <c r="T245" s="56">
        <f t="shared" si="39"/>
        <v>24.996134748427973</v>
      </c>
      <c r="U245" s="56">
        <f t="shared" si="39"/>
        <v>0</v>
      </c>
      <c r="V245" s="56">
        <f t="shared" si="39"/>
        <v>0</v>
      </c>
      <c r="W245" s="56">
        <f t="shared" si="39"/>
        <v>0</v>
      </c>
      <c r="X245" s="56">
        <f t="shared" si="39"/>
        <v>0</v>
      </c>
      <c r="Y245" s="56">
        <f t="shared" si="39"/>
        <v>0</v>
      </c>
      <c r="Z245" s="56">
        <f t="shared" si="39"/>
        <v>0</v>
      </c>
      <c r="AA245" s="56">
        <f t="shared" si="39"/>
        <v>0</v>
      </c>
      <c r="AB245" s="56">
        <f t="shared" si="39"/>
        <v>0</v>
      </c>
      <c r="AC245" s="56">
        <f t="shared" si="39"/>
        <v>0</v>
      </c>
      <c r="AD245" s="56">
        <f t="shared" si="39"/>
        <v>0</v>
      </c>
      <c r="AE245" s="56">
        <f t="shared" si="39"/>
        <v>0</v>
      </c>
      <c r="AF245" s="56">
        <f t="shared" si="39"/>
        <v>0</v>
      </c>
      <c r="AG245" s="56">
        <f t="shared" si="39"/>
        <v>0</v>
      </c>
      <c r="AH245" s="56">
        <f t="shared" si="39"/>
        <v>0</v>
      </c>
      <c r="AI245" s="56">
        <f t="shared" si="39"/>
        <v>0</v>
      </c>
      <c r="AJ245" s="56">
        <f t="shared" si="39"/>
        <v>0</v>
      </c>
      <c r="AK245" s="56">
        <f t="shared" si="39"/>
        <v>0</v>
      </c>
      <c r="AL245" s="56">
        <f t="shared" si="39"/>
        <v>0</v>
      </c>
      <c r="AM245" s="56">
        <f t="shared" si="39"/>
        <v>0</v>
      </c>
      <c r="AN245" s="56">
        <f t="shared" si="39"/>
        <v>0</v>
      </c>
      <c r="AO245" s="56">
        <f t="shared" si="39"/>
        <v>0</v>
      </c>
      <c r="AP245" s="29"/>
    </row>
    <row r="246" spans="1:42" outlineLevel="1" x14ac:dyDescent="0.25">
      <c r="A246" s="54"/>
      <c r="B246" s="13"/>
      <c r="C246" s="14" t="s">
        <v>220</v>
      </c>
      <c r="D246" s="14"/>
      <c r="E246" s="70" t="s">
        <v>474</v>
      </c>
      <c r="F246" s="258">
        <f>Data!$E$37/1000</f>
        <v>371.00188764044947</v>
      </c>
      <c r="G246" s="56"/>
      <c r="H246" s="56"/>
      <c r="I246" s="56">
        <f>I$238*$F246</f>
        <v>360695.91892811091</v>
      </c>
      <c r="J246" s="56">
        <f t="shared" ref="J246:AO246" si="40">J$238*$F246</f>
        <v>360695.91892811091</v>
      </c>
      <c r="K246" s="56">
        <f t="shared" si="40"/>
        <v>360695.91892811091</v>
      </c>
      <c r="L246" s="56">
        <f t="shared" si="40"/>
        <v>360695.91892811091</v>
      </c>
      <c r="M246" s="56">
        <f t="shared" si="40"/>
        <v>360695.91892811091</v>
      </c>
      <c r="N246" s="56">
        <f t="shared" si="40"/>
        <v>360695.91892811091</v>
      </c>
      <c r="O246" s="56">
        <f t="shared" si="40"/>
        <v>360695.91892811091</v>
      </c>
      <c r="P246" s="56">
        <f t="shared" si="40"/>
        <v>360695.91892811091</v>
      </c>
      <c r="Q246" s="56">
        <f t="shared" si="40"/>
        <v>360695.91892811091</v>
      </c>
      <c r="R246" s="56">
        <f t="shared" si="40"/>
        <v>360695.91892811091</v>
      </c>
      <c r="S246" s="56">
        <f t="shared" si="40"/>
        <v>360695.91892811091</v>
      </c>
      <c r="T246" s="56">
        <f t="shared" si="40"/>
        <v>360695.91892811091</v>
      </c>
      <c r="U246" s="56">
        <f t="shared" si="40"/>
        <v>0</v>
      </c>
      <c r="V246" s="56">
        <f t="shared" si="40"/>
        <v>0</v>
      </c>
      <c r="W246" s="56">
        <f t="shared" si="40"/>
        <v>0</v>
      </c>
      <c r="X246" s="56">
        <f t="shared" si="40"/>
        <v>0</v>
      </c>
      <c r="Y246" s="56">
        <f t="shared" si="40"/>
        <v>0</v>
      </c>
      <c r="Z246" s="56">
        <f t="shared" si="40"/>
        <v>0</v>
      </c>
      <c r="AA246" s="56">
        <f t="shared" si="40"/>
        <v>0</v>
      </c>
      <c r="AB246" s="56">
        <f t="shared" si="40"/>
        <v>0</v>
      </c>
      <c r="AC246" s="56">
        <f t="shared" si="40"/>
        <v>0</v>
      </c>
      <c r="AD246" s="56">
        <f t="shared" si="40"/>
        <v>0</v>
      </c>
      <c r="AE246" s="56">
        <f t="shared" si="40"/>
        <v>0</v>
      </c>
      <c r="AF246" s="56">
        <f t="shared" si="40"/>
        <v>0</v>
      </c>
      <c r="AG246" s="56">
        <f t="shared" si="40"/>
        <v>0</v>
      </c>
      <c r="AH246" s="56">
        <f t="shared" si="40"/>
        <v>0</v>
      </c>
      <c r="AI246" s="56">
        <f t="shared" si="40"/>
        <v>0</v>
      </c>
      <c r="AJ246" s="56">
        <f t="shared" si="40"/>
        <v>0</v>
      </c>
      <c r="AK246" s="56">
        <f t="shared" si="40"/>
        <v>0</v>
      </c>
      <c r="AL246" s="56">
        <f t="shared" si="40"/>
        <v>0</v>
      </c>
      <c r="AM246" s="56">
        <f t="shared" si="40"/>
        <v>0</v>
      </c>
      <c r="AN246" s="56">
        <f t="shared" si="40"/>
        <v>0</v>
      </c>
      <c r="AO246" s="56">
        <f t="shared" si="40"/>
        <v>0</v>
      </c>
      <c r="AP246" s="29"/>
    </row>
    <row r="247" spans="1:42" outlineLevel="1" x14ac:dyDescent="0.25">
      <c r="A247" s="54"/>
      <c r="B247" s="13"/>
      <c r="C247" s="14" t="s">
        <v>212</v>
      </c>
      <c r="D247" s="14"/>
      <c r="E247" s="70" t="s">
        <v>474</v>
      </c>
      <c r="F247" s="258">
        <f>Data!$E$39/1000</f>
        <v>0</v>
      </c>
      <c r="G247" s="56"/>
      <c r="H247" s="56"/>
      <c r="I247" s="56">
        <f>I$239*$F247</f>
        <v>0</v>
      </c>
      <c r="J247" s="56">
        <f t="shared" ref="J247:AO247" si="41">J$239*$F247</f>
        <v>0</v>
      </c>
      <c r="K247" s="56">
        <f t="shared" si="41"/>
        <v>0</v>
      </c>
      <c r="L247" s="56">
        <f t="shared" si="41"/>
        <v>0</v>
      </c>
      <c r="M247" s="56">
        <f t="shared" si="41"/>
        <v>0</v>
      </c>
      <c r="N247" s="56">
        <f t="shared" si="41"/>
        <v>0</v>
      </c>
      <c r="O247" s="56">
        <f t="shared" si="41"/>
        <v>0</v>
      </c>
      <c r="P247" s="56">
        <f t="shared" si="41"/>
        <v>0</v>
      </c>
      <c r="Q247" s="56">
        <f t="shared" si="41"/>
        <v>0</v>
      </c>
      <c r="R247" s="56">
        <f t="shared" si="41"/>
        <v>0</v>
      </c>
      <c r="S247" s="56">
        <f t="shared" si="41"/>
        <v>0</v>
      </c>
      <c r="T247" s="56">
        <f t="shared" si="41"/>
        <v>0</v>
      </c>
      <c r="U247" s="56">
        <f t="shared" si="41"/>
        <v>0</v>
      </c>
      <c r="V247" s="56">
        <f t="shared" si="41"/>
        <v>0</v>
      </c>
      <c r="W247" s="56">
        <f t="shared" si="41"/>
        <v>0</v>
      </c>
      <c r="X247" s="56">
        <f t="shared" si="41"/>
        <v>0</v>
      </c>
      <c r="Y247" s="56">
        <f t="shared" si="41"/>
        <v>0</v>
      </c>
      <c r="Z247" s="56">
        <f t="shared" si="41"/>
        <v>0</v>
      </c>
      <c r="AA247" s="56">
        <f t="shared" si="41"/>
        <v>0</v>
      </c>
      <c r="AB247" s="56">
        <f t="shared" si="41"/>
        <v>0</v>
      </c>
      <c r="AC247" s="56">
        <f t="shared" si="41"/>
        <v>0</v>
      </c>
      <c r="AD247" s="56">
        <f t="shared" si="41"/>
        <v>0</v>
      </c>
      <c r="AE247" s="56">
        <f t="shared" si="41"/>
        <v>0</v>
      </c>
      <c r="AF247" s="56">
        <f t="shared" si="41"/>
        <v>0</v>
      </c>
      <c r="AG247" s="56">
        <f t="shared" si="41"/>
        <v>0</v>
      </c>
      <c r="AH247" s="56">
        <f t="shared" si="41"/>
        <v>0</v>
      </c>
      <c r="AI247" s="56">
        <f t="shared" si="41"/>
        <v>0</v>
      </c>
      <c r="AJ247" s="56">
        <f t="shared" si="41"/>
        <v>0</v>
      </c>
      <c r="AK247" s="56">
        <f t="shared" si="41"/>
        <v>0</v>
      </c>
      <c r="AL247" s="56">
        <f t="shared" si="41"/>
        <v>0</v>
      </c>
      <c r="AM247" s="56">
        <f t="shared" si="41"/>
        <v>0</v>
      </c>
      <c r="AN247" s="56">
        <f t="shared" si="41"/>
        <v>0</v>
      </c>
      <c r="AO247" s="56">
        <f t="shared" si="41"/>
        <v>0</v>
      </c>
      <c r="AP247" s="29"/>
    </row>
    <row r="248" spans="1:42" outlineLevel="1" x14ac:dyDescent="0.25">
      <c r="A248" s="54"/>
      <c r="B248" s="13"/>
      <c r="C248" s="14" t="s">
        <v>485</v>
      </c>
      <c r="D248" s="14"/>
      <c r="E248" s="70" t="s">
        <v>474</v>
      </c>
      <c r="F248" s="258">
        <f>Data!$E$40/1000</f>
        <v>605.20914606741576</v>
      </c>
      <c r="G248" s="56"/>
      <c r="H248" s="56"/>
      <c r="I248" s="56">
        <f>I$240*$F248</f>
        <v>10948.219450715304</v>
      </c>
      <c r="J248" s="56">
        <f t="shared" ref="J248:AO248" si="42">J$240*$F248</f>
        <v>10948.219450715304</v>
      </c>
      <c r="K248" s="56">
        <f t="shared" si="42"/>
        <v>10948.219450715304</v>
      </c>
      <c r="L248" s="56">
        <f t="shared" si="42"/>
        <v>10948.219450715304</v>
      </c>
      <c r="M248" s="56">
        <f t="shared" si="42"/>
        <v>10948.219450715304</v>
      </c>
      <c r="N248" s="56">
        <f t="shared" si="42"/>
        <v>10948.219450715304</v>
      </c>
      <c r="O248" s="56">
        <f t="shared" si="42"/>
        <v>10948.219450715304</v>
      </c>
      <c r="P248" s="56">
        <f t="shared" si="42"/>
        <v>10948.219450715304</v>
      </c>
      <c r="Q248" s="56">
        <f t="shared" si="42"/>
        <v>10948.219450715304</v>
      </c>
      <c r="R248" s="56">
        <f t="shared" si="42"/>
        <v>10948.219450715304</v>
      </c>
      <c r="S248" s="56">
        <f t="shared" si="42"/>
        <v>10948.219450715304</v>
      </c>
      <c r="T248" s="56">
        <f t="shared" si="42"/>
        <v>10948.219450715304</v>
      </c>
      <c r="U248" s="56">
        <f t="shared" si="42"/>
        <v>0</v>
      </c>
      <c r="V248" s="56">
        <f t="shared" si="42"/>
        <v>0</v>
      </c>
      <c r="W248" s="56">
        <f t="shared" si="42"/>
        <v>0</v>
      </c>
      <c r="X248" s="56">
        <f t="shared" si="42"/>
        <v>0</v>
      </c>
      <c r="Y248" s="56">
        <f t="shared" si="42"/>
        <v>0</v>
      </c>
      <c r="Z248" s="56">
        <f t="shared" si="42"/>
        <v>0</v>
      </c>
      <c r="AA248" s="56">
        <f t="shared" si="42"/>
        <v>0</v>
      </c>
      <c r="AB248" s="56">
        <f t="shared" si="42"/>
        <v>0</v>
      </c>
      <c r="AC248" s="56">
        <f t="shared" si="42"/>
        <v>0</v>
      </c>
      <c r="AD248" s="56">
        <f t="shared" si="42"/>
        <v>0</v>
      </c>
      <c r="AE248" s="56">
        <f t="shared" si="42"/>
        <v>0</v>
      </c>
      <c r="AF248" s="56">
        <f t="shared" si="42"/>
        <v>0</v>
      </c>
      <c r="AG248" s="56">
        <f t="shared" si="42"/>
        <v>0</v>
      </c>
      <c r="AH248" s="56">
        <f t="shared" si="42"/>
        <v>0</v>
      </c>
      <c r="AI248" s="56">
        <f t="shared" si="42"/>
        <v>0</v>
      </c>
      <c r="AJ248" s="56">
        <f t="shared" si="42"/>
        <v>0</v>
      </c>
      <c r="AK248" s="56">
        <f t="shared" si="42"/>
        <v>0</v>
      </c>
      <c r="AL248" s="56">
        <f t="shared" si="42"/>
        <v>0</v>
      </c>
      <c r="AM248" s="56">
        <f t="shared" si="42"/>
        <v>0</v>
      </c>
      <c r="AN248" s="56">
        <f t="shared" si="42"/>
        <v>0</v>
      </c>
      <c r="AO248" s="56">
        <f t="shared" si="42"/>
        <v>0</v>
      </c>
      <c r="AP248" s="29"/>
    </row>
    <row r="249" spans="1:42" outlineLevel="1" x14ac:dyDescent="0.25">
      <c r="A249" s="54"/>
      <c r="B249" s="13"/>
      <c r="C249" s="14" t="s">
        <v>214</v>
      </c>
      <c r="D249" s="14"/>
      <c r="E249" s="70" t="s">
        <v>474</v>
      </c>
      <c r="F249" s="258">
        <f>Data!$E$41/1000</f>
        <v>0</v>
      </c>
      <c r="G249" s="56"/>
      <c r="H249" s="56"/>
      <c r="I249" s="56">
        <f>I$241*$F249</f>
        <v>0</v>
      </c>
      <c r="J249" s="56">
        <f t="shared" ref="J249:AO249" si="43">J$241*$F249</f>
        <v>0</v>
      </c>
      <c r="K249" s="56">
        <f t="shared" si="43"/>
        <v>0</v>
      </c>
      <c r="L249" s="56">
        <f t="shared" si="43"/>
        <v>0</v>
      </c>
      <c r="M249" s="56">
        <f t="shared" si="43"/>
        <v>0</v>
      </c>
      <c r="N249" s="56">
        <f t="shared" si="43"/>
        <v>0</v>
      </c>
      <c r="O249" s="56">
        <f t="shared" si="43"/>
        <v>0</v>
      </c>
      <c r="P249" s="56">
        <f t="shared" si="43"/>
        <v>0</v>
      </c>
      <c r="Q249" s="56">
        <f t="shared" si="43"/>
        <v>0</v>
      </c>
      <c r="R249" s="56">
        <f t="shared" si="43"/>
        <v>0</v>
      </c>
      <c r="S249" s="56">
        <f t="shared" si="43"/>
        <v>0</v>
      </c>
      <c r="T249" s="56">
        <f t="shared" si="43"/>
        <v>0</v>
      </c>
      <c r="U249" s="56">
        <f t="shared" si="43"/>
        <v>0</v>
      </c>
      <c r="V249" s="56">
        <f t="shared" si="43"/>
        <v>0</v>
      </c>
      <c r="W249" s="56">
        <f t="shared" si="43"/>
        <v>0</v>
      </c>
      <c r="X249" s="56">
        <f t="shared" si="43"/>
        <v>0</v>
      </c>
      <c r="Y249" s="56">
        <f t="shared" si="43"/>
        <v>0</v>
      </c>
      <c r="Z249" s="56">
        <f t="shared" si="43"/>
        <v>0</v>
      </c>
      <c r="AA249" s="56">
        <f t="shared" si="43"/>
        <v>0</v>
      </c>
      <c r="AB249" s="56">
        <f t="shared" si="43"/>
        <v>0</v>
      </c>
      <c r="AC249" s="56">
        <f t="shared" si="43"/>
        <v>0</v>
      </c>
      <c r="AD249" s="56">
        <f t="shared" si="43"/>
        <v>0</v>
      </c>
      <c r="AE249" s="56">
        <f t="shared" si="43"/>
        <v>0</v>
      </c>
      <c r="AF249" s="56">
        <f t="shared" si="43"/>
        <v>0</v>
      </c>
      <c r="AG249" s="56">
        <f t="shared" si="43"/>
        <v>0</v>
      </c>
      <c r="AH249" s="56">
        <f t="shared" si="43"/>
        <v>0</v>
      </c>
      <c r="AI249" s="56">
        <f t="shared" si="43"/>
        <v>0</v>
      </c>
      <c r="AJ249" s="56">
        <f t="shared" si="43"/>
        <v>0</v>
      </c>
      <c r="AK249" s="56">
        <f t="shared" si="43"/>
        <v>0</v>
      </c>
      <c r="AL249" s="56">
        <f t="shared" si="43"/>
        <v>0</v>
      </c>
      <c r="AM249" s="56">
        <f t="shared" si="43"/>
        <v>0</v>
      </c>
      <c r="AN249" s="56">
        <f t="shared" si="43"/>
        <v>0</v>
      </c>
      <c r="AO249" s="56">
        <f t="shared" si="43"/>
        <v>0</v>
      </c>
      <c r="AP249" s="29"/>
    </row>
    <row r="250" spans="1:42" outlineLevel="1" x14ac:dyDescent="0.25">
      <c r="A250" s="12"/>
      <c r="B250" s="13"/>
      <c r="C250" s="20" t="s">
        <v>536</v>
      </c>
      <c r="D250" s="14"/>
      <c r="E250" s="70" t="s">
        <v>474</v>
      </c>
      <c r="F250" s="16"/>
      <c r="G250" s="159"/>
      <c r="H250" s="185"/>
      <c r="I250" s="185">
        <f>SUM(I243:I249)</f>
        <v>392126.56785821437</v>
      </c>
      <c r="J250" s="185">
        <f t="shared" ref="J250:AO250" si="44">SUM(J243:J249)</f>
        <v>394235.48624430277</v>
      </c>
      <c r="K250" s="185">
        <f t="shared" si="44"/>
        <v>396133.51279178233</v>
      </c>
      <c r="L250" s="185">
        <f t="shared" si="44"/>
        <v>398242.43117787066</v>
      </c>
      <c r="M250" s="185">
        <f t="shared" si="44"/>
        <v>400351.34956395905</v>
      </c>
      <c r="N250" s="185">
        <f t="shared" si="44"/>
        <v>402460.26795004745</v>
      </c>
      <c r="O250" s="185">
        <f t="shared" si="44"/>
        <v>404358.29449752701</v>
      </c>
      <c r="P250" s="185">
        <f t="shared" si="44"/>
        <v>405623.64552918007</v>
      </c>
      <c r="Q250" s="185">
        <f t="shared" si="44"/>
        <v>406888.99656083307</v>
      </c>
      <c r="R250" s="185">
        <f t="shared" si="44"/>
        <v>408365.23943109496</v>
      </c>
      <c r="S250" s="185">
        <f t="shared" si="44"/>
        <v>409630.59046274802</v>
      </c>
      <c r="T250" s="185">
        <f t="shared" si="44"/>
        <v>410895.94149440102</v>
      </c>
      <c r="U250" s="185">
        <f t="shared" si="44"/>
        <v>0</v>
      </c>
      <c r="V250" s="185">
        <f t="shared" si="44"/>
        <v>0</v>
      </c>
      <c r="W250" s="185">
        <f t="shared" si="44"/>
        <v>0</v>
      </c>
      <c r="X250" s="185">
        <f t="shared" si="44"/>
        <v>0</v>
      </c>
      <c r="Y250" s="185">
        <f t="shared" si="44"/>
        <v>0</v>
      </c>
      <c r="Z250" s="185">
        <f t="shared" si="44"/>
        <v>0</v>
      </c>
      <c r="AA250" s="185">
        <f t="shared" si="44"/>
        <v>0</v>
      </c>
      <c r="AB250" s="185">
        <f t="shared" si="44"/>
        <v>0</v>
      </c>
      <c r="AC250" s="185">
        <f t="shared" si="44"/>
        <v>0</v>
      </c>
      <c r="AD250" s="185">
        <f t="shared" si="44"/>
        <v>0</v>
      </c>
      <c r="AE250" s="185">
        <f t="shared" si="44"/>
        <v>0</v>
      </c>
      <c r="AF250" s="185">
        <f t="shared" si="44"/>
        <v>0</v>
      </c>
      <c r="AG250" s="185">
        <f t="shared" si="44"/>
        <v>0</v>
      </c>
      <c r="AH250" s="185">
        <f t="shared" si="44"/>
        <v>0</v>
      </c>
      <c r="AI250" s="185">
        <f t="shared" si="44"/>
        <v>0</v>
      </c>
      <c r="AJ250" s="185">
        <f t="shared" si="44"/>
        <v>0</v>
      </c>
      <c r="AK250" s="185">
        <f t="shared" si="44"/>
        <v>0</v>
      </c>
      <c r="AL250" s="185">
        <f t="shared" si="44"/>
        <v>0</v>
      </c>
      <c r="AM250" s="185">
        <f t="shared" si="44"/>
        <v>0</v>
      </c>
      <c r="AN250" s="185">
        <f t="shared" si="44"/>
        <v>0</v>
      </c>
      <c r="AO250" s="185">
        <f t="shared" si="44"/>
        <v>0</v>
      </c>
      <c r="AP250" s="14"/>
    </row>
    <row r="251" spans="1:42" outlineLevel="1" x14ac:dyDescent="0.25">
      <c r="A251" s="12"/>
      <c r="B251" s="13"/>
      <c r="C251" s="14"/>
      <c r="D251" s="14"/>
      <c r="E251" s="15"/>
      <c r="F251" s="16"/>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4"/>
    </row>
    <row r="252" spans="1:42" outlineLevel="1" x14ac:dyDescent="0.25">
      <c r="A252" s="12"/>
      <c r="B252" s="13"/>
      <c r="C252" s="14" t="s">
        <v>523</v>
      </c>
      <c r="D252" s="14"/>
      <c r="E252" s="15" t="s">
        <v>474</v>
      </c>
      <c r="F252" s="48"/>
      <c r="G252" s="185"/>
      <c r="H252" s="185"/>
      <c r="I252" s="185">
        <f>I250*Data!H$9</f>
        <v>377044.77678674454</v>
      </c>
      <c r="J252" s="185">
        <f>J250*Data!I$9</f>
        <v>364492.86819924437</v>
      </c>
      <c r="K252" s="185">
        <f>K250*Data!J$9</f>
        <v>352161.25041941274</v>
      </c>
      <c r="L252" s="185">
        <f>L250*Data!K$9</f>
        <v>340419.29921671096</v>
      </c>
      <c r="M252" s="185">
        <f>M250*Data!L$9</f>
        <v>329059.62643430667</v>
      </c>
      <c r="N252" s="185">
        <f>N250*Data!M$9</f>
        <v>318070.19579016912</v>
      </c>
      <c r="O252" s="185">
        <f>O250*Data!N$9</f>
        <v>307279.07090467663</v>
      </c>
      <c r="P252" s="185">
        <f>P250*Data!O$9</f>
        <v>296385.22470536857</v>
      </c>
      <c r="Q252" s="185">
        <f>Q250*Data!P$9</f>
        <v>285874.81183662167</v>
      </c>
      <c r="R252" s="185">
        <f>R250*Data!Q$9</f>
        <v>275876.92355361587</v>
      </c>
      <c r="S252" s="185">
        <f>S250*Data!R$9</f>
        <v>266088.22054960334</v>
      </c>
      <c r="T252" s="185">
        <f>T250*Data!S$9</f>
        <v>256644.39274182593</v>
      </c>
      <c r="U252" s="185">
        <f>U250*Data!T$9</f>
        <v>0</v>
      </c>
      <c r="V252" s="185">
        <f>V250*Data!U$9</f>
        <v>0</v>
      </c>
      <c r="W252" s="185">
        <f>W250*Data!V$9</f>
        <v>0</v>
      </c>
      <c r="X252" s="185">
        <f>X250*Data!W$9</f>
        <v>0</v>
      </c>
      <c r="Y252" s="185">
        <f>Y250*Data!X$9</f>
        <v>0</v>
      </c>
      <c r="Z252" s="185">
        <f>Z250*Data!Y$9</f>
        <v>0</v>
      </c>
      <c r="AA252" s="185">
        <f>AA250*Data!Z$9</f>
        <v>0</v>
      </c>
      <c r="AB252" s="185">
        <f>AB250*Data!AA$9</f>
        <v>0</v>
      </c>
      <c r="AC252" s="185">
        <f>AC250*Data!AB$9</f>
        <v>0</v>
      </c>
      <c r="AD252" s="185">
        <f>AD250*Data!AC$9</f>
        <v>0</v>
      </c>
      <c r="AE252" s="185">
        <f>AE250*Data!AD$9</f>
        <v>0</v>
      </c>
      <c r="AF252" s="185">
        <f>AF250*Data!AE$9</f>
        <v>0</v>
      </c>
      <c r="AG252" s="185">
        <f>AG250*Data!AF$9</f>
        <v>0</v>
      </c>
      <c r="AH252" s="185">
        <f>AH250*Data!AG$9</f>
        <v>0</v>
      </c>
      <c r="AI252" s="185">
        <f>AI250*Data!AH$9</f>
        <v>0</v>
      </c>
      <c r="AJ252" s="185">
        <f>AJ250*Data!AI$9</f>
        <v>0</v>
      </c>
      <c r="AK252" s="185">
        <f>AK250*Data!AJ$9</f>
        <v>0</v>
      </c>
      <c r="AL252" s="185">
        <f>AL250*Data!AK$9</f>
        <v>0</v>
      </c>
      <c r="AM252" s="185">
        <f>AM250*Data!AL$9</f>
        <v>0</v>
      </c>
      <c r="AN252" s="185">
        <f>AN250*Data!AM$9</f>
        <v>0</v>
      </c>
      <c r="AO252" s="185">
        <f>AO250*Data!AN$9</f>
        <v>0</v>
      </c>
      <c r="AP252" s="14"/>
    </row>
    <row r="253" spans="1:42" outlineLevel="1" x14ac:dyDescent="0.25">
      <c r="A253" s="12"/>
      <c r="B253" s="13"/>
      <c r="C253" s="14" t="s">
        <v>489</v>
      </c>
      <c r="D253" s="13"/>
      <c r="E253" s="15" t="s">
        <v>142</v>
      </c>
      <c r="F253" s="16"/>
      <c r="G253" s="159">
        <f>SUM(H252:AO252)</f>
        <v>3769396.6611383008</v>
      </c>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row>
    <row r="254" spans="1:42" outlineLevel="1" x14ac:dyDescent="0.25">
      <c r="A254" s="12"/>
      <c r="B254" s="13"/>
      <c r="C254" s="41" t="s">
        <v>62</v>
      </c>
      <c r="D254" s="41"/>
      <c r="E254" s="15" t="s">
        <v>261</v>
      </c>
      <c r="F254" s="16"/>
      <c r="G254" s="184">
        <f>G253/(SUM(H233:AO233))</f>
        <v>3.3559443208140141</v>
      </c>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7"/>
    </row>
    <row r="255" spans="1:42" outlineLevel="1" x14ac:dyDescent="0.25">
      <c r="A255" s="12"/>
      <c r="B255" s="13"/>
      <c r="C255" s="14"/>
      <c r="D255" s="14"/>
      <c r="E255" s="15"/>
      <c r="F255" s="16"/>
      <c r="G255" s="14"/>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17"/>
    </row>
    <row r="256" spans="1:42" ht="18.75" outlineLevel="1" x14ac:dyDescent="0.3">
      <c r="A256" s="12"/>
      <c r="B256" s="13"/>
      <c r="C256" s="205" t="s">
        <v>524</v>
      </c>
      <c r="D256" s="14"/>
      <c r="E256" s="15" t="s">
        <v>261</v>
      </c>
      <c r="F256" s="16"/>
      <c r="G256" s="204">
        <f>G224+G231+G254</f>
        <v>6.8152011773395031</v>
      </c>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17"/>
    </row>
    <row r="257" spans="1:42" outlineLevel="1" x14ac:dyDescent="0.25">
      <c r="A257" s="12"/>
      <c r="B257" s="13"/>
      <c r="C257" s="14"/>
      <c r="D257" s="14"/>
      <c r="E257" s="15"/>
      <c r="F257" s="16"/>
      <c r="G257" s="14"/>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17"/>
    </row>
    <row r="258" spans="1:42" outlineLevel="1" x14ac:dyDescent="0.25">
      <c r="A258" s="23"/>
      <c r="B258" s="23"/>
      <c r="C258" s="24" t="s">
        <v>525</v>
      </c>
      <c r="D258" s="24"/>
      <c r="E258" s="25"/>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7"/>
    </row>
    <row r="259" spans="1:42" outlineLevel="1" x14ac:dyDescent="0.25">
      <c r="A259" s="12"/>
      <c r="B259" s="13"/>
      <c r="C259" s="13"/>
      <c r="D259" s="14"/>
      <c r="E259" s="15"/>
      <c r="F259" s="16"/>
      <c r="G259" s="14"/>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17"/>
    </row>
    <row r="260" spans="1:42" outlineLevel="1" x14ac:dyDescent="0.25">
      <c r="A260" s="12"/>
      <c r="B260" s="13"/>
      <c r="C260" s="37" t="s">
        <v>537</v>
      </c>
      <c r="D260" s="37"/>
      <c r="E260" s="38"/>
      <c r="F260" s="39"/>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17"/>
    </row>
    <row r="261" spans="1:42" outlineLevel="1" x14ac:dyDescent="0.25">
      <c r="A261" s="12"/>
      <c r="B261" s="13"/>
      <c r="C261" s="96" t="s">
        <v>526</v>
      </c>
      <c r="D261" s="14"/>
      <c r="E261" s="15" t="s">
        <v>142</v>
      </c>
      <c r="F261" s="16"/>
      <c r="G261" s="141">
        <f>G223</f>
        <v>3885437.30124943</v>
      </c>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17"/>
    </row>
    <row r="262" spans="1:42" outlineLevel="1" x14ac:dyDescent="0.25">
      <c r="A262" s="12"/>
      <c r="B262" s="13"/>
      <c r="C262" s="96" t="s">
        <v>527</v>
      </c>
      <c r="D262" s="14"/>
      <c r="E262" s="15" t="s">
        <v>474</v>
      </c>
      <c r="F262" s="16"/>
      <c r="G262" s="238">
        <f>G261/Dashboard!$I$31</f>
        <v>323786.44177078584</v>
      </c>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17"/>
    </row>
    <row r="263" spans="1:42" outlineLevel="1" x14ac:dyDescent="0.25">
      <c r="A263" s="12"/>
      <c r="B263" s="13"/>
      <c r="C263" s="96" t="s">
        <v>528</v>
      </c>
      <c r="D263" s="14"/>
      <c r="E263" s="15" t="s">
        <v>529</v>
      </c>
      <c r="F263" s="16"/>
      <c r="G263" s="151">
        <f>SUM(I236:AO236)</f>
        <v>2530702.0633060671</v>
      </c>
      <c r="H263" s="14"/>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17"/>
    </row>
    <row r="264" spans="1:42" outlineLevel="1" x14ac:dyDescent="0.25">
      <c r="A264" s="12"/>
      <c r="B264" s="13"/>
      <c r="C264" s="96" t="s">
        <v>530</v>
      </c>
      <c r="D264" s="14"/>
      <c r="E264" s="15" t="s">
        <v>531</v>
      </c>
      <c r="F264" s="16"/>
      <c r="G264" s="151">
        <f>G263/Dashboard!$I$31</f>
        <v>210891.83860883894</v>
      </c>
      <c r="H264" s="14"/>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17"/>
    </row>
    <row r="265" spans="1:42" outlineLevel="1" x14ac:dyDescent="0.25">
      <c r="A265" s="12"/>
      <c r="B265" s="13"/>
      <c r="C265" s="14"/>
      <c r="D265" s="14"/>
      <c r="E265" s="15"/>
      <c r="F265" s="16"/>
      <c r="G265" s="20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29"/>
    </row>
    <row r="266" spans="1:42" outlineLevel="1" x14ac:dyDescent="0.25">
      <c r="A266" s="12"/>
      <c r="B266" s="13"/>
      <c r="C266" s="37" t="s">
        <v>538</v>
      </c>
      <c r="D266" s="37"/>
      <c r="E266" s="38"/>
      <c r="F266" s="39"/>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17"/>
    </row>
    <row r="267" spans="1:42" outlineLevel="1" x14ac:dyDescent="0.25">
      <c r="A267" s="12"/>
      <c r="B267" s="13"/>
      <c r="C267" s="14" t="s">
        <v>539</v>
      </c>
      <c r="D267" s="14"/>
      <c r="E267" s="15" t="s">
        <v>142</v>
      </c>
      <c r="F267" s="16"/>
      <c r="G267" s="177">
        <f>G262-'Diesel (BAU)'!G268</f>
        <v>-12871.439344115264</v>
      </c>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17"/>
    </row>
    <row r="268" spans="1:42" outlineLevel="1" x14ac:dyDescent="0.25">
      <c r="A268" s="12"/>
      <c r="B268" s="13"/>
      <c r="C268" s="14" t="s">
        <v>540</v>
      </c>
      <c r="D268" s="44"/>
      <c r="E268" s="15" t="s">
        <v>529</v>
      </c>
      <c r="F268" s="16"/>
      <c r="G268" s="177">
        <f>'Diesel (BAU)'!G270-'H2 Blending'!G264</f>
        <v>316.81297737933346</v>
      </c>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17"/>
    </row>
    <row r="269" spans="1:42" ht="18.75" outlineLevel="1" x14ac:dyDescent="0.3">
      <c r="A269" s="12"/>
      <c r="B269" s="13"/>
      <c r="C269" s="221" t="s">
        <v>542</v>
      </c>
      <c r="D269" s="45"/>
      <c r="E269" s="15"/>
      <c r="F269" s="16"/>
      <c r="G269" s="220">
        <f>G267/G268</f>
        <v>-40.627879105797334</v>
      </c>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29"/>
    </row>
  </sheetData>
  <conditionalFormatting sqref="G47">
    <cfRule type="expression" dxfId="693" priority="153">
      <formula>H$2&gt;=start_proj</formula>
    </cfRule>
  </conditionalFormatting>
  <conditionalFormatting sqref="G52:G54">
    <cfRule type="expression" dxfId="692" priority="99">
      <formula>ISNA(G52)</formula>
    </cfRule>
    <cfRule type="expression" dxfId="691" priority="100">
      <formula>G$2&gt;=start_proj</formula>
    </cfRule>
  </conditionalFormatting>
  <conditionalFormatting sqref="G91:G94">
    <cfRule type="expression" dxfId="690" priority="89">
      <formula>H$2&gt;=start_proj</formula>
    </cfRule>
  </conditionalFormatting>
  <conditionalFormatting sqref="G135">
    <cfRule type="expression" dxfId="689" priority="82">
      <formula>H$2&gt;=start_proj</formula>
    </cfRule>
  </conditionalFormatting>
  <conditionalFormatting sqref="G140:G142">
    <cfRule type="expression" dxfId="688" priority="49">
      <formula>ISNA(G140)</formula>
    </cfRule>
    <cfRule type="expression" dxfId="687" priority="50">
      <formula>G$2&gt;=start_proj</formula>
    </cfRule>
  </conditionalFormatting>
  <conditionalFormatting sqref="G179:G182">
    <cfRule type="expression" dxfId="686" priority="59">
      <formula>H$2&gt;=start_proj</formula>
    </cfRule>
  </conditionalFormatting>
  <conditionalFormatting sqref="G223">
    <cfRule type="expression" dxfId="685" priority="46">
      <formula>H$2&gt;=start_proj</formula>
    </cfRule>
  </conditionalFormatting>
  <conditionalFormatting sqref="G228:G230">
    <cfRule type="expression" dxfId="684" priority="13">
      <formula>ISNA(G228)</formula>
    </cfRule>
    <cfRule type="expression" dxfId="683" priority="14">
      <formula>G$2&gt;=start_proj</formula>
    </cfRule>
  </conditionalFormatting>
  <conditionalFormatting sqref="G267:G269">
    <cfRule type="expression" dxfId="682" priority="23">
      <formula>H$2&gt;=start_proj</formula>
    </cfRule>
  </conditionalFormatting>
  <conditionalFormatting sqref="AO67:AP73">
    <cfRule type="expression" dxfId="681" priority="103">
      <formula>ISNA(AO67)</formula>
    </cfRule>
    <cfRule type="expression" dxfId="680" priority="104">
      <formula>AO$2&gt;=start_proj</formula>
    </cfRule>
  </conditionalFormatting>
  <conditionalFormatting sqref="G155:H161">
    <cfRule type="expression" dxfId="679" priority="66">
      <formula>ISNA(G155)</formula>
    </cfRule>
    <cfRule type="expression" dxfId="678" priority="67">
      <formula>G$2&gt;=start_proj</formula>
    </cfRule>
  </conditionalFormatting>
  <conditionalFormatting sqref="G243:H249 AP243:AP249">
    <cfRule type="expression" dxfId="677" priority="30">
      <formula>ISNA(G243)</formula>
    </cfRule>
    <cfRule type="expression" dxfId="676" priority="31">
      <formula>G$2&gt;=start_proj</formula>
    </cfRule>
  </conditionalFormatting>
  <conditionalFormatting sqref="AO59:AP65 I59:AN73">
    <cfRule type="expression" dxfId="675" priority="101">
      <formula>ISNA(I59)</formula>
    </cfRule>
    <cfRule type="expression" dxfId="674" priority="102">
      <formula>I$2&gt;=start_proj</formula>
    </cfRule>
  </conditionalFormatting>
  <conditionalFormatting sqref="G147:I147 J147:AP153 G148:H153 I148:I161 J154:AB154 J155:AP161">
    <cfRule type="expression" dxfId="673" priority="64">
      <formula>ISNA(G147)</formula>
    </cfRule>
    <cfRule type="expression" dxfId="672" priority="65">
      <formula>G$2&gt;=start_proj</formula>
    </cfRule>
  </conditionalFormatting>
  <conditionalFormatting sqref="G235:AO235 AP235:AP241 G236:H241 I236:AO249">
    <cfRule type="expression" dxfId="671" priority="28">
      <formula>ISNA(G235)</formula>
    </cfRule>
    <cfRule type="expression" dxfId="670" priority="29">
      <formula>G$2&gt;=start_proj</formula>
    </cfRule>
  </conditionalFormatting>
  <conditionalFormatting sqref="H33:AO37 H45:AO46 G47 I47:AO47 H79:AO81 H122:AO125 H133:AP133 H134:AO134 G135 I135:AO135 H167:AO169">
    <cfRule type="expression" dxfId="669" priority="150">
      <formula>ISNA(G33)</formula>
    </cfRule>
  </conditionalFormatting>
  <conditionalFormatting sqref="H33:AO37 H45:AO46 I47:AO47 H79:AO81 H122:AO125 H133:AP133 H134:AO134 I135:AO135 H167:AO169">
    <cfRule type="expression" dxfId="668" priority="152">
      <formula>H$2&gt;=start_proj</formula>
    </cfRule>
  </conditionalFormatting>
  <conditionalFormatting sqref="H83:AO83">
    <cfRule type="expression" dxfId="667" priority="94">
      <formula>ISNA(H83)</formula>
    </cfRule>
    <cfRule type="expression" dxfId="666" priority="95">
      <formula>H$2&gt;=start_proj</formula>
    </cfRule>
  </conditionalFormatting>
  <conditionalFormatting sqref="H171:AO171">
    <cfRule type="expression" dxfId="665" priority="60">
      <formula>ISNA(H171)</formula>
    </cfRule>
    <cfRule type="expression" dxfId="664" priority="61">
      <formula>H$2&gt;=start_proj</formula>
    </cfRule>
  </conditionalFormatting>
  <conditionalFormatting sqref="H210:AO213 H221:AP221 H222:AO222 G223 I223:AO223 H255:AO257">
    <cfRule type="expression" dxfId="663" priority="47">
      <formula>ISNA(G210)</formula>
    </cfRule>
  </conditionalFormatting>
  <conditionalFormatting sqref="H210:AO213 H221:AP221 H222:AO222 I223:AO223 H255:AO257">
    <cfRule type="expression" dxfId="662" priority="48">
      <formula>H$2&gt;=start_proj</formula>
    </cfRule>
  </conditionalFormatting>
  <conditionalFormatting sqref="H259:AO259">
    <cfRule type="expression" dxfId="661" priority="24">
      <formula>ISNA(H259)</formula>
    </cfRule>
    <cfRule type="expression" dxfId="660" priority="25">
      <formula>H$2&gt;=start_proj</formula>
    </cfRule>
  </conditionalFormatting>
  <conditionalFormatting sqref="H2:AP3">
    <cfRule type="cellIs" dxfId="659" priority="109" operator="equal">
      <formula>end_proj</formula>
    </cfRule>
    <cfRule type="expression" dxfId="658" priority="110">
      <formula>ISNA(H2)</formula>
    </cfRule>
    <cfRule type="cellIs" dxfId="657" priority="111" operator="equal">
      <formula>start_proj</formula>
    </cfRule>
    <cfRule type="cellIs" dxfId="656" priority="114" operator="equal">
      <formula>start_hist</formula>
    </cfRule>
    <cfRule type="cellIs" dxfId="655" priority="115" operator="greaterThan">
      <formula>start_proj</formula>
    </cfRule>
  </conditionalFormatting>
  <conditionalFormatting sqref="H16:AP19 H52:AP55">
    <cfRule type="expression" dxfId="654" priority="148">
      <formula>ISNA(H16)</formula>
    </cfRule>
    <cfRule type="expression" dxfId="653" priority="149">
      <formula>H$2&gt;=start_proj</formula>
    </cfRule>
  </conditionalFormatting>
  <conditionalFormatting sqref="H21:AP22">
    <cfRule type="expression" dxfId="652" priority="107">
      <formula>ISNA(H21)</formula>
    </cfRule>
    <cfRule type="expression" dxfId="651" priority="108">
      <formula>H$2&gt;=start_proj</formula>
    </cfRule>
  </conditionalFormatting>
  <conditionalFormatting sqref="H26:AP30">
    <cfRule type="expression" dxfId="650" priority="146">
      <formula>ISNA(H26)</formula>
    </cfRule>
    <cfRule type="expression" dxfId="649" priority="147">
      <formula>H$2&gt;=start_proj</formula>
    </cfRule>
  </conditionalFormatting>
  <conditionalFormatting sqref="H39:AP40">
    <cfRule type="expression" dxfId="648" priority="105">
      <formula>ISNA(H39)</formula>
    </cfRule>
    <cfRule type="expression" dxfId="647" priority="106">
      <formula>H$2&gt;=start_proj</formula>
    </cfRule>
  </conditionalFormatting>
  <conditionalFormatting sqref="H42:AP42">
    <cfRule type="expression" dxfId="646" priority="142">
      <formula>ISNA(H42)</formula>
    </cfRule>
    <cfRule type="expression" dxfId="645" priority="143">
      <formula>H$2&gt;=start_proj</formula>
    </cfRule>
  </conditionalFormatting>
  <conditionalFormatting sqref="H89:AP89">
    <cfRule type="expression" dxfId="644" priority="85">
      <formula>ISNA(H89)</formula>
    </cfRule>
    <cfRule type="expression" dxfId="643" priority="86">
      <formula>H$2&gt;=start_proj</formula>
    </cfRule>
  </conditionalFormatting>
  <conditionalFormatting sqref="H93:AP94">
    <cfRule type="expression" dxfId="642" priority="83">
      <formula>ISNA(H93)</formula>
    </cfRule>
    <cfRule type="expression" dxfId="641" priority="84">
      <formula>H$2&gt;=start_proj</formula>
    </cfRule>
  </conditionalFormatting>
  <conditionalFormatting sqref="H104:AP107 H140:AP143">
    <cfRule type="expression" dxfId="640" priority="80">
      <formula>ISNA(H104)</formula>
    </cfRule>
    <cfRule type="expression" dxfId="639" priority="81">
      <formula>H$2&gt;=start_proj</formula>
    </cfRule>
  </conditionalFormatting>
  <conditionalFormatting sqref="H109:AP110">
    <cfRule type="expression" dxfId="638" priority="70">
      <formula>ISNA(H109)</formula>
    </cfRule>
    <cfRule type="expression" dxfId="637" priority="71">
      <formula>H$2&gt;=start_proj</formula>
    </cfRule>
  </conditionalFormatting>
  <conditionalFormatting sqref="H114:AP118">
    <cfRule type="expression" dxfId="636" priority="78">
      <formula>ISNA(H114)</formula>
    </cfRule>
    <cfRule type="expression" dxfId="635" priority="79">
      <formula>H$2&gt;=start_proj</formula>
    </cfRule>
  </conditionalFormatting>
  <conditionalFormatting sqref="H121:AP121 AP122:AP124">
    <cfRule type="expression" dxfId="634" priority="76">
      <formula>ISNA(H121)</formula>
    </cfRule>
    <cfRule type="expression" dxfId="633" priority="77">
      <formula>H$2&gt;=start_proj</formula>
    </cfRule>
  </conditionalFormatting>
  <conditionalFormatting sqref="H127:AP128">
    <cfRule type="expression" dxfId="632" priority="68">
      <formula>ISNA(H127)</formula>
    </cfRule>
    <cfRule type="expression" dxfId="631" priority="69">
      <formula>H$2&gt;=start_proj</formula>
    </cfRule>
  </conditionalFormatting>
  <conditionalFormatting sqref="H130:AP130">
    <cfRule type="expression" dxfId="630" priority="9">
      <formula>ISNA(H130)</formula>
    </cfRule>
    <cfRule type="expression" dxfId="629" priority="10">
      <formula>H$2&gt;=start_proj</formula>
    </cfRule>
  </conditionalFormatting>
  <conditionalFormatting sqref="H177:AP177">
    <cfRule type="expression" dxfId="628" priority="55">
      <formula>ISNA(H177)</formula>
    </cfRule>
    <cfRule type="expression" dxfId="627" priority="56">
      <formula>H$2&gt;=start_proj</formula>
    </cfRule>
  </conditionalFormatting>
  <conditionalFormatting sqref="H181:AP182">
    <cfRule type="expression" dxfId="626" priority="53">
      <formula>ISNA(H181)</formula>
    </cfRule>
    <cfRule type="expression" dxfId="625" priority="54">
      <formula>H$2&gt;=start_proj</formula>
    </cfRule>
  </conditionalFormatting>
  <conditionalFormatting sqref="H192:AP195 H228:AP231">
    <cfRule type="expression" dxfId="624" priority="44">
      <formula>ISNA(H192)</formula>
    </cfRule>
    <cfRule type="expression" dxfId="623" priority="45">
      <formula>H$2&gt;=start_proj</formula>
    </cfRule>
  </conditionalFormatting>
  <conditionalFormatting sqref="H197:AP198">
    <cfRule type="expression" dxfId="622" priority="34">
      <formula>ISNA(H197)</formula>
    </cfRule>
    <cfRule type="expression" dxfId="621" priority="35">
      <formula>H$2&gt;=start_proj</formula>
    </cfRule>
  </conditionalFormatting>
  <conditionalFormatting sqref="H202:AP206">
    <cfRule type="expression" dxfId="620" priority="42">
      <formula>ISNA(H202)</formula>
    </cfRule>
    <cfRule type="expression" dxfId="619" priority="43">
      <formula>H$2&gt;=start_proj</formula>
    </cfRule>
  </conditionalFormatting>
  <conditionalFormatting sqref="H209:AP209 AP210:AP212">
    <cfRule type="expression" dxfId="618" priority="40">
      <formula>ISNA(H209)</formula>
    </cfRule>
    <cfRule type="expression" dxfId="617" priority="41">
      <formula>H$2&gt;=start_proj</formula>
    </cfRule>
  </conditionalFormatting>
  <conditionalFormatting sqref="H215:AP216">
    <cfRule type="expression" dxfId="616" priority="32">
      <formula>ISNA(H215)</formula>
    </cfRule>
    <cfRule type="expression" dxfId="615" priority="33">
      <formula>H$2&gt;=start_proj</formula>
    </cfRule>
  </conditionalFormatting>
  <conditionalFormatting sqref="H218:AP218">
    <cfRule type="expression" dxfId="614" priority="5">
      <formula>ISNA(H218)</formula>
    </cfRule>
    <cfRule type="expression" dxfId="613" priority="6">
      <formula>H$2&gt;=start_proj</formula>
    </cfRule>
  </conditionalFormatting>
  <conditionalFormatting sqref="H265:AP265">
    <cfRule type="expression" dxfId="612" priority="19">
      <formula>ISNA(H265)</formula>
    </cfRule>
    <cfRule type="expression" dxfId="611" priority="20">
      <formula>H$2&gt;=start_proj</formula>
    </cfRule>
  </conditionalFormatting>
  <conditionalFormatting sqref="H269:AP269">
    <cfRule type="expression" dxfId="610" priority="17">
      <formula>ISNA(H269)</formula>
    </cfRule>
    <cfRule type="expression" dxfId="609" priority="18">
      <formula>H$2&gt;=start_proj</formula>
    </cfRule>
  </conditionalFormatting>
  <conditionalFormatting sqref="I85:AO88 G91:G94">
    <cfRule type="expression" dxfId="608" priority="87">
      <formula>ISNA(G85)</formula>
    </cfRule>
  </conditionalFormatting>
  <conditionalFormatting sqref="I85:AO88">
    <cfRule type="expression" dxfId="607" priority="88">
      <formula>I$2&gt;=start_proj</formula>
    </cfRule>
  </conditionalFormatting>
  <conditionalFormatting sqref="I173:AO176 G179:G182">
    <cfRule type="expression" dxfId="606" priority="57">
      <formula>ISNA(G173)</formula>
    </cfRule>
  </conditionalFormatting>
  <conditionalFormatting sqref="I173:AO176">
    <cfRule type="expression" dxfId="605" priority="58">
      <formula>I$2&gt;=start_proj</formula>
    </cfRule>
  </conditionalFormatting>
  <conditionalFormatting sqref="I261:AO264 G267:G269">
    <cfRule type="expression" dxfId="604" priority="21">
      <formula>ISNA(G261)</formula>
    </cfRule>
  </conditionalFormatting>
  <conditionalFormatting sqref="I261:AO264">
    <cfRule type="expression" dxfId="603" priority="22">
      <formula>I$2&gt;=start_proj</formula>
    </cfRule>
  </conditionalFormatting>
  <conditionalFormatting sqref="AO3">
    <cfRule type="cellIs" dxfId="602" priority="112" operator="equal">
      <formula>start_proj-hist_years</formula>
    </cfRule>
    <cfRule type="cellIs" dxfId="601" priority="113" operator="greaterThan">
      <formula>start_proj</formula>
    </cfRule>
  </conditionalFormatting>
  <conditionalFormatting sqref="AP33:AP36">
    <cfRule type="expression" dxfId="600" priority="144">
      <formula>ISNA(AP33)</formula>
    </cfRule>
    <cfRule type="expression" dxfId="599" priority="145">
      <formula>AP$2&gt;=start_proj</formula>
    </cfRule>
  </conditionalFormatting>
  <conditionalFormatting sqref="AP45:AP47">
    <cfRule type="expression" dxfId="598" priority="140">
      <formula>ISNA(AP45)</formula>
    </cfRule>
    <cfRule type="expression" dxfId="597" priority="141">
      <formula>AP$2&gt;=start_proj</formula>
    </cfRule>
  </conditionalFormatting>
  <conditionalFormatting sqref="AP134:AP135">
    <cfRule type="expression" dxfId="596" priority="51">
      <formula>ISNA(AP134)</formula>
    </cfRule>
    <cfRule type="expression" dxfId="595" priority="52">
      <formula>AP$2&gt;=start_proj</formula>
    </cfRule>
  </conditionalFormatting>
  <conditionalFormatting sqref="AP222:AP223">
    <cfRule type="expression" dxfId="594" priority="15">
      <formula>ISNA(AP222)</formula>
    </cfRule>
    <cfRule type="expression" dxfId="593" priority="16">
      <formula>AP$2&gt;=start_proj</formula>
    </cfRule>
  </conditionalFormatting>
  <conditionalFormatting sqref="H59:H65 H67:H73">
    <cfRule type="expression" dxfId="592" priority="3">
      <formula>ISNA(H59)</formula>
    </cfRule>
    <cfRule type="expression" dxfId="591" priority="4">
      <formula>H$2&gt;=start_proj</formula>
    </cfRule>
  </conditionalFormatting>
  <conditionalFormatting sqref="G59:G74">
    <cfRule type="expression" dxfId="590" priority="1">
      <formula>ISNA(G59)</formula>
    </cfRule>
    <cfRule type="expression" dxfId="589" priority="2">
      <formula>G$2&gt;=start_proj</formula>
    </cfRule>
  </conditionalFormatting>
  <hyperlinks>
    <hyperlink ref="C1" location="Dashboard!A1" display="Go to Dashboard" xr:uid="{EC58D396-6D58-42E9-A568-20F56C7662F3}"/>
    <hyperlink ref="D1" location="Cover!A1" display="Go to Results" xr:uid="{FF29D618-18FD-4021-B732-8502E5118100}"/>
  </hyperlinks>
  <pageMargins left="0.7" right="0.7" top="0.75" bottom="0.75" header="0.3" footer="0.3"/>
  <pageSetup paperSize="9" orientation="portrait" r:id="rId1"/>
  <ignoredErrors>
    <ignoredError sqref="G26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2F77-C354-48A0-BF97-369981609C3D}">
  <sheetPr codeName="Sheet14">
    <tabColor theme="8" tint="-0.249977111117893"/>
  </sheetPr>
  <dimension ref="A1:AP433"/>
  <sheetViews>
    <sheetView zoomScale="70" zoomScaleNormal="70" workbookViewId="0">
      <pane xSplit="7" ySplit="3" topLeftCell="H4" activePane="bottomRight" state="frozen"/>
      <selection pane="topRight" activeCell="H1" sqref="H1"/>
      <selection pane="bottomLeft" activeCell="A4" sqref="A4"/>
      <selection pane="bottomRight" activeCell="C9" sqref="C9"/>
    </sheetView>
  </sheetViews>
  <sheetFormatPr defaultRowHeight="15" outlineLevelRow="1" x14ac:dyDescent="0.25"/>
  <cols>
    <col min="1" max="1" width="7" style="51" customWidth="1"/>
    <col min="2" max="2" width="5.42578125" style="52" customWidth="1"/>
    <col min="3" max="3" width="38.140625" customWidth="1"/>
    <col min="4" max="4" width="15.7109375" customWidth="1"/>
    <col min="5" max="5" width="16.28515625" style="53" customWidth="1"/>
    <col min="6" max="6" width="19.28515625" customWidth="1"/>
    <col min="7" max="7" width="17.42578125" customWidth="1"/>
    <col min="8" max="28" width="14.28515625" bestFit="1" customWidth="1"/>
    <col min="29" max="29" width="12.5703125" customWidth="1"/>
    <col min="30" max="41" width="5.5703125" bestFit="1" customWidth="1"/>
  </cols>
  <sheetData>
    <row r="1" spans="1:42" x14ac:dyDescent="0.25">
      <c r="A1" s="1"/>
      <c r="B1" s="2"/>
      <c r="C1" s="3" t="s">
        <v>191</v>
      </c>
      <c r="D1" s="3" t="s">
        <v>40</v>
      </c>
      <c r="E1" s="4"/>
      <c r="F1" s="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5"/>
    </row>
    <row r="2" spans="1:42" x14ac:dyDescent="0.25">
      <c r="A2" s="6"/>
      <c r="B2" s="7"/>
      <c r="C2" s="8"/>
      <c r="D2" s="8"/>
      <c r="E2" s="9"/>
      <c r="F2" s="9"/>
      <c r="G2" s="7"/>
      <c r="H2" s="10">
        <f>chart_start_proj</f>
        <v>2023</v>
      </c>
      <c r="I2" s="10">
        <f>H2+1</f>
        <v>2024</v>
      </c>
      <c r="J2" s="10">
        <f t="shared" ref="J2:AO2" si="0">I2+1</f>
        <v>2025</v>
      </c>
      <c r="K2" s="10">
        <f t="shared" si="0"/>
        <v>2026</v>
      </c>
      <c r="L2" s="10">
        <f t="shared" si="0"/>
        <v>2027</v>
      </c>
      <c r="M2" s="10">
        <f t="shared" si="0"/>
        <v>2028</v>
      </c>
      <c r="N2" s="10">
        <f t="shared" si="0"/>
        <v>2029</v>
      </c>
      <c r="O2" s="10">
        <f t="shared" si="0"/>
        <v>2030</v>
      </c>
      <c r="P2" s="10">
        <f t="shared" si="0"/>
        <v>2031</v>
      </c>
      <c r="Q2" s="10">
        <f t="shared" si="0"/>
        <v>2032</v>
      </c>
      <c r="R2" s="10">
        <f t="shared" si="0"/>
        <v>2033</v>
      </c>
      <c r="S2" s="10">
        <f t="shared" si="0"/>
        <v>2034</v>
      </c>
      <c r="T2" s="10">
        <f t="shared" si="0"/>
        <v>2035</v>
      </c>
      <c r="U2" s="10">
        <f t="shared" si="0"/>
        <v>2036</v>
      </c>
      <c r="V2" s="10">
        <f t="shared" si="0"/>
        <v>2037</v>
      </c>
      <c r="W2" s="10">
        <f t="shared" si="0"/>
        <v>2038</v>
      </c>
      <c r="X2" s="10">
        <f t="shared" si="0"/>
        <v>2039</v>
      </c>
      <c r="Y2" s="10">
        <f t="shared" si="0"/>
        <v>2040</v>
      </c>
      <c r="Z2" s="10">
        <f t="shared" si="0"/>
        <v>2041</v>
      </c>
      <c r="AA2" s="10">
        <f t="shared" si="0"/>
        <v>2042</v>
      </c>
      <c r="AB2" s="10">
        <f t="shared" si="0"/>
        <v>2043</v>
      </c>
      <c r="AC2" s="10">
        <f t="shared" si="0"/>
        <v>2044</v>
      </c>
      <c r="AD2" s="10">
        <f t="shared" si="0"/>
        <v>2045</v>
      </c>
      <c r="AE2" s="10">
        <f t="shared" si="0"/>
        <v>2046</v>
      </c>
      <c r="AF2" s="10">
        <f t="shared" si="0"/>
        <v>2047</v>
      </c>
      <c r="AG2" s="10">
        <f t="shared" si="0"/>
        <v>2048</v>
      </c>
      <c r="AH2" s="10">
        <f t="shared" si="0"/>
        <v>2049</v>
      </c>
      <c r="AI2" s="10">
        <f t="shared" si="0"/>
        <v>2050</v>
      </c>
      <c r="AJ2" s="10">
        <f t="shared" si="0"/>
        <v>2051</v>
      </c>
      <c r="AK2" s="10">
        <f t="shared" si="0"/>
        <v>2052</v>
      </c>
      <c r="AL2" s="10">
        <f t="shared" si="0"/>
        <v>2053</v>
      </c>
      <c r="AM2" s="10">
        <f t="shared" si="0"/>
        <v>2054</v>
      </c>
      <c r="AN2" s="10">
        <f t="shared" si="0"/>
        <v>2055</v>
      </c>
      <c r="AO2" s="10">
        <f t="shared" si="0"/>
        <v>2056</v>
      </c>
      <c r="AP2" s="11"/>
    </row>
    <row r="3" spans="1:42" x14ac:dyDescent="0.25">
      <c r="A3" s="1"/>
      <c r="B3" s="2"/>
      <c r="C3" s="148"/>
      <c r="D3" s="148"/>
      <c r="E3" s="4"/>
      <c r="F3" s="4"/>
      <c r="G3" s="2"/>
      <c r="H3" s="142">
        <v>0</v>
      </c>
      <c r="I3" s="142">
        <v>1</v>
      </c>
      <c r="J3" s="142">
        <v>2</v>
      </c>
      <c r="K3" s="142">
        <v>3</v>
      </c>
      <c r="L3" s="142">
        <v>4</v>
      </c>
      <c r="M3" s="142">
        <v>5</v>
      </c>
      <c r="N3" s="142">
        <v>6</v>
      </c>
      <c r="O3" s="142">
        <v>7</v>
      </c>
      <c r="P3" s="142">
        <v>8</v>
      </c>
      <c r="Q3" s="142">
        <v>9</v>
      </c>
      <c r="R3" s="142">
        <v>10</v>
      </c>
      <c r="S3" s="142">
        <v>11</v>
      </c>
      <c r="T3" s="142">
        <v>12</v>
      </c>
      <c r="U3" s="142">
        <v>13</v>
      </c>
      <c r="V3" s="142">
        <v>14</v>
      </c>
      <c r="W3" s="142">
        <v>15</v>
      </c>
      <c r="X3" s="142">
        <v>16</v>
      </c>
      <c r="Y3" s="142">
        <v>17</v>
      </c>
      <c r="Z3" s="142">
        <v>18</v>
      </c>
      <c r="AA3" s="142">
        <v>19</v>
      </c>
      <c r="AB3" s="142">
        <v>20</v>
      </c>
      <c r="AC3" s="142">
        <v>21</v>
      </c>
      <c r="AD3" s="142">
        <v>22</v>
      </c>
      <c r="AE3" s="142">
        <v>23</v>
      </c>
      <c r="AF3" s="142">
        <v>24</v>
      </c>
      <c r="AG3" s="142">
        <v>25</v>
      </c>
      <c r="AH3" s="142">
        <v>26</v>
      </c>
      <c r="AI3" s="142">
        <v>27</v>
      </c>
      <c r="AJ3" s="142">
        <v>28</v>
      </c>
      <c r="AK3" s="142">
        <v>29</v>
      </c>
      <c r="AL3" s="142">
        <v>30</v>
      </c>
      <c r="AM3" s="142">
        <v>31</v>
      </c>
      <c r="AN3" s="142">
        <v>32</v>
      </c>
      <c r="AO3" s="142">
        <v>33</v>
      </c>
      <c r="AP3" s="149"/>
    </row>
    <row r="4" spans="1:42" x14ac:dyDescent="0.25">
      <c r="A4" s="12"/>
      <c r="B4" s="13"/>
      <c r="C4" s="14"/>
      <c r="D4" s="14"/>
      <c r="E4" s="15"/>
      <c r="F4" s="16"/>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7"/>
    </row>
    <row r="5" spans="1:42" x14ac:dyDescent="0.25">
      <c r="A5" s="18" t="s">
        <v>192</v>
      </c>
      <c r="B5" s="19"/>
      <c r="C5" s="20" t="s">
        <v>193</v>
      </c>
      <c r="D5" s="21" t="s">
        <v>194</v>
      </c>
      <c r="E5" s="21" t="s">
        <v>110</v>
      </c>
      <c r="F5" s="22" t="s">
        <v>195</v>
      </c>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7"/>
    </row>
    <row r="6" spans="1:42" x14ac:dyDescent="0.25">
      <c r="A6" s="12"/>
      <c r="B6" s="13"/>
      <c r="C6" s="14"/>
      <c r="D6" s="14"/>
      <c r="E6" s="15"/>
      <c r="F6" s="16"/>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7"/>
    </row>
    <row r="7" spans="1:42" x14ac:dyDescent="0.25">
      <c r="A7" s="89"/>
      <c r="B7" s="89"/>
      <c r="C7" s="90" t="s">
        <v>172</v>
      </c>
      <c r="D7" s="91"/>
      <c r="E7" s="92"/>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3"/>
    </row>
    <row r="8" spans="1:42" x14ac:dyDescent="0.25">
      <c r="A8" s="23"/>
      <c r="B8" s="23"/>
      <c r="C8" s="24" t="s">
        <v>543</v>
      </c>
      <c r="D8" s="24"/>
      <c r="E8" s="25"/>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7"/>
    </row>
    <row r="9" spans="1:42" x14ac:dyDescent="0.25">
      <c r="A9" s="13"/>
      <c r="B9" s="13"/>
      <c r="C9" s="30"/>
      <c r="D9" s="30"/>
      <c r="E9" s="31"/>
      <c r="F9" s="16"/>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3"/>
    </row>
    <row r="10" spans="1:42" x14ac:dyDescent="0.25">
      <c r="A10" s="12"/>
      <c r="B10" s="13"/>
      <c r="C10" s="14"/>
      <c r="D10" s="14"/>
      <c r="E10" s="15"/>
      <c r="F10" s="16"/>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7"/>
    </row>
    <row r="11" spans="1:42" x14ac:dyDescent="0.25">
      <c r="A11" s="12"/>
      <c r="B11" s="13"/>
      <c r="C11" s="37" t="s">
        <v>506</v>
      </c>
      <c r="D11" s="37"/>
      <c r="E11" s="38"/>
      <c r="F11" s="39"/>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17"/>
    </row>
    <row r="12" spans="1:42" x14ac:dyDescent="0.25">
      <c r="A12" s="12"/>
      <c r="B12" s="13"/>
      <c r="C12" s="136" t="s">
        <v>507</v>
      </c>
      <c r="D12" s="41"/>
      <c r="E12" s="15" t="s">
        <v>465</v>
      </c>
      <c r="F12" s="16"/>
      <c r="G12" s="14"/>
      <c r="H12" s="141"/>
      <c r="I12" s="141">
        <f>Route!I$11</f>
        <v>93600</v>
      </c>
      <c r="J12" s="141">
        <f>Route!J$11</f>
        <v>93600</v>
      </c>
      <c r="K12" s="141">
        <f>Route!K$11</f>
        <v>93600</v>
      </c>
      <c r="L12" s="141">
        <f>Route!L$11</f>
        <v>93600</v>
      </c>
      <c r="M12" s="141">
        <f>Route!M$11</f>
        <v>93600</v>
      </c>
      <c r="N12" s="141">
        <f>Route!N$11</f>
        <v>93600</v>
      </c>
      <c r="O12" s="141">
        <f>Route!O$11</f>
        <v>93600</v>
      </c>
      <c r="P12" s="141">
        <f>Route!P$11</f>
        <v>93600</v>
      </c>
      <c r="Q12" s="141">
        <f>Route!Q$11</f>
        <v>93600</v>
      </c>
      <c r="R12" s="141">
        <f>Route!R$11</f>
        <v>93600</v>
      </c>
      <c r="S12" s="141">
        <f>Route!S$11</f>
        <v>93600</v>
      </c>
      <c r="T12" s="141">
        <f>Route!T$11</f>
        <v>93600</v>
      </c>
      <c r="U12" s="141">
        <f>Route!U$11</f>
        <v>93600</v>
      </c>
      <c r="V12" s="141">
        <f>Route!V$11</f>
        <v>93600</v>
      </c>
      <c r="W12" s="141">
        <f>Route!W$11</f>
        <v>93600</v>
      </c>
      <c r="X12" s="141">
        <f>Route!X$11</f>
        <v>93600</v>
      </c>
      <c r="Y12" s="141">
        <f>Route!Y$11</f>
        <v>93600</v>
      </c>
      <c r="Z12" s="141">
        <f>Route!Z$11</f>
        <v>93600</v>
      </c>
      <c r="AA12" s="141">
        <f>Route!AA$11</f>
        <v>93600</v>
      </c>
      <c r="AB12" s="141">
        <f>Route!AB$11</f>
        <v>93600</v>
      </c>
      <c r="AC12" s="14"/>
      <c r="AD12" s="14"/>
      <c r="AE12" s="14"/>
      <c r="AF12" s="14"/>
      <c r="AG12" s="14"/>
      <c r="AH12" s="14"/>
      <c r="AI12" s="14"/>
      <c r="AJ12" s="14"/>
      <c r="AK12" s="14"/>
      <c r="AL12" s="14"/>
      <c r="AM12" s="14"/>
      <c r="AN12" s="14"/>
      <c r="AO12" s="14"/>
      <c r="AP12" s="17"/>
    </row>
    <row r="13" spans="1:42" x14ac:dyDescent="0.25">
      <c r="A13" s="12"/>
      <c r="B13" s="13"/>
      <c r="C13" s="136" t="s">
        <v>534</v>
      </c>
      <c r="D13" s="41"/>
      <c r="E13" s="15" t="s">
        <v>465</v>
      </c>
      <c r="F13" s="16"/>
      <c r="G13" s="14"/>
      <c r="H13" s="141"/>
      <c r="I13" s="159">
        <f>IF(COUNT($I$3:I3)&lt;=(Dashboard!$I$32),I12,0)</f>
        <v>93600</v>
      </c>
      <c r="J13" s="159">
        <f>IF(COUNT($I$3:J3)&lt;=(Dashboard!$I$32),J12,0)</f>
        <v>93600</v>
      </c>
      <c r="K13" s="159">
        <f>IF(COUNT($I$3:K3)&lt;=(Dashboard!$I$32),K12,0)</f>
        <v>93600</v>
      </c>
      <c r="L13" s="159">
        <f>IF(COUNT($I$3:L3)&lt;=(Dashboard!$I$32),L12,0)</f>
        <v>93600</v>
      </c>
      <c r="M13" s="159">
        <f>IF(COUNT($I$3:M3)&lt;=(Dashboard!$I$32),M12,0)</f>
        <v>93600</v>
      </c>
      <c r="N13" s="159">
        <f>IF(COUNT($I$3:N3)&lt;=(Dashboard!$I$32),N12,0)</f>
        <v>93600</v>
      </c>
      <c r="O13" s="159">
        <f>IF(COUNT($I$3:O3)&lt;=(Dashboard!$I$32),O12,0)</f>
        <v>93600</v>
      </c>
      <c r="P13" s="159">
        <f>IF(COUNT($I$3:P3)&lt;=(Dashboard!$I$32),P12,0)</f>
        <v>93600</v>
      </c>
      <c r="Q13" s="159">
        <f>IF(COUNT($I$3:Q3)&lt;=(Dashboard!$I$32),Q12,0)</f>
        <v>93600</v>
      </c>
      <c r="R13" s="159">
        <f>IF(COUNT($I$3:R3)&lt;=(Dashboard!$I$32),R12,0)</f>
        <v>93600</v>
      </c>
      <c r="S13" s="159">
        <f>IF(COUNT($I$3:S3)&lt;=(Dashboard!$I$32),S12,0)</f>
        <v>93600</v>
      </c>
      <c r="T13" s="159">
        <f>IF(COUNT($I$3:T3)&lt;=(Dashboard!$I$32),T12,0)</f>
        <v>93600</v>
      </c>
      <c r="U13" s="159">
        <f>IF(COUNT($I$3:U3)&lt;=(Dashboard!$I$32),U12,0)</f>
        <v>0</v>
      </c>
      <c r="V13" s="159">
        <f>IF(COUNT($I$3:V3)&lt;=(Dashboard!$I$32),V12,0)</f>
        <v>0</v>
      </c>
      <c r="W13" s="159">
        <f>IF(COUNT($I$3:W3)&lt;=(Dashboard!$I$32),W12,0)</f>
        <v>0</v>
      </c>
      <c r="X13" s="159">
        <f>IF(COUNT($I$3:X3)&lt;=(Dashboard!$I$32),X12,0)</f>
        <v>0</v>
      </c>
      <c r="Y13" s="159">
        <f>IF(COUNT($I$3:Y3)&lt;=(Dashboard!$I$32),Y12,0)</f>
        <v>0</v>
      </c>
      <c r="Z13" s="159">
        <f>IF(COUNT($I$3:Z3)&lt;=(Dashboard!$I$32),Z12,0)</f>
        <v>0</v>
      </c>
      <c r="AA13" s="159">
        <f>IF(COUNT($I$3:AA3)&lt;=(Dashboard!$I$32),AA12,0)</f>
        <v>0</v>
      </c>
      <c r="AB13" s="159">
        <f>IF(COUNT($I$3:AB3)&lt;=(Dashboard!$I$32),AB12,0)</f>
        <v>0</v>
      </c>
      <c r="AC13" s="14"/>
      <c r="AD13" s="14"/>
      <c r="AE13" s="14"/>
      <c r="AF13" s="14"/>
      <c r="AG13" s="14"/>
      <c r="AH13" s="14"/>
      <c r="AI13" s="14"/>
      <c r="AJ13" s="14"/>
      <c r="AK13" s="14"/>
      <c r="AL13" s="14"/>
      <c r="AM13" s="14"/>
      <c r="AN13" s="14"/>
      <c r="AO13" s="14"/>
      <c r="AP13" s="17"/>
    </row>
    <row r="14" spans="1:42" x14ac:dyDescent="0.25">
      <c r="A14" s="12"/>
      <c r="B14" s="13"/>
      <c r="C14" s="136"/>
      <c r="D14" s="41"/>
      <c r="E14" s="15"/>
      <c r="F14" s="174"/>
      <c r="G14" s="14"/>
      <c r="I14" s="162"/>
      <c r="J14" s="56"/>
      <c r="K14" s="56"/>
      <c r="L14" s="56"/>
      <c r="M14" s="56"/>
      <c r="N14" s="56"/>
      <c r="O14" s="56"/>
      <c r="P14" s="56"/>
      <c r="Q14" s="56"/>
      <c r="R14" s="56"/>
      <c r="S14" s="56"/>
      <c r="T14" s="56"/>
      <c r="U14" s="56"/>
      <c r="V14" s="56"/>
      <c r="W14" s="56"/>
      <c r="X14" s="56"/>
      <c r="Y14" s="56"/>
      <c r="Z14" s="56"/>
      <c r="AA14" s="56"/>
      <c r="AB14" s="56"/>
      <c r="AC14" s="14"/>
      <c r="AD14" s="14"/>
      <c r="AE14" s="14"/>
      <c r="AF14" s="14"/>
      <c r="AG14" s="14"/>
      <c r="AH14" s="14"/>
      <c r="AI14" s="14"/>
      <c r="AJ14" s="14"/>
      <c r="AK14" s="14"/>
      <c r="AL14" s="14"/>
      <c r="AM14" s="14"/>
      <c r="AN14" s="14"/>
      <c r="AO14" s="14"/>
      <c r="AP14" s="17"/>
    </row>
    <row r="15" spans="1:42" x14ac:dyDescent="0.25">
      <c r="A15" s="12"/>
      <c r="B15" s="13"/>
      <c r="C15" s="37" t="s">
        <v>302</v>
      </c>
      <c r="D15" s="37"/>
      <c r="E15" s="38"/>
      <c r="F15" s="39"/>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17"/>
    </row>
    <row r="16" spans="1:42" x14ac:dyDescent="0.25">
      <c r="A16" s="12"/>
      <c r="B16" s="13"/>
      <c r="C16" s="136" t="s">
        <v>544</v>
      </c>
      <c r="D16" s="41"/>
      <c r="E16" s="15"/>
      <c r="F16" s="16"/>
      <c r="G16" s="14"/>
      <c r="H16" s="141"/>
      <c r="I16" s="141"/>
      <c r="J16" s="141"/>
      <c r="K16" s="141"/>
      <c r="L16" s="141"/>
      <c r="M16" s="141"/>
      <c r="N16" s="141"/>
      <c r="O16" s="141"/>
      <c r="P16" s="141"/>
      <c r="Q16" s="141"/>
      <c r="R16" s="141"/>
      <c r="S16" s="141"/>
      <c r="T16" s="141"/>
      <c r="U16" s="141"/>
      <c r="V16" s="141"/>
      <c r="W16" s="141"/>
      <c r="X16" s="141"/>
      <c r="Y16" s="141"/>
      <c r="Z16" s="141"/>
      <c r="AA16" s="141"/>
      <c r="AB16" s="141"/>
      <c r="AC16" s="14"/>
      <c r="AD16" s="14"/>
      <c r="AE16" s="14"/>
      <c r="AF16" s="14"/>
      <c r="AG16" s="14"/>
      <c r="AH16" s="14"/>
      <c r="AI16" s="14"/>
      <c r="AJ16" s="14"/>
      <c r="AK16" s="14"/>
      <c r="AL16" s="14"/>
      <c r="AM16" s="14"/>
      <c r="AN16" s="14"/>
      <c r="AO16" s="14"/>
      <c r="AP16" s="17"/>
    </row>
    <row r="17" spans="1:42" x14ac:dyDescent="0.25">
      <c r="A17" s="12"/>
      <c r="B17" s="13"/>
      <c r="C17" s="96" t="s">
        <v>120</v>
      </c>
      <c r="D17" s="41"/>
      <c r="E17" s="15"/>
      <c r="F17" s="16"/>
      <c r="G17" s="14"/>
      <c r="H17" s="150">
        <f>Data!$E$309</f>
        <v>156000</v>
      </c>
      <c r="I17" s="159">
        <f>$H$17*(1-Data!$E$312)</f>
        <v>150025.20000000001</v>
      </c>
      <c r="J17" s="159">
        <f>I$17*(1-Data!$E$312)</f>
        <v>144279.23484000002</v>
      </c>
      <c r="K17" s="159">
        <f>J$17*(1-Data!$E$312)</f>
        <v>138753.34014562803</v>
      </c>
      <c r="L17" s="159">
        <f>K$17*(1-Data!$E$312)</f>
        <v>133439.08721805047</v>
      </c>
      <c r="M17" s="159">
        <f>L$17*(1-Data!$E$312)</f>
        <v>128328.37017759914</v>
      </c>
      <c r="N17" s="159">
        <f>M$17*(1-Data!$E$312)</f>
        <v>123413.39359979708</v>
      </c>
      <c r="O17" s="159">
        <f>N$17*(1-Data!$E$312)</f>
        <v>118686.66062492486</v>
      </c>
      <c r="P17" s="159">
        <f>O$17*(1-Data!$E$312)</f>
        <v>114140.96152299024</v>
      </c>
      <c r="Q17" s="159">
        <f>P$17*(1-Data!$E$312)</f>
        <v>109769.36269665971</v>
      </c>
      <c r="R17" s="159">
        <f>Q$17*(1-Data!$E$312)</f>
        <v>105565.19610537765</v>
      </c>
      <c r="S17" s="159">
        <f>R$17*(1-Data!$E$312)</f>
        <v>101522.04909454168</v>
      </c>
      <c r="T17" s="159">
        <f>S$17*(1-Data!$E$312)</f>
        <v>97633.754614220743</v>
      </c>
      <c r="U17" s="159">
        <f>T$17*(1-Data!$E$312)</f>
        <v>93894.381812496082</v>
      </c>
      <c r="V17" s="159">
        <f>U$17*(1-Data!$E$312)</f>
        <v>90298.226989077477</v>
      </c>
      <c r="W17" s="159">
        <f>V$17*(1-Data!$E$312)</f>
        <v>86839.804895395806</v>
      </c>
      <c r="X17" s="159">
        <f>W$17*(1-Data!$E$312)</f>
        <v>83513.840367902143</v>
      </c>
      <c r="Y17" s="159">
        <f>X$17*(1-Data!$E$312)</f>
        <v>80315.260281811497</v>
      </c>
      <c r="Z17" s="159">
        <f>Y$17*(1-Data!$E$312)</f>
        <v>77239.185813018121</v>
      </c>
      <c r="AA17" s="159">
        <f>Z$17*(1-Data!$E$312)</f>
        <v>74280.92499637953</v>
      </c>
      <c r="AB17" s="159">
        <f>AA$17*(1-Data!$E$312)</f>
        <v>71435.965569018197</v>
      </c>
      <c r="AC17" s="159">
        <f>AB$17*(1-Data!$E$312)</f>
        <v>68699.968087724803</v>
      </c>
      <c r="AD17" s="159"/>
      <c r="AE17" s="159"/>
      <c r="AF17" s="159"/>
      <c r="AG17" s="159"/>
      <c r="AH17" s="159"/>
      <c r="AI17" s="159"/>
      <c r="AJ17" s="159"/>
      <c r="AK17" s="159"/>
      <c r="AL17" s="159"/>
      <c r="AM17" s="159"/>
      <c r="AN17" s="159"/>
      <c r="AO17" s="159"/>
      <c r="AP17" s="17"/>
    </row>
    <row r="18" spans="1:42" x14ac:dyDescent="0.25">
      <c r="A18" s="12"/>
      <c r="B18" s="13"/>
      <c r="C18" s="96" t="s">
        <v>124</v>
      </c>
      <c r="D18" s="41"/>
      <c r="E18" s="15"/>
      <c r="F18" s="16"/>
      <c r="G18" s="14"/>
      <c r="H18" s="150">
        <f>Data!$E$310</f>
        <v>180000</v>
      </c>
      <c r="I18" s="159">
        <f>$H$18*(1-Data!$E$312)</f>
        <v>173106</v>
      </c>
      <c r="J18" s="159">
        <f>I$18*(1-Data!$E$312)</f>
        <v>166476.04019999999</v>
      </c>
      <c r="K18" s="159">
        <f>J$18*(1-Data!$E$312)</f>
        <v>160100.00786034</v>
      </c>
      <c r="L18" s="159">
        <f>K$18*(1-Data!$E$312)</f>
        <v>153968.17755928898</v>
      </c>
      <c r="M18" s="159">
        <f>L$18*(1-Data!$E$312)</f>
        <v>148071.19635876821</v>
      </c>
      <c r="N18" s="159">
        <f>M$18*(1-Data!$E$312)</f>
        <v>142400.0695382274</v>
      </c>
      <c r="O18" s="159">
        <f>N$18*(1-Data!$E$312)</f>
        <v>136946.14687491328</v>
      </c>
      <c r="P18" s="159">
        <f>O$18*(1-Data!$E$312)</f>
        <v>131701.10944960409</v>
      </c>
      <c r="Q18" s="159">
        <f>P$18*(1-Data!$E$312)</f>
        <v>126656.95695768425</v>
      </c>
      <c r="R18" s="159">
        <f>Q$18*(1-Data!$E$312)</f>
        <v>121805.99550620494</v>
      </c>
      <c r="S18" s="159">
        <f>R$18*(1-Data!$E$312)</f>
        <v>117140.82587831729</v>
      </c>
      <c r="T18" s="159">
        <f>S$18*(1-Data!$E$312)</f>
        <v>112654.33224717774</v>
      </c>
      <c r="U18" s="159">
        <f>T$18*(1-Data!$E$312)</f>
        <v>108339.67132211082</v>
      </c>
      <c r="V18" s="159">
        <f>U$18*(1-Data!$E$312)</f>
        <v>104190.26191047397</v>
      </c>
      <c r="W18" s="159">
        <f>V$18*(1-Data!$E$312)</f>
        <v>100199.77487930281</v>
      </c>
      <c r="X18" s="159">
        <f>W$18*(1-Data!$E$312)</f>
        <v>96362.123501425522</v>
      </c>
      <c r="Y18" s="159">
        <f>X$18*(1-Data!$E$312)</f>
        <v>92671.454171320918</v>
      </c>
      <c r="Z18" s="159">
        <f>Y$18*(1-Data!$E$312)</f>
        <v>89122.137476559321</v>
      </c>
      <c r="AA18" s="159">
        <f>Z$18*(1-Data!$E$312)</f>
        <v>85708.759611207104</v>
      </c>
      <c r="AB18" s="159">
        <f>AA$18*(1-Data!$E$312)</f>
        <v>82426.114118097874</v>
      </c>
      <c r="AC18" s="159">
        <f>AB$18*(1-Data!$E$312)</f>
        <v>79269.193947374719</v>
      </c>
      <c r="AD18" s="159"/>
      <c r="AE18" s="159"/>
      <c r="AF18" s="159"/>
      <c r="AG18" s="159"/>
      <c r="AH18" s="159"/>
      <c r="AI18" s="159"/>
      <c r="AJ18" s="159"/>
      <c r="AK18" s="159"/>
      <c r="AL18" s="159"/>
      <c r="AM18" s="159"/>
      <c r="AN18" s="159"/>
      <c r="AO18" s="159"/>
      <c r="AP18" s="17"/>
    </row>
    <row r="19" spans="1:42" x14ac:dyDescent="0.25">
      <c r="A19" s="12"/>
      <c r="B19" s="13"/>
      <c r="C19" s="96" t="s">
        <v>126</v>
      </c>
      <c r="D19" s="41"/>
      <c r="E19" s="15"/>
      <c r="F19" s="16"/>
      <c r="G19" s="14"/>
      <c r="H19" s="150">
        <f>Data!$E$311</f>
        <v>235000</v>
      </c>
      <c r="I19" s="159">
        <f>$H$19*(1-Data!$E$312)</f>
        <v>225999.5</v>
      </c>
      <c r="J19" s="159">
        <f>I$19*(1-Data!$E$312)</f>
        <v>217343.71914999999</v>
      </c>
      <c r="K19" s="159">
        <f>J$19*(1-Data!$E$312)</f>
        <v>209019.454706555</v>
      </c>
      <c r="L19" s="159">
        <f>K$19*(1-Data!$E$312)</f>
        <v>201014.00959129393</v>
      </c>
      <c r="M19" s="159">
        <f>L$19*(1-Data!$E$312)</f>
        <v>193315.17302394737</v>
      </c>
      <c r="N19" s="159">
        <f>M$19*(1-Data!$E$312)</f>
        <v>185911.20189713017</v>
      </c>
      <c r="O19" s="159">
        <f>N$19*(1-Data!$E$312)</f>
        <v>178790.80286447008</v>
      </c>
      <c r="P19" s="159">
        <f>O$19*(1-Data!$E$312)</f>
        <v>171943.11511476088</v>
      </c>
      <c r="Q19" s="159">
        <f>P$19*(1-Data!$E$312)</f>
        <v>165357.69380586554</v>
      </c>
      <c r="R19" s="159">
        <f>Q$19*(1-Data!$E$312)</f>
        <v>159024.49413310087</v>
      </c>
      <c r="S19" s="159">
        <f>R$19*(1-Data!$E$312)</f>
        <v>152933.85600780312</v>
      </c>
      <c r="T19" s="159">
        <f>S$19*(1-Data!$E$312)</f>
        <v>147076.48932270426</v>
      </c>
      <c r="U19" s="159">
        <f>T$19*(1-Data!$E$312)</f>
        <v>141443.45978164469</v>
      </c>
      <c r="V19" s="159">
        <f>U$19*(1-Data!$E$312)</f>
        <v>136026.17527200771</v>
      </c>
      <c r="W19" s="159">
        <f>V$19*(1-Data!$E$312)</f>
        <v>130816.37275908981</v>
      </c>
      <c r="X19" s="159">
        <f>W$19*(1-Data!$E$312)</f>
        <v>125806.10568241666</v>
      </c>
      <c r="Y19" s="159">
        <f>X$19*(1-Data!$E$312)</f>
        <v>120987.7318347801</v>
      </c>
      <c r="Z19" s="159">
        <f>Y$19*(1-Data!$E$312)</f>
        <v>116353.90170550803</v>
      </c>
      <c r="AA19" s="159">
        <f>Z$19*(1-Data!$E$312)</f>
        <v>111897.54727018707</v>
      </c>
      <c r="AB19" s="159">
        <f>AA$19*(1-Data!$E$312)</f>
        <v>107611.87120973891</v>
      </c>
      <c r="AC19" s="159">
        <f>AB$19*(1-Data!$E$312)</f>
        <v>103490.3365424059</v>
      </c>
      <c r="AD19" s="159"/>
      <c r="AE19" s="159"/>
      <c r="AF19" s="159"/>
      <c r="AG19" s="159"/>
      <c r="AH19" s="159"/>
      <c r="AI19" s="159"/>
      <c r="AJ19" s="159"/>
      <c r="AK19" s="159"/>
      <c r="AL19" s="159"/>
      <c r="AM19" s="159"/>
      <c r="AN19" s="159"/>
      <c r="AO19" s="159"/>
      <c r="AP19" s="17"/>
    </row>
    <row r="20" spans="1:42" x14ac:dyDescent="0.25">
      <c r="A20" s="12"/>
      <c r="B20" s="13"/>
      <c r="C20" s="96"/>
      <c r="D20" s="41"/>
      <c r="E20" s="15"/>
      <c r="F20" s="16"/>
      <c r="G20" s="14"/>
      <c r="H20" s="150"/>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7"/>
    </row>
    <row r="21" spans="1:42" outlineLevel="1" x14ac:dyDescent="0.25">
      <c r="A21" s="23"/>
      <c r="B21" s="23"/>
      <c r="C21" s="24" t="s">
        <v>505</v>
      </c>
      <c r="D21" s="24"/>
      <c r="E21" s="25"/>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7"/>
    </row>
    <row r="22" spans="1:42" outlineLevel="1" x14ac:dyDescent="0.25">
      <c r="A22" s="12"/>
      <c r="B22" s="13"/>
      <c r="C22" s="37" t="s">
        <v>508</v>
      </c>
      <c r="D22" s="37"/>
      <c r="E22" s="38"/>
      <c r="F22" s="39"/>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17"/>
    </row>
    <row r="23" spans="1:42" outlineLevel="1" x14ac:dyDescent="0.25">
      <c r="A23" s="12"/>
      <c r="B23" s="13"/>
      <c r="C23" s="95" t="s">
        <v>254</v>
      </c>
      <c r="D23" s="14"/>
      <c r="E23" s="15"/>
      <c r="F23" s="16"/>
      <c r="G23" s="14"/>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29"/>
    </row>
    <row r="24" spans="1:42" outlineLevel="1" x14ac:dyDescent="0.25">
      <c r="A24" s="12"/>
      <c r="B24" s="13"/>
      <c r="C24" s="96" t="s">
        <v>120</v>
      </c>
      <c r="D24" s="14"/>
      <c r="E24" s="15" t="s">
        <v>142</v>
      </c>
      <c r="F24" s="158" t="str">
        <f>Dashboard!$I$43</f>
        <v>2 Axle rigid</v>
      </c>
      <c r="G24" s="14"/>
      <c r="H24" s="150">
        <f>IF(C24=F24,Data!$E$236,0)</f>
        <v>372500</v>
      </c>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29"/>
    </row>
    <row r="25" spans="1:42" outlineLevel="1" x14ac:dyDescent="0.25">
      <c r="A25" s="12"/>
      <c r="B25" s="13"/>
      <c r="C25" s="96" t="s">
        <v>124</v>
      </c>
      <c r="D25" s="14"/>
      <c r="E25" s="15" t="s">
        <v>142</v>
      </c>
      <c r="F25" s="158" t="str">
        <f>Dashboard!$I$43</f>
        <v>2 Axle rigid</v>
      </c>
      <c r="G25" s="14"/>
      <c r="H25" s="150">
        <f>IF(C25=F25,Data!$E$237,0)</f>
        <v>0</v>
      </c>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29"/>
    </row>
    <row r="26" spans="1:42" outlineLevel="1" x14ac:dyDescent="0.25">
      <c r="A26" s="12"/>
      <c r="B26" s="13"/>
      <c r="C26" s="96" t="s">
        <v>126</v>
      </c>
      <c r="D26" s="14"/>
      <c r="E26" s="15" t="s">
        <v>142</v>
      </c>
      <c r="F26" s="158" t="str">
        <f>Dashboard!$I$43</f>
        <v>2 Axle rigid</v>
      </c>
      <c r="G26" s="14"/>
      <c r="H26" s="150">
        <f>IF(C26=F26,Data!$E$238,0)</f>
        <v>0</v>
      </c>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29"/>
    </row>
    <row r="27" spans="1:42" outlineLevel="1" x14ac:dyDescent="0.25">
      <c r="A27" s="12"/>
      <c r="B27" s="13"/>
      <c r="C27" s="20"/>
      <c r="D27" s="14"/>
      <c r="E27" s="15" t="s">
        <v>142</v>
      </c>
      <c r="F27" s="16"/>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7"/>
    </row>
    <row r="28" spans="1:42" outlineLevel="1" x14ac:dyDescent="0.25">
      <c r="A28" s="12"/>
      <c r="B28" s="13"/>
      <c r="C28" s="95" t="s">
        <v>545</v>
      </c>
      <c r="D28" s="14"/>
      <c r="E28" s="15"/>
      <c r="F28" s="158"/>
      <c r="G28" s="14"/>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29"/>
    </row>
    <row r="29" spans="1:42" outlineLevel="1" x14ac:dyDescent="0.25">
      <c r="A29" s="12"/>
      <c r="B29" s="13"/>
      <c r="C29" s="96" t="s">
        <v>120</v>
      </c>
      <c r="D29" s="14"/>
      <c r="E29" s="15" t="s">
        <v>142</v>
      </c>
      <c r="F29" s="158" t="str">
        <f>Dashboard!$I$43</f>
        <v>2 Axle rigid</v>
      </c>
      <c r="G29" s="14"/>
      <c r="H29" s="151"/>
      <c r="I29" s="151"/>
      <c r="J29" s="151"/>
      <c r="K29" s="151"/>
      <c r="L29" s="151"/>
      <c r="M29" s="151"/>
      <c r="N29" s="151"/>
      <c r="O29" s="151"/>
      <c r="P29" s="151"/>
      <c r="Q29" s="151">
        <f>IF(Dashboard!$I$32&gt;Data!$E$242, IF($F$29=$C$29,Q17,0),0)</f>
        <v>0</v>
      </c>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29"/>
    </row>
    <row r="30" spans="1:42" outlineLevel="1" x14ac:dyDescent="0.25">
      <c r="A30" s="12"/>
      <c r="B30" s="13"/>
      <c r="C30" s="96" t="s">
        <v>124</v>
      </c>
      <c r="D30" s="14"/>
      <c r="E30" s="15" t="s">
        <v>142</v>
      </c>
      <c r="F30" s="158" t="str">
        <f>Dashboard!$I$43</f>
        <v>2 Axle rigid</v>
      </c>
      <c r="G30" s="14"/>
      <c r="H30" s="151"/>
      <c r="I30" s="151"/>
      <c r="J30" s="151"/>
      <c r="K30" s="151"/>
      <c r="L30" s="151"/>
      <c r="M30" s="151"/>
      <c r="N30" s="151"/>
      <c r="O30" s="151"/>
      <c r="P30" s="151"/>
      <c r="Q30" s="151">
        <f>IF(Dashboard!$I$32&gt;Data!$E$242, IF($F$30=$C$30,Q18,0),0)</f>
        <v>0</v>
      </c>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29"/>
    </row>
    <row r="31" spans="1:42" outlineLevel="1" x14ac:dyDescent="0.25">
      <c r="A31" s="12"/>
      <c r="B31" s="13"/>
      <c r="C31" s="96" t="s">
        <v>126</v>
      </c>
      <c r="D31" s="14"/>
      <c r="E31" s="15" t="s">
        <v>142</v>
      </c>
      <c r="F31" s="158" t="str">
        <f>Dashboard!$I$43</f>
        <v>2 Axle rigid</v>
      </c>
      <c r="G31" s="14"/>
      <c r="H31" s="151"/>
      <c r="I31" s="151"/>
      <c r="J31" s="151"/>
      <c r="K31" s="151"/>
      <c r="L31" s="151"/>
      <c r="M31" s="151"/>
      <c r="N31" s="151"/>
      <c r="O31" s="151"/>
      <c r="P31" s="151"/>
      <c r="Q31" s="151">
        <f>IF(Dashboard!$I$32&gt;Data!$E$242, IF($F$31=$C$31,Q19,0),0)</f>
        <v>0</v>
      </c>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29"/>
    </row>
    <row r="32" spans="1:42" outlineLevel="1" x14ac:dyDescent="0.25">
      <c r="A32" s="12"/>
      <c r="B32" s="13"/>
      <c r="C32" s="96"/>
      <c r="D32" s="14"/>
      <c r="E32" s="15"/>
      <c r="F32" s="158"/>
      <c r="G32" s="14"/>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29"/>
    </row>
    <row r="33" spans="1:42" outlineLevel="1" x14ac:dyDescent="0.25">
      <c r="A33" s="12"/>
      <c r="B33" s="13"/>
      <c r="C33" s="20" t="s">
        <v>306</v>
      </c>
      <c r="D33" s="14"/>
      <c r="E33" s="15"/>
      <c r="F33" s="16"/>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7"/>
    </row>
    <row r="34" spans="1:42" outlineLevel="1" x14ac:dyDescent="0.25">
      <c r="A34" s="12"/>
      <c r="B34" s="13"/>
      <c r="C34" s="14" t="s">
        <v>546</v>
      </c>
      <c r="D34" s="14"/>
      <c r="E34" s="15" t="s">
        <v>142</v>
      </c>
      <c r="F34" s="16"/>
      <c r="G34" s="14"/>
      <c r="H34" s="150">
        <f>Data!$E$252</f>
        <v>62335</v>
      </c>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7"/>
    </row>
    <row r="35" spans="1:42" outlineLevel="1" x14ac:dyDescent="0.25">
      <c r="A35" s="12"/>
      <c r="B35" s="13"/>
      <c r="C35" s="14" t="s">
        <v>547</v>
      </c>
      <c r="D35" s="14"/>
      <c r="E35" s="15" t="s">
        <v>142</v>
      </c>
      <c r="F35" s="16"/>
      <c r="G35" s="14"/>
      <c r="H35" s="150">
        <f>Data!$E$253</f>
        <v>70444.868888888886</v>
      </c>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7"/>
    </row>
    <row r="36" spans="1:42" outlineLevel="1" x14ac:dyDescent="0.25">
      <c r="A36" s="12"/>
      <c r="B36" s="13"/>
      <c r="C36" s="136" t="s">
        <v>310</v>
      </c>
      <c r="D36" s="14"/>
      <c r="E36" s="15" t="s">
        <v>142</v>
      </c>
      <c r="F36" s="158">
        <f>Dashboard!$I$44</f>
        <v>0</v>
      </c>
      <c r="G36" s="14"/>
      <c r="H36" s="177">
        <f>(Data!$E$254*Repowered!F36)/Dashboard!$I$41</f>
        <v>0</v>
      </c>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7"/>
    </row>
    <row r="37" spans="1:42" outlineLevel="1" x14ac:dyDescent="0.25">
      <c r="A37" s="12"/>
      <c r="B37" s="13"/>
      <c r="C37" s="14" t="s">
        <v>311</v>
      </c>
      <c r="D37" s="14"/>
      <c r="E37" s="15" t="s">
        <v>142</v>
      </c>
      <c r="F37" s="16"/>
      <c r="G37" s="14"/>
      <c r="H37" s="177">
        <f>(Data!$E$255*F36)/Dashboard!$I$41</f>
        <v>0</v>
      </c>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7"/>
    </row>
    <row r="38" spans="1:42" outlineLevel="1" x14ac:dyDescent="0.25">
      <c r="A38" s="12"/>
      <c r="B38" s="13"/>
      <c r="C38" s="45"/>
      <c r="D38" s="45"/>
      <c r="E38" s="15"/>
      <c r="F38" s="16"/>
      <c r="G38" s="14"/>
      <c r="H38" s="182">
        <f>SUM(H24:H37)</f>
        <v>505279.86888888886</v>
      </c>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9"/>
    </row>
    <row r="39" spans="1:42" s="140" customFormat="1" outlineLevel="1" x14ac:dyDescent="0.25">
      <c r="A39" s="78"/>
      <c r="B39" s="19"/>
      <c r="C39" s="414" t="s">
        <v>511</v>
      </c>
      <c r="D39" s="415" t="s">
        <v>548</v>
      </c>
      <c r="E39" s="416" t="s">
        <v>304</v>
      </c>
      <c r="F39" s="48"/>
      <c r="G39" s="20"/>
      <c r="H39" s="14"/>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c r="AH39" s="369"/>
      <c r="AI39" s="369"/>
      <c r="AJ39" s="369"/>
      <c r="AK39" s="369"/>
      <c r="AL39" s="369"/>
      <c r="AM39" s="369"/>
      <c r="AN39" s="369"/>
      <c r="AO39" s="369"/>
      <c r="AP39" s="370"/>
    </row>
    <row r="40" spans="1:42" s="140" customFormat="1" ht="14.25" customHeight="1" outlineLevel="1" x14ac:dyDescent="0.25">
      <c r="A40" s="78"/>
      <c r="B40" s="19"/>
      <c r="C40" s="414" t="s">
        <v>549</v>
      </c>
      <c r="D40" s="417">
        <f>H38</f>
        <v>505279.86888888886</v>
      </c>
      <c r="E40" s="418">
        <f>Dashboard!$I$32</f>
        <v>12</v>
      </c>
      <c r="F40" s="48"/>
      <c r="G40" s="20"/>
      <c r="H40" s="14"/>
      <c r="I40" s="369">
        <f>IF(I13&gt;0,-PMT(Data!$E$10,$E$40,$D$40,0,0),0)</f>
        <v>53838.667844636919</v>
      </c>
      <c r="J40" s="369">
        <f>IF(J13&gt;0,-PMT(Data!$E$10,$E$40,$D$40,0,0),0)</f>
        <v>53838.667844636919</v>
      </c>
      <c r="K40" s="369">
        <f>IF(K13&gt;0,-PMT(Data!$E$10,$E$40,$D$40,0,0),0)</f>
        <v>53838.667844636919</v>
      </c>
      <c r="L40" s="369">
        <f>IF(L13&gt;0,-PMT(Data!$E$10,$E$40,$D$40,0,0),0)</f>
        <v>53838.667844636919</v>
      </c>
      <c r="M40" s="369">
        <f>IF(M13&gt;0,-PMT(Data!$E$10,$E$40,$D$40,0,0),0)</f>
        <v>53838.667844636919</v>
      </c>
      <c r="N40" s="369">
        <f>IF(N13&gt;0,-PMT(Data!$E$10,$E$40,$D$40,0,0),0)</f>
        <v>53838.667844636919</v>
      </c>
      <c r="O40" s="369">
        <f>IF(O13&gt;0,-PMT(Data!$E$10,$E$40,$D$40,0,0),0)</f>
        <v>53838.667844636919</v>
      </c>
      <c r="P40" s="369">
        <f>IF(P13&gt;0,-PMT(Data!$E$10,$E$40,$D$40,0,0),0)</f>
        <v>53838.667844636919</v>
      </c>
      <c r="Q40" s="369">
        <f>IF(Q13&gt;0,-PMT(Data!$E$10,$E$40,$D$40,0,0),0)</f>
        <v>53838.667844636919</v>
      </c>
      <c r="R40" s="369">
        <f>IF(R13&gt;0,-PMT(Data!$E$10,$E$40,$D$40,0,0),0)</f>
        <v>53838.667844636919</v>
      </c>
      <c r="S40" s="369">
        <f>IF(S13&gt;0,-PMT(Data!$E$10,$E$40,$D$40,0,0),0)</f>
        <v>53838.667844636919</v>
      </c>
      <c r="T40" s="369">
        <f>IF(T13&gt;0,-PMT(Data!$E$10,$E$40,$D$40,0,0),0)</f>
        <v>53838.667844636919</v>
      </c>
      <c r="U40" s="369">
        <f>IF(U13&gt;0,-PMT(Data!$E$10,$E$40,$D$40,0,0),0)</f>
        <v>0</v>
      </c>
      <c r="V40" s="369">
        <f>IF(V13&gt;0,-PMT(Data!$E$10,$E$40,$D$40,0,0),0)</f>
        <v>0</v>
      </c>
      <c r="W40" s="369">
        <f>IF(W13&gt;0,-PMT(Data!$E$10,$E$40,$D$40,0,0),0)</f>
        <v>0</v>
      </c>
      <c r="X40" s="369">
        <f>IF(X13&gt;0,-PMT(Data!$E$10,$E$40,$D$40,0,0),0)</f>
        <v>0</v>
      </c>
      <c r="Y40" s="369">
        <f>IF(Y13&gt;0,-PMT(Data!$E$10,$E$40,$D$40,0,0),0)</f>
        <v>0</v>
      </c>
      <c r="Z40" s="369">
        <f>IF(Z13&gt;0,-PMT(Data!$E$10,$E$40,$D$40,0,0),0)</f>
        <v>0</v>
      </c>
      <c r="AA40" s="369">
        <f>IF(AA13&gt;0,-PMT(Data!$E$10,$E$40,$D$40,0,0),0)</f>
        <v>0</v>
      </c>
      <c r="AB40" s="369">
        <f>IF(AB13&gt;0,-PMT(Data!$E$10,$E$40,$D$40,0,0),0)</f>
        <v>0</v>
      </c>
      <c r="AC40" s="369">
        <f>IF(AC13&gt;0,-PMT(Data!$E$10,Dashboard!$I$32,$D$40,0,0),0)</f>
        <v>0</v>
      </c>
      <c r="AD40" s="369">
        <f>IF(AD13&gt;0,-PMT(Data!$E$10,Dashboard!$I$32,$D$40,0,0),0)</f>
        <v>0</v>
      </c>
      <c r="AE40" s="369">
        <f>IF(AE13&gt;0,-PMT(Data!$E$10,Dashboard!$I$32,$D$40,0,0),0)</f>
        <v>0</v>
      </c>
      <c r="AF40" s="369">
        <f>IF(AF13&gt;0,-PMT(Data!$E$10,Dashboard!$I$32,$D$40,0,0),0)</f>
        <v>0</v>
      </c>
      <c r="AG40" s="369">
        <f>IF(AG13&gt;0,-PMT(Data!$E$10,Dashboard!$I$32,$D$40,0,0),0)</f>
        <v>0</v>
      </c>
      <c r="AH40" s="369">
        <f>IF(AH13&gt;0,-PMT(Data!$E$10,Dashboard!$I$32,$D$40,0,0),0)</f>
        <v>0</v>
      </c>
      <c r="AI40" s="369">
        <f>IF(AI13&gt;0,-PMT(Data!$E$10,Dashboard!$I$32,$D$40,0,0),0)</f>
        <v>0</v>
      </c>
      <c r="AJ40" s="369">
        <f>IF(AJ13&gt;0,-PMT(Data!$E$10,Dashboard!$I$32,$D$40,0,0),0)</f>
        <v>0</v>
      </c>
      <c r="AK40" s="369">
        <f>IF(AK13&gt;0,-PMT(Data!$E$10,Dashboard!$I$32,$D$40,0,0),0)</f>
        <v>0</v>
      </c>
      <c r="AL40" s="369">
        <f>IF(AL13&gt;0,-PMT(Data!$E$10,Dashboard!$I$32,$D$40,0,0),0)</f>
        <v>0</v>
      </c>
      <c r="AM40" s="369">
        <f>IF(AM13&gt;0,-PMT(Data!$E$10,Dashboard!$I$32,$D$40,0,0),0)</f>
        <v>0</v>
      </c>
      <c r="AN40" s="369">
        <f>IF(AN13&gt;0,-PMT(Data!$E$10,Dashboard!$I$32,$D$40,0,0),0)</f>
        <v>0</v>
      </c>
      <c r="AO40" s="369">
        <f>IF(AO13&gt;0,-PMT(Data!$E$10,Dashboard!$I$32,$D$40,0,0),0)</f>
        <v>0</v>
      </c>
      <c r="AP40" s="370"/>
    </row>
    <row r="41" spans="1:42" s="140" customFormat="1" outlineLevel="1" x14ac:dyDescent="0.25">
      <c r="A41" s="78"/>
      <c r="B41" s="19"/>
      <c r="C41" s="414" t="s">
        <v>550</v>
      </c>
      <c r="D41" s="417">
        <f>SUM(Q29:Q31)</f>
        <v>0</v>
      </c>
      <c r="E41" s="418">
        <f>IF(SUM(Q29:Q31)&gt;0,(E40-Data!$E$241),0)</f>
        <v>0</v>
      </c>
      <c r="F41" s="48"/>
      <c r="G41" s="20"/>
      <c r="H41" s="14"/>
      <c r="I41"/>
      <c r="J41" s="369"/>
      <c r="K41" s="369"/>
      <c r="L41" s="369"/>
      <c r="M41" s="369"/>
      <c r="N41" s="369"/>
      <c r="O41" s="369"/>
      <c r="P41" s="369"/>
      <c r="Q41"/>
      <c r="R41" s="369">
        <f>IFERROR(IF(R40&gt;0,-PMT(Data!$E$10,$E$41,$D$41,0,0),0),)</f>
        <v>0</v>
      </c>
      <c r="S41" s="369">
        <f>IFERROR(IF(S40&gt;0,-PMT(Data!$E$10,$E$41,$D$41,0,0),0),)</f>
        <v>0</v>
      </c>
      <c r="T41" s="369">
        <f>IFERROR(IF(T40&gt;0,-PMT(Data!$E$10,$E$41,$D$41,0,0),0),)</f>
        <v>0</v>
      </c>
      <c r="U41" s="369">
        <f>IFERROR(IF(U40&gt;0,-PMT(Data!$E$10,$E$41,$D$41,0,0),0),)</f>
        <v>0</v>
      </c>
      <c r="V41" s="369">
        <f>IFERROR(IF(V40&gt;0,-PMT(Data!$E$10,$E$41,$D$41,0,0),0),)</f>
        <v>0</v>
      </c>
      <c r="W41" s="369">
        <f>IFERROR(IF(W40&gt;0,-PMT(Data!$E$10,$E$41,$D$41,0,0),0),)</f>
        <v>0</v>
      </c>
      <c r="X41" s="369">
        <f>IFERROR(IF(X40&gt;0,-PMT(Data!$E$10,$E$41,$D$41,0,0),0),)</f>
        <v>0</v>
      </c>
      <c r="Y41" s="369">
        <f>IFERROR(IF(Y40&gt;0,-PMT(Data!$E$10,$E$41,$D$41,0,0),0),)</f>
        <v>0</v>
      </c>
      <c r="Z41" s="369">
        <f>IFERROR(IF(Z40&gt;0,-PMT(Data!$E$10,$E$41,$D$41,0,0),0),)</f>
        <v>0</v>
      </c>
      <c r="AA41" s="369">
        <f>IFERROR(IF(AA40&gt;0,-PMT(Data!$E$10,$E$41,$D$41,0,0),0),)</f>
        <v>0</v>
      </c>
      <c r="AB41" s="369">
        <f>IFERROR(IF(AB40&gt;0,-PMT(Data!$E$10,$E$41,$D$41,0,0),0),)</f>
        <v>0</v>
      </c>
      <c r="AC41" s="369">
        <f>IFERROR(IF(AC40&gt;0,-PMT(Data!$E$10,$E$41,$D$41,0,0),0),)</f>
        <v>0</v>
      </c>
      <c r="AD41" s="369">
        <f>IFERROR(IF(AD40&gt;0,-PMT(Data!$E$10,$E$41,$D$41,0,0),0),)</f>
        <v>0</v>
      </c>
      <c r="AE41" s="369">
        <f>IFERROR(IF(AE40&gt;0,-PMT(Data!$E$10,$E$41,$D$41,0,0),0),)</f>
        <v>0</v>
      </c>
      <c r="AF41" s="369"/>
      <c r="AG41" s="369"/>
      <c r="AH41" s="369"/>
      <c r="AI41" s="369"/>
      <c r="AJ41" s="369"/>
      <c r="AK41" s="369"/>
      <c r="AL41" s="369"/>
      <c r="AM41" s="369"/>
      <c r="AN41" s="369"/>
      <c r="AO41" s="369"/>
      <c r="AP41" s="370"/>
    </row>
    <row r="42" spans="1:42" s="140" customFormat="1" outlineLevel="1" x14ac:dyDescent="0.25">
      <c r="A42" s="78"/>
      <c r="B42" s="19"/>
      <c r="C42" s="95"/>
      <c r="D42" s="20"/>
      <c r="E42" s="21"/>
      <c r="F42" s="48"/>
      <c r="G42" s="20"/>
      <c r="H42" s="20"/>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370"/>
    </row>
    <row r="43" spans="1:42" outlineLevel="1" x14ac:dyDescent="0.25">
      <c r="A43" s="12"/>
      <c r="B43" s="13"/>
      <c r="C43" s="19" t="s">
        <v>510</v>
      </c>
      <c r="D43" s="45"/>
      <c r="E43" s="15"/>
      <c r="F43" s="16"/>
      <c r="G43" s="14"/>
      <c r="H43" s="140"/>
      <c r="I43" s="413">
        <f>I40+I41</f>
        <v>53838.667844636919</v>
      </c>
      <c r="J43" s="413">
        <f t="shared" ref="J43:AD43" si="1">J40+J41</f>
        <v>53838.667844636919</v>
      </c>
      <c r="K43" s="413">
        <f t="shared" si="1"/>
        <v>53838.667844636919</v>
      </c>
      <c r="L43" s="413">
        <f t="shared" si="1"/>
        <v>53838.667844636919</v>
      </c>
      <c r="M43" s="413">
        <f t="shared" si="1"/>
        <v>53838.667844636919</v>
      </c>
      <c r="N43" s="413">
        <f t="shared" si="1"/>
        <v>53838.667844636919</v>
      </c>
      <c r="O43" s="413">
        <f t="shared" si="1"/>
        <v>53838.667844636919</v>
      </c>
      <c r="P43" s="413">
        <f t="shared" si="1"/>
        <v>53838.667844636919</v>
      </c>
      <c r="Q43" s="413">
        <f t="shared" si="1"/>
        <v>53838.667844636919</v>
      </c>
      <c r="R43" s="413">
        <f t="shared" si="1"/>
        <v>53838.667844636919</v>
      </c>
      <c r="S43" s="413">
        <f t="shared" si="1"/>
        <v>53838.667844636919</v>
      </c>
      <c r="T43" s="413">
        <f t="shared" si="1"/>
        <v>53838.667844636919</v>
      </c>
      <c r="U43" s="413">
        <f t="shared" si="1"/>
        <v>0</v>
      </c>
      <c r="V43" s="413">
        <f t="shared" si="1"/>
        <v>0</v>
      </c>
      <c r="W43" s="413">
        <f t="shared" si="1"/>
        <v>0</v>
      </c>
      <c r="X43" s="413">
        <f t="shared" si="1"/>
        <v>0</v>
      </c>
      <c r="Y43" s="413">
        <f t="shared" si="1"/>
        <v>0</v>
      </c>
      <c r="Z43" s="413">
        <f t="shared" si="1"/>
        <v>0</v>
      </c>
      <c r="AA43" s="413">
        <f t="shared" si="1"/>
        <v>0</v>
      </c>
      <c r="AB43" s="413">
        <f t="shared" si="1"/>
        <v>0</v>
      </c>
      <c r="AC43" s="413">
        <f t="shared" si="1"/>
        <v>0</v>
      </c>
      <c r="AD43" s="413">
        <f t="shared" si="1"/>
        <v>0</v>
      </c>
      <c r="AE43" s="231"/>
      <c r="AF43" s="28"/>
      <c r="AG43" s="28"/>
      <c r="AH43" s="28"/>
      <c r="AI43" s="28"/>
      <c r="AJ43" s="28"/>
      <c r="AK43" s="28"/>
      <c r="AL43" s="28"/>
      <c r="AM43" s="28"/>
      <c r="AN43" s="28"/>
      <c r="AO43" s="28"/>
      <c r="AP43" s="29"/>
    </row>
    <row r="44" spans="1:42" s="140" customFormat="1" outlineLevel="1" x14ac:dyDescent="0.25">
      <c r="A44" s="78"/>
      <c r="B44" s="19"/>
      <c r="C44" s="95"/>
      <c r="D44" s="20"/>
      <c r="E44" s="21"/>
      <c r="F44" s="48"/>
      <c r="G44" s="20"/>
      <c r="H44" s="20"/>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370"/>
    </row>
    <row r="45" spans="1:42" outlineLevel="1" x14ac:dyDescent="0.25">
      <c r="A45" s="12"/>
      <c r="B45" s="13"/>
      <c r="C45" s="37" t="s">
        <v>472</v>
      </c>
      <c r="D45" s="37"/>
      <c r="E45" s="38"/>
      <c r="F45" s="39"/>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17"/>
    </row>
    <row r="46" spans="1:42" outlineLevel="1" x14ac:dyDescent="0.25">
      <c r="A46" s="12"/>
      <c r="B46" s="13"/>
      <c r="C46" s="44" t="s">
        <v>258</v>
      </c>
      <c r="D46" s="44"/>
      <c r="E46" s="15"/>
      <c r="F46" s="16"/>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7"/>
    </row>
    <row r="47" spans="1:42" outlineLevel="1" x14ac:dyDescent="0.25">
      <c r="A47" s="12"/>
      <c r="B47" s="13"/>
      <c r="C47" s="45" t="s">
        <v>120</v>
      </c>
      <c r="D47" s="45"/>
      <c r="E47" s="15" t="s">
        <v>474</v>
      </c>
      <c r="F47" s="158" t="str">
        <f>Dashboard!$I$43</f>
        <v>2 Axle rigid</v>
      </c>
      <c r="G47" s="14"/>
      <c r="H47" s="177"/>
      <c r="I47" s="177">
        <f>IF($C$47=$F$47,Data!$E$260*I$13,0)</f>
        <v>45629.999999999993</v>
      </c>
      <c r="J47" s="177">
        <f>IF($C$47=$F$47,Data!$E$260*J$13,0)</f>
        <v>45629.999999999993</v>
      </c>
      <c r="K47" s="177">
        <f>IF($C$47=$F$47,Data!$E$260*K$13,0)</f>
        <v>45629.999999999993</v>
      </c>
      <c r="L47" s="177">
        <f>IF($C$47=$F$47,Data!$E$260*L$13,0)</f>
        <v>45629.999999999993</v>
      </c>
      <c r="M47" s="177">
        <f>IF($C$47=$F$47,Data!$E$260*M$13,0)</f>
        <v>45629.999999999993</v>
      </c>
      <c r="N47" s="177">
        <f>IF($C$47=$F$47,Data!$E$260*N$13,0)</f>
        <v>45629.999999999993</v>
      </c>
      <c r="O47" s="177">
        <f>IF($C$47=$F$47,Data!$E$260*O$13,0)</f>
        <v>45629.999999999993</v>
      </c>
      <c r="P47" s="177">
        <f>IF($C$47=$F$47,Data!$E$260*P$13,0)</f>
        <v>45629.999999999993</v>
      </c>
      <c r="Q47" s="177">
        <f>IF($C$47=$F$47,Data!$E$260*Q$13,0)</f>
        <v>45629.999999999993</v>
      </c>
      <c r="R47" s="177">
        <f>IF($C$47=$F$47,Data!$E$260*R$13,0)</f>
        <v>45629.999999999993</v>
      </c>
      <c r="S47" s="177">
        <f>IF($C$47=$F$47,Data!$E$260*S$13,0)</f>
        <v>45629.999999999993</v>
      </c>
      <c r="T47" s="177">
        <f>IF($C$47=$F$47,Data!$E$260*T$13,0)</f>
        <v>45629.999999999993</v>
      </c>
      <c r="U47" s="177">
        <f>IF($C$47=$F$47,Data!$E$260*U$13,0)</f>
        <v>0</v>
      </c>
      <c r="V47" s="177">
        <f>IF($C$47=$F$47,Data!$E$260*V$13,0)</f>
        <v>0</v>
      </c>
      <c r="W47" s="177">
        <f>IF($C$47=$F$47,Data!$E$260*W$13,0)</f>
        <v>0</v>
      </c>
      <c r="X47" s="177">
        <f>IF($C$47=$F$47,Data!$E$260*X$13,0)</f>
        <v>0</v>
      </c>
      <c r="Y47" s="177">
        <f>IF($C$47=$F$47,Data!$E$260*Y$13,0)</f>
        <v>0</v>
      </c>
      <c r="Z47" s="177">
        <f>IF($C$47=$F$47,Data!$E$260*Z$13,0)</f>
        <v>0</v>
      </c>
      <c r="AA47" s="177">
        <f>IF($C$47=$F$47,Data!$E$260*AA$13,0)</f>
        <v>0</v>
      </c>
      <c r="AB47" s="177">
        <f>IF($C$47=$F$47,Data!$E$260*AB$13,0)</f>
        <v>0</v>
      </c>
      <c r="AC47" s="177">
        <f>IF($C$47=$F$47,Data!$E$260*AC$13,0)</f>
        <v>0</v>
      </c>
      <c r="AD47" s="177">
        <f>IF($C$47=$F$47,Data!$E$260*AD$13,0)</f>
        <v>0</v>
      </c>
      <c r="AE47" s="177">
        <f>IF($C$47=$F$47,Data!$E$260*AE$13,0)</f>
        <v>0</v>
      </c>
      <c r="AF47" s="177">
        <f>IF($C$47=$F$47,Data!$E$260*AF$13,0)</f>
        <v>0</v>
      </c>
      <c r="AG47" s="177">
        <f>IF($C$47=$F$47,Data!$E$260*AG$13,0)</f>
        <v>0</v>
      </c>
      <c r="AH47" s="177">
        <f>IF($C$47=$F$47,Data!$E$260*AH$13,0)</f>
        <v>0</v>
      </c>
      <c r="AI47" s="177">
        <f>IF($C$47=$F$47,Data!$E$260*AI$13,0)</f>
        <v>0</v>
      </c>
      <c r="AJ47" s="177">
        <f>IF($C$47=$F$47,Data!$E$260*AJ$13,0)</f>
        <v>0</v>
      </c>
      <c r="AK47" s="177">
        <f>IF($C$47=$F$47,Data!$E$260*AK$13,0)</f>
        <v>0</v>
      </c>
      <c r="AL47" s="177">
        <f>IF($C$47=$F$47,Data!$E$260*AL$13,0)</f>
        <v>0</v>
      </c>
      <c r="AM47" s="177">
        <f>IF($C$47=$F$47,Data!$E$260*AM$13,0)</f>
        <v>0</v>
      </c>
      <c r="AN47" s="177">
        <f>IF($C$47=$F$47,Data!$E$260*AN$13,0)</f>
        <v>0</v>
      </c>
      <c r="AO47" s="177">
        <f>IF($C$47=$F$47,Data!$E$260*AO$13,0)</f>
        <v>0</v>
      </c>
      <c r="AP47" s="29"/>
    </row>
    <row r="48" spans="1:42" outlineLevel="1" x14ac:dyDescent="0.25">
      <c r="A48" s="12"/>
      <c r="B48" s="13"/>
      <c r="C48" s="45" t="s">
        <v>124</v>
      </c>
      <c r="D48" s="45"/>
      <c r="E48" s="15" t="s">
        <v>474</v>
      </c>
      <c r="F48" s="158" t="str">
        <f>Dashboard!$I$43</f>
        <v>2 Axle rigid</v>
      </c>
      <c r="G48" s="14"/>
      <c r="H48" s="177"/>
      <c r="I48" s="177">
        <f>IF($C$48=$F$48,Data!$E$261*I$13,0)</f>
        <v>0</v>
      </c>
      <c r="J48" s="177">
        <f>IF($C$48=$F$48,Data!$E$261*J$13,0)</f>
        <v>0</v>
      </c>
      <c r="K48" s="177">
        <f>IF($C$48=$F$48,Data!$E$261*K$13,0)</f>
        <v>0</v>
      </c>
      <c r="L48" s="177">
        <f>IF($C$48=$F$48,Data!$E$261*L$13,0)</f>
        <v>0</v>
      </c>
      <c r="M48" s="177">
        <f>IF($C$48=$F$48,Data!$E$261*M$13,0)</f>
        <v>0</v>
      </c>
      <c r="N48" s="177">
        <f>IF($C$48=$F$48,Data!$E$261*N$13,0)</f>
        <v>0</v>
      </c>
      <c r="O48" s="177">
        <f>IF($C$48=$F$48,Data!$E$261*O$13,0)</f>
        <v>0</v>
      </c>
      <c r="P48" s="177">
        <f>IF($C$48=$F$48,Data!$E$261*P$13,0)</f>
        <v>0</v>
      </c>
      <c r="Q48" s="177">
        <f>IF($C$48=$F$48,Data!$E$261*Q$13,0)</f>
        <v>0</v>
      </c>
      <c r="R48" s="177">
        <f>IF($C$48=$F$48,Data!$E$261*R$13,0)</f>
        <v>0</v>
      </c>
      <c r="S48" s="177">
        <f>IF($C$48=$F$48,Data!$E$261*S$13,0)</f>
        <v>0</v>
      </c>
      <c r="T48" s="177">
        <f>IF($C$48=$F$48,Data!$E$261*T$13,0)</f>
        <v>0</v>
      </c>
      <c r="U48" s="177">
        <f>IF($C$48=$F$48,Data!$E$261*U$13,0)</f>
        <v>0</v>
      </c>
      <c r="V48" s="177">
        <f>IF($C$48=$F$48,Data!$E$261*V$13,0)</f>
        <v>0</v>
      </c>
      <c r="W48" s="177">
        <f>IF($C$48=$F$48,Data!$E$261*W$13,0)</f>
        <v>0</v>
      </c>
      <c r="X48" s="177">
        <f>IF($C$48=$F$48,Data!$E$261*X$13,0)</f>
        <v>0</v>
      </c>
      <c r="Y48" s="177">
        <f>IF($C$48=$F$48,Data!$E$261*Y$13,0)</f>
        <v>0</v>
      </c>
      <c r="Z48" s="177">
        <f>IF($C$48=$F$48,Data!$E$261*Z$13,0)</f>
        <v>0</v>
      </c>
      <c r="AA48" s="177">
        <f>IF($C$48=$F$48,Data!$E$261*AA$13,0)</f>
        <v>0</v>
      </c>
      <c r="AB48" s="177">
        <f>IF($C$48=$F$48,Data!$E$261*AB$13,0)</f>
        <v>0</v>
      </c>
      <c r="AC48" s="177">
        <f>IF($C$48=$F$48,Data!$E$261*AC$13,0)</f>
        <v>0</v>
      </c>
      <c r="AD48" s="177">
        <f>IF($C$48=$F$48,Data!$E$261*AD$13,0)</f>
        <v>0</v>
      </c>
      <c r="AE48" s="177">
        <f>IF($C$48=$F$48,Data!$E$261*AE$13,0)</f>
        <v>0</v>
      </c>
      <c r="AF48" s="177">
        <f>IF($C$48=$F$48,Data!$E$261*AF$13,0)</f>
        <v>0</v>
      </c>
      <c r="AG48" s="177">
        <f>IF($C$48=$F$48,Data!$E$261*AG$13,0)</f>
        <v>0</v>
      </c>
      <c r="AH48" s="177">
        <f>IF($C$48=$F$48,Data!$E$261*AH$13,0)</f>
        <v>0</v>
      </c>
      <c r="AI48" s="177">
        <f>IF($C$48=$F$48,Data!$E$261*AI$13,0)</f>
        <v>0</v>
      </c>
      <c r="AJ48" s="177">
        <f>IF($C$48=$F$48,Data!$E$261*AJ$13,0)</f>
        <v>0</v>
      </c>
      <c r="AK48" s="177">
        <f>IF($C$48=$F$48,Data!$E$261*AK$13,0)</f>
        <v>0</v>
      </c>
      <c r="AL48" s="177">
        <f>IF($C$48=$F$48,Data!$E$261*AL$13,0)</f>
        <v>0</v>
      </c>
      <c r="AM48" s="177">
        <f>IF($C$48=$F$48,Data!$E$261*AM$13,0)</f>
        <v>0</v>
      </c>
      <c r="AN48" s="177">
        <f>IF($C$48=$F$48,Data!$E$261*AN$13,0)</f>
        <v>0</v>
      </c>
      <c r="AO48" s="177">
        <f>IF($C$48=$F$48,Data!$E$261*AO$13,0)</f>
        <v>0</v>
      </c>
      <c r="AP48" s="29"/>
    </row>
    <row r="49" spans="1:42" outlineLevel="1" x14ac:dyDescent="0.25">
      <c r="A49" s="12"/>
      <c r="B49" s="13"/>
      <c r="C49" s="45" t="s">
        <v>126</v>
      </c>
      <c r="D49" s="45"/>
      <c r="E49" s="15" t="s">
        <v>474</v>
      </c>
      <c r="F49" s="158" t="str">
        <f>Dashboard!$I$43</f>
        <v>2 Axle rigid</v>
      </c>
      <c r="G49" s="14"/>
      <c r="H49" s="177"/>
      <c r="I49" s="177">
        <f>IF($C$49=$F$49,Data!$E$262*I$13,0)</f>
        <v>0</v>
      </c>
      <c r="J49" s="177">
        <f>IF($C$49=$F$49,Data!$E$262*J$13,0)</f>
        <v>0</v>
      </c>
      <c r="K49" s="177">
        <f>IF($C$49=$F$49,Data!$E$262*K$13,0)</f>
        <v>0</v>
      </c>
      <c r="L49" s="177">
        <f>IF($C$49=$F$49,Data!$E$262*L$13,0)</f>
        <v>0</v>
      </c>
      <c r="M49" s="177">
        <f>IF($C$49=$F$49,Data!$E$262*M$13,0)</f>
        <v>0</v>
      </c>
      <c r="N49" s="177">
        <f>IF($C$49=$F$49,Data!$E$262*N$13,0)</f>
        <v>0</v>
      </c>
      <c r="O49" s="177">
        <f>IF($C$49=$F$49,Data!$E$262*O$13,0)</f>
        <v>0</v>
      </c>
      <c r="P49" s="177">
        <f>IF($C$49=$F$49,Data!$E$262*P$13,0)</f>
        <v>0</v>
      </c>
      <c r="Q49" s="177">
        <f>IF($C$49=$F$49,Data!$E$262*Q$13,0)</f>
        <v>0</v>
      </c>
      <c r="R49" s="177">
        <f>IF($C$49=$F$49,Data!$E$262*R$13,0)</f>
        <v>0</v>
      </c>
      <c r="S49" s="177">
        <f>IF($C$49=$F$49,Data!$E$262*S$13,0)</f>
        <v>0</v>
      </c>
      <c r="T49" s="177">
        <f>IF($C$49=$F$49,Data!$E$262*T$13,0)</f>
        <v>0</v>
      </c>
      <c r="U49" s="177">
        <f>IF($C$49=$F$49,Data!$E$262*U$13,0)</f>
        <v>0</v>
      </c>
      <c r="V49" s="177">
        <f>IF($C$49=$F$49,Data!$E$262*V$13,0)</f>
        <v>0</v>
      </c>
      <c r="W49" s="177">
        <f>IF($C$49=$F$49,Data!$E$262*W$13,0)</f>
        <v>0</v>
      </c>
      <c r="X49" s="177">
        <f>IF($C$49=$F$49,Data!$E$262*X$13,0)</f>
        <v>0</v>
      </c>
      <c r="Y49" s="177">
        <f>IF($C$49=$F$49,Data!$E$262*Y$13,0)</f>
        <v>0</v>
      </c>
      <c r="Z49" s="177">
        <f>IF($C$49=$F$49,Data!$E$262*Z$13,0)</f>
        <v>0</v>
      </c>
      <c r="AA49" s="177">
        <f>IF($C$49=$F$49,Data!$E$262*AA$13,0)</f>
        <v>0</v>
      </c>
      <c r="AB49" s="177">
        <f>IF($C$49=$F$49,Data!$E$262*AB$13,0)</f>
        <v>0</v>
      </c>
      <c r="AC49" s="177">
        <f>IF($C$49=$F$49,Data!$E$262*AC$13,0)</f>
        <v>0</v>
      </c>
      <c r="AD49" s="177">
        <f>IF($C$49=$F$49,Data!$E$262*AD$13,0)</f>
        <v>0</v>
      </c>
      <c r="AE49" s="177">
        <f>IF($C$49=$F$49,Data!$E$262*AE$13,0)</f>
        <v>0</v>
      </c>
      <c r="AF49" s="177">
        <f>IF($C$49=$F$49,Data!$E$262*AF$13,0)</f>
        <v>0</v>
      </c>
      <c r="AG49" s="177">
        <f>IF($C$49=$F$49,Data!$E$262*AG$13,0)</f>
        <v>0</v>
      </c>
      <c r="AH49" s="177">
        <f>IF($C$49=$F$49,Data!$E$262*AH$13,0)</f>
        <v>0</v>
      </c>
      <c r="AI49" s="177">
        <f>IF($C$49=$F$49,Data!$E$262*AI$13,0)</f>
        <v>0</v>
      </c>
      <c r="AJ49" s="177">
        <f>IF($C$49=$F$49,Data!$E$262*AJ$13,0)</f>
        <v>0</v>
      </c>
      <c r="AK49" s="177">
        <f>IF($C$49=$F$49,Data!$E$262*AK$13,0)</f>
        <v>0</v>
      </c>
      <c r="AL49" s="177">
        <f>IF($C$49=$F$49,Data!$E$262*AL$13,0)</f>
        <v>0</v>
      </c>
      <c r="AM49" s="177">
        <f>IF($C$49=$F$49,Data!$E$262*AM$13,0)</f>
        <v>0</v>
      </c>
      <c r="AN49" s="177">
        <f>IF($C$49=$F$49,Data!$E$262*AN$13,0)</f>
        <v>0</v>
      </c>
      <c r="AO49" s="177">
        <f>IF($C$49=$F$49,Data!$E$262*AO$13,0)</f>
        <v>0</v>
      </c>
      <c r="AP49" s="29"/>
    </row>
    <row r="50" spans="1:42" outlineLevel="1" x14ac:dyDescent="0.25">
      <c r="A50" s="12"/>
      <c r="B50" s="13"/>
      <c r="C50" s="45"/>
      <c r="D50" s="45"/>
      <c r="E50" s="15"/>
      <c r="F50" s="16"/>
      <c r="G50" s="14"/>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9"/>
    </row>
    <row r="51" spans="1:42" outlineLevel="1" x14ac:dyDescent="0.25">
      <c r="A51" s="12"/>
      <c r="B51" s="13"/>
      <c r="C51" s="44" t="s">
        <v>532</v>
      </c>
      <c r="D51" s="45"/>
      <c r="E51" s="15"/>
      <c r="F51" s="16"/>
      <c r="G51" s="14"/>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9"/>
    </row>
    <row r="52" spans="1:42" outlineLevel="1" x14ac:dyDescent="0.25">
      <c r="A52" s="12"/>
      <c r="B52" s="13"/>
      <c r="C52" s="45" t="s">
        <v>408</v>
      </c>
      <c r="D52" s="45"/>
      <c r="E52" s="15" t="s">
        <v>318</v>
      </c>
      <c r="F52" s="16"/>
      <c r="G52" s="14"/>
      <c r="H52" s="28"/>
      <c r="I52" s="28">
        <f>IF(I13&gt;0,Data!$E$265,0)</f>
        <v>0</v>
      </c>
      <c r="J52" s="28">
        <f>IF(J13&gt;0,Data!$E$265,0)</f>
        <v>0</v>
      </c>
      <c r="K52" s="28">
        <f>IF(K13&gt;0,Data!$E$265,0)</f>
        <v>0</v>
      </c>
      <c r="L52" s="28">
        <f>IF(L13&gt;0,Data!$E$265,0)</f>
        <v>0</v>
      </c>
      <c r="M52" s="28">
        <f>IF(M13&gt;0,Data!$E$265,0)</f>
        <v>0</v>
      </c>
      <c r="N52" s="28">
        <f>IF(N13&gt;0,Data!$E$265,0)</f>
        <v>0</v>
      </c>
      <c r="O52" s="28">
        <f>IF(O13&gt;0,Data!$E$265,0)</f>
        <v>0</v>
      </c>
      <c r="P52" s="28">
        <f>IF(P13&gt;0,Data!$E$265,0)</f>
        <v>0</v>
      </c>
      <c r="Q52" s="28">
        <f>IF(Q13&gt;0,Data!$E$265,0)</f>
        <v>0</v>
      </c>
      <c r="R52" s="28">
        <f>IF(R13&gt;0,Data!$E$265,0)</f>
        <v>0</v>
      </c>
      <c r="S52" s="28">
        <f>IF(S13&gt;0,Data!$E$265,0)</f>
        <v>0</v>
      </c>
      <c r="T52" s="28">
        <f>IF(T13&gt;0,Data!$E$265,0)</f>
        <v>0</v>
      </c>
      <c r="U52" s="28">
        <f>IF(U13&gt;0,Data!$E$265,0)</f>
        <v>0</v>
      </c>
      <c r="V52" s="28">
        <f>IF(V13&gt;0,Data!$E$265,0)</f>
        <v>0</v>
      </c>
      <c r="W52" s="28">
        <f>IF(W13&gt;0,Data!$E$265,0)</f>
        <v>0</v>
      </c>
      <c r="X52" s="28">
        <f>IF(X13&gt;0,Data!$E$265,0)</f>
        <v>0</v>
      </c>
      <c r="Y52" s="28">
        <f>IF(Y13&gt;0,Data!$E$265,0)</f>
        <v>0</v>
      </c>
      <c r="Z52" s="28">
        <f>IF(Z13&gt;0,Data!$E$265,0)</f>
        <v>0</v>
      </c>
      <c r="AA52" s="28">
        <f>IF(AA13&gt;0,Data!$E$265,0)</f>
        <v>0</v>
      </c>
      <c r="AB52" s="28">
        <f>IF(AB13&gt;0,Data!$E$265,0)</f>
        <v>0</v>
      </c>
      <c r="AC52" s="28">
        <f>IF(AC13&gt;0,Data!$E$265,0)</f>
        <v>0</v>
      </c>
      <c r="AD52" s="28">
        <f>IF(AD13&gt;0,Data!$E$265,0)</f>
        <v>0</v>
      </c>
      <c r="AE52" s="28">
        <f>IF(AE13&gt;0,Data!$E$265,0)</f>
        <v>0</v>
      </c>
      <c r="AF52" s="28">
        <f>IF(AF13&gt;0,Data!$E$265,0)</f>
        <v>0</v>
      </c>
      <c r="AG52" s="28">
        <f>IF(AG13&gt;0,Data!$E$265,0)</f>
        <v>0</v>
      </c>
      <c r="AH52" s="28">
        <f>IF(AH13&gt;0,Data!$E$265,0)</f>
        <v>0</v>
      </c>
      <c r="AI52" s="28">
        <f>IF(AI13&gt;0,Data!$E$265,0)</f>
        <v>0</v>
      </c>
      <c r="AJ52" s="28">
        <f>IF(AJ13&gt;0,Data!$E$265,0)</f>
        <v>0</v>
      </c>
      <c r="AK52" s="28">
        <f>IF(AK13&gt;0,Data!$E$265,0)</f>
        <v>0</v>
      </c>
      <c r="AL52" s="28">
        <f>IF(AL13&gt;0,Data!$E$265,0)</f>
        <v>0</v>
      </c>
      <c r="AM52" s="28">
        <f>IF(AM13&gt;0,Data!$E$265,0)</f>
        <v>0</v>
      </c>
      <c r="AN52" s="28">
        <f>IF(AN13&gt;0,Data!$E$265,0)</f>
        <v>0</v>
      </c>
      <c r="AO52" s="28">
        <f>IF(AO13&gt;0,Data!$E$265,0)</f>
        <v>0</v>
      </c>
      <c r="AP52" s="29"/>
    </row>
    <row r="53" spans="1:42" outlineLevel="1" x14ac:dyDescent="0.25">
      <c r="A53" s="12"/>
      <c r="B53" s="13"/>
      <c r="C53" s="45" t="s">
        <v>415</v>
      </c>
      <c r="D53" s="45"/>
      <c r="E53" s="15" t="s">
        <v>318</v>
      </c>
      <c r="F53" s="16"/>
      <c r="G53" s="14"/>
      <c r="H53" s="28"/>
      <c r="I53" s="28">
        <f>IF(I13&gt;0,(Data!$E$266*$F$36)/Dashboard!$I$41,0)</f>
        <v>0</v>
      </c>
      <c r="J53" s="28">
        <f>IF(J13&gt;0,(Data!$E$266*$F$36)/Dashboard!$I$41,0)</f>
        <v>0</v>
      </c>
      <c r="K53" s="28">
        <f>IF(K13&gt;0,(Data!$E$266*$F$36)/Dashboard!$I$41,0)</f>
        <v>0</v>
      </c>
      <c r="L53" s="28">
        <f>IF(L13&gt;0,(Data!$E$266*$F$36)/Dashboard!$I$41,0)</f>
        <v>0</v>
      </c>
      <c r="M53" s="28">
        <f>IF(M13&gt;0,(Data!$E$266*$F$36)/Dashboard!$I$41,0)</f>
        <v>0</v>
      </c>
      <c r="N53" s="28">
        <f>IF(N13&gt;0,(Data!$E$266*$F$36)/Dashboard!$I$41,0)</f>
        <v>0</v>
      </c>
      <c r="O53" s="28">
        <f>IF(O13&gt;0,(Data!$E$266*$F$36)/Dashboard!$I$41,0)</f>
        <v>0</v>
      </c>
      <c r="P53" s="28">
        <f>IF(P13&gt;0,(Data!$E$266*$F$36)/Dashboard!$I$41,0)</f>
        <v>0</v>
      </c>
      <c r="Q53" s="28">
        <f>IF(Q13&gt;0,(Data!$E$266*$F$36)/Dashboard!$I$41,0)</f>
        <v>0</v>
      </c>
      <c r="R53" s="28">
        <f>IF(R13&gt;0,(Data!$E$266*$F$36)/Dashboard!$I$41,0)</f>
        <v>0</v>
      </c>
      <c r="S53" s="28">
        <f>IF(S13&gt;0,(Data!$E$266*$F$36)/Dashboard!$I$41,0)</f>
        <v>0</v>
      </c>
      <c r="T53" s="28">
        <f>IF(T13&gt;0,(Data!$E$266*$F$36)/Dashboard!$I$41,0)</f>
        <v>0</v>
      </c>
      <c r="U53" s="28">
        <f>IF(U13&gt;0,(Data!$E$266*$F$36)/Dashboard!$I$41,0)</f>
        <v>0</v>
      </c>
      <c r="V53" s="28">
        <f>IF(V13&gt;0,(Data!$E$266*$F$36)/Dashboard!$I$41,0)</f>
        <v>0</v>
      </c>
      <c r="W53" s="28">
        <f>IF(W13&gt;0,(Data!$E$266*$F$36)/Dashboard!$I$41,0)</f>
        <v>0</v>
      </c>
      <c r="X53" s="28">
        <f>IF(X13&gt;0,(Data!$E$266*$F$36)/Dashboard!$I$41,0)</f>
        <v>0</v>
      </c>
      <c r="Y53" s="28">
        <f>IF(Y13&gt;0,(Data!$E$266*$F$36)/Dashboard!$I$41,0)</f>
        <v>0</v>
      </c>
      <c r="Z53" s="28">
        <f>IF(Z13&gt;0,(Data!$E$266*$F$36)/Dashboard!$I$41,0)</f>
        <v>0</v>
      </c>
      <c r="AA53" s="28">
        <f>IF(AA13&gt;0,(Data!$E$266*$F$36)/Dashboard!$I$41,0)</f>
        <v>0</v>
      </c>
      <c r="AB53" s="28">
        <f>IF(AB13&gt;0,(Data!$E$266*$F$36)/Dashboard!$I$41,0)</f>
        <v>0</v>
      </c>
      <c r="AC53" s="28">
        <f>IF(AC13&gt;0,(Data!$E$266*$F$36)/Dashboard!$I$41,0)</f>
        <v>0</v>
      </c>
      <c r="AD53" s="28">
        <f>IF(AD13&gt;0,(Data!$E$266*$F$36)/Dashboard!$I$41,0)</f>
        <v>0</v>
      </c>
      <c r="AE53" s="28">
        <f>IF(AE13&gt;0,(Data!$E$266*$F$36)/Dashboard!$I$41,0)</f>
        <v>0</v>
      </c>
      <c r="AF53" s="28">
        <f>IF(AF13&gt;0,(Data!$E$266*$F$36)/Dashboard!$I$41,0)</f>
        <v>0</v>
      </c>
      <c r="AG53" s="28">
        <f>IF(AG13&gt;0,(Data!$E$266*$F$36)/Dashboard!$I$41,0)</f>
        <v>0</v>
      </c>
      <c r="AH53" s="28">
        <f>IF(AH13&gt;0,(Data!$E$266*$F$36)/Dashboard!$I$41,0)</f>
        <v>0</v>
      </c>
      <c r="AI53" s="28">
        <f>IF(AI13&gt;0,(Data!$E$266*$F$36)/Dashboard!$I$41,0)</f>
        <v>0</v>
      </c>
      <c r="AJ53" s="28">
        <f>IF(AJ13&gt;0,(Data!$E$266*$F$36)/Dashboard!$I$41,0)</f>
        <v>0</v>
      </c>
      <c r="AK53" s="28">
        <f>IF(AK13&gt;0,(Data!$E$266*$F$36)/Dashboard!$I$41,0)</f>
        <v>0</v>
      </c>
      <c r="AL53" s="28">
        <f>IF(AL13&gt;0,(Data!$E$266*$F$36)/Dashboard!$I$41,0)</f>
        <v>0</v>
      </c>
      <c r="AM53" s="28">
        <f>IF(AM13&gt;0,(Data!$E$266*$F$36)/Dashboard!$I$41,0)</f>
        <v>0</v>
      </c>
      <c r="AN53" s="28">
        <f>IF(AN13&gt;0,(Data!$E$266*$F$36)/Dashboard!$I$41,0)</f>
        <v>0</v>
      </c>
      <c r="AO53" s="28">
        <f>IF(AO13&gt;0,(Data!$E$266*$F$36)/Dashboard!$I$41,0)</f>
        <v>0</v>
      </c>
      <c r="AP53" s="29"/>
    </row>
    <row r="54" spans="1:42" outlineLevel="1" x14ac:dyDescent="0.25">
      <c r="A54" s="12"/>
      <c r="B54" s="13"/>
      <c r="C54" s="44"/>
      <c r="D54" s="45"/>
      <c r="E54" s="15"/>
      <c r="F54" s="16"/>
      <c r="G54" s="14"/>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9"/>
    </row>
    <row r="55" spans="1:42" s="167" customFormat="1" outlineLevel="1" x14ac:dyDescent="0.25">
      <c r="A55" s="96"/>
      <c r="B55" s="96"/>
      <c r="C55" s="513" t="s">
        <v>260</v>
      </c>
      <c r="D55" s="96"/>
      <c r="E55" s="112" t="s">
        <v>318</v>
      </c>
      <c r="F55" s="164"/>
      <c r="G55" s="96"/>
      <c r="H55" s="151"/>
      <c r="I55" s="151"/>
      <c r="J55" s="151"/>
      <c r="K55" s="151">
        <f>IF(K13&gt;0,Data!$E$268*K$13,0)</f>
        <v>33733.440000000002</v>
      </c>
      <c r="L55" s="151">
        <f>IF(L13&gt;0,Data!$E$268*L$13,0)</f>
        <v>33733.440000000002</v>
      </c>
      <c r="M55" s="151">
        <f>IF(M13&gt;0,Data!$E$268*M$13,0)</f>
        <v>33733.440000000002</v>
      </c>
      <c r="N55" s="151">
        <f>IF(N13&gt;0,Data!$E$268*N$13,0)</f>
        <v>33733.440000000002</v>
      </c>
      <c r="O55" s="151">
        <f>IF(O13&gt;0,Data!$E$268*O$13,0)</f>
        <v>33733.440000000002</v>
      </c>
      <c r="P55" s="151">
        <f>IF(P13&gt;0,Data!$E$268*P$13,0)</f>
        <v>33733.440000000002</v>
      </c>
      <c r="Q55" s="151">
        <f>IF(Q13&gt;0,Data!$E$268*Q$13,0)</f>
        <v>33733.440000000002</v>
      </c>
      <c r="R55" s="151">
        <f>IF(R13&gt;0,Data!$E$268*R$13,0)</f>
        <v>33733.440000000002</v>
      </c>
      <c r="S55" s="151">
        <f>IF(S13&gt;0,Data!$E$268*S$13,0)</f>
        <v>33733.440000000002</v>
      </c>
      <c r="T55" s="151">
        <f>IF(T13&gt;0,Data!$E$268*T$13,0)</f>
        <v>33733.440000000002</v>
      </c>
      <c r="U55" s="151">
        <f>IF(U13&gt;0,Data!$E$268*U$13,0)</f>
        <v>0</v>
      </c>
      <c r="V55" s="151">
        <f>IF(V13&gt;0,Data!$E$268*V$13,0)</f>
        <v>0</v>
      </c>
      <c r="W55" s="151">
        <f>IF(W13&gt;0,Data!$E$268*W$13,0)</f>
        <v>0</v>
      </c>
      <c r="X55" s="151">
        <f>IF(X13&gt;0,Data!$E$268*X$13,0)</f>
        <v>0</v>
      </c>
      <c r="Y55" s="151">
        <f>IF(Y13&gt;0,Data!$E$268*Y$13,0)</f>
        <v>0</v>
      </c>
      <c r="Z55" s="151">
        <f>IF(Z13&gt;0,Data!$E$268*Z$13,0)</f>
        <v>0</v>
      </c>
      <c r="AA55" s="151">
        <f>IF(AA13&gt;0,Data!$E$268*AA$13,0)</f>
        <v>0</v>
      </c>
      <c r="AB55" s="151">
        <f>IF(AB13&gt;0,Data!$E$268*AB$13,0)</f>
        <v>0</v>
      </c>
      <c r="AC55" s="151">
        <f>IF(AC13&gt;0,Data!$E$268*AC$13,0)</f>
        <v>0</v>
      </c>
      <c r="AD55" s="151">
        <f>IF(AD13&gt;0,Data!$E$268*AD$13,0)</f>
        <v>0</v>
      </c>
      <c r="AE55" s="151">
        <f>IF(AE13&gt;0,Data!$E$268*AE$13,0)</f>
        <v>0</v>
      </c>
      <c r="AF55" s="151">
        <f>IF(AF13&gt;0,Data!$E$268*AF$13,0)</f>
        <v>0</v>
      </c>
      <c r="AG55" s="151">
        <f>IF(AG13&gt;0,Data!$E$268*AG$13,0)</f>
        <v>0</v>
      </c>
      <c r="AH55" s="151">
        <f>IF(AH13&gt;0,Data!$E$268*AH$13,0)</f>
        <v>0</v>
      </c>
      <c r="AI55" s="151">
        <f>IF(AI13&gt;0,Data!$E$268*AI$13,0)</f>
        <v>0</v>
      </c>
      <c r="AJ55" s="151">
        <f>IF(AJ13&gt;0,Data!$E$268*AJ$13,0)</f>
        <v>0</v>
      </c>
      <c r="AK55" s="151">
        <f>IF(AK13&gt;0,Data!$E$268*AK$13,0)</f>
        <v>0</v>
      </c>
      <c r="AL55" s="151">
        <f>IF(AL13&gt;0,Data!$E$268*AL$13,0)</f>
        <v>0</v>
      </c>
      <c r="AM55" s="151">
        <f>IF(AM13&gt;0,Data!$E$268*AM$13,0)</f>
        <v>0</v>
      </c>
      <c r="AN55" s="151">
        <f>IF(AN13&gt;0,Data!$E$268*AN$13,0)</f>
        <v>0</v>
      </c>
      <c r="AO55" s="151">
        <f>IF(AO13&gt;0,Data!$E$268*AO$13,0)</f>
        <v>0</v>
      </c>
      <c r="AP55" s="514"/>
    </row>
    <row r="56" spans="1:42" outlineLevel="1" x14ac:dyDescent="0.25">
      <c r="A56" s="12"/>
      <c r="B56" s="13"/>
      <c r="C56" s="44"/>
      <c r="D56" s="44"/>
      <c r="E56" s="15"/>
      <c r="F56" s="16"/>
      <c r="G56" s="14"/>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17"/>
    </row>
    <row r="57" spans="1:42" outlineLevel="1" x14ac:dyDescent="0.25">
      <c r="A57" s="12"/>
      <c r="B57" s="13"/>
      <c r="C57" s="44" t="s">
        <v>398</v>
      </c>
      <c r="D57" s="45"/>
      <c r="E57" s="15"/>
      <c r="F57" s="16"/>
      <c r="G57" s="14"/>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9"/>
    </row>
    <row r="58" spans="1:42" outlineLevel="1" x14ac:dyDescent="0.25">
      <c r="A58" s="12"/>
      <c r="B58" s="13"/>
      <c r="C58" s="45" t="s">
        <v>127</v>
      </c>
      <c r="D58" s="45"/>
      <c r="E58" s="15" t="s">
        <v>475</v>
      </c>
      <c r="F58" s="158" t="str">
        <f>Dashboard!$I$42</f>
        <v>Flat (Gradient  0%)</v>
      </c>
      <c r="G58" s="14"/>
      <c r="H58" s="62"/>
      <c r="I58" s="181" cm="1">
        <f t="array" ref="I58">INDEX('Control panel'!$F$17:$F$19,MATCH($F$58,'Control panel'!$C$17:$C$19,0),0)</f>
        <v>0</v>
      </c>
      <c r="J58" s="181" cm="1">
        <f t="array" ref="J58">INDEX('Control panel'!$F$17:$F$19,MATCH($F$58,'Control panel'!$C$17:$C$19,0),0)</f>
        <v>0</v>
      </c>
      <c r="K58" s="181" cm="1">
        <f t="array" ref="K58">INDEX('Control panel'!$F$17:$F$19,MATCH($F$58,'Control panel'!$C$17:$C$19,0),0)</f>
        <v>0</v>
      </c>
      <c r="L58" s="181" cm="1">
        <f t="array" ref="L58">INDEX('Control panel'!$F$17:$F$19,MATCH($F$58,'Control panel'!$C$17:$C$19,0),0)</f>
        <v>0</v>
      </c>
      <c r="M58" s="181" cm="1">
        <f t="array" ref="M58">INDEX('Control panel'!$F$17:$F$19,MATCH($F$58,'Control panel'!$C$17:$C$19,0),0)</f>
        <v>0</v>
      </c>
      <c r="N58" s="181" cm="1">
        <f t="array" ref="N58">INDEX('Control panel'!$F$17:$F$19,MATCH($F$58,'Control panel'!$C$17:$C$19,0),0)</f>
        <v>0</v>
      </c>
      <c r="O58" s="181" cm="1">
        <f t="array" ref="O58">INDEX('Control panel'!$F$17:$F$19,MATCH($F$58,'Control panel'!$C$17:$C$19,0),0)</f>
        <v>0</v>
      </c>
      <c r="P58" s="181" cm="1">
        <f t="array" ref="P58">INDEX('Control panel'!$F$17:$F$19,MATCH($F$58,'Control panel'!$C$17:$C$19,0),0)</f>
        <v>0</v>
      </c>
      <c r="Q58" s="181" cm="1">
        <f t="array" ref="Q58">INDEX('Control panel'!$F$17:$F$19,MATCH($F$58,'Control panel'!$C$17:$C$19,0),0)</f>
        <v>0</v>
      </c>
      <c r="R58" s="181" cm="1">
        <f t="array" ref="R58">INDEX('Control panel'!$F$17:$F$19,MATCH($F$58,'Control panel'!$C$17:$C$19,0),0)</f>
        <v>0</v>
      </c>
      <c r="S58" s="181" cm="1">
        <f t="array" ref="S58">INDEX('Control panel'!$F$17:$F$19,MATCH($F$58,'Control panel'!$C$17:$C$19,0),0)</f>
        <v>0</v>
      </c>
      <c r="T58" s="181" cm="1">
        <f t="array" ref="T58">INDEX('Control panel'!$F$17:$F$19,MATCH($F$58,'Control panel'!$C$17:$C$19,0),0)</f>
        <v>0</v>
      </c>
      <c r="U58" s="181" cm="1">
        <f t="array" ref="U58">INDEX('Control panel'!$F$17:$F$19,MATCH($F$58,'Control panel'!$C$17:$C$19,0),0)</f>
        <v>0</v>
      </c>
      <c r="V58" s="181" cm="1">
        <f t="array" ref="V58">INDEX('Control panel'!$F$17:$F$19,MATCH($F$58,'Control panel'!$C$17:$C$19,0),0)</f>
        <v>0</v>
      </c>
      <c r="W58" s="181" cm="1">
        <f t="array" ref="W58">INDEX('Control panel'!$F$17:$F$19,MATCH($F$58,'Control panel'!$C$17:$C$19,0),0)</f>
        <v>0</v>
      </c>
      <c r="X58" s="181" cm="1">
        <f t="array" ref="X58">INDEX('Control panel'!$F$17:$F$19,MATCH($F$58,'Control panel'!$C$17:$C$19,0),0)</f>
        <v>0</v>
      </c>
      <c r="Y58" s="181" cm="1">
        <f t="array" ref="Y58">INDEX('Control panel'!$F$17:$F$19,MATCH($F$58,'Control panel'!$C$17:$C$19,0),0)</f>
        <v>0</v>
      </c>
      <c r="Z58" s="181" cm="1">
        <f t="array" ref="Z58">INDEX('Control panel'!$F$17:$F$19,MATCH($F$58,'Control panel'!$C$17:$C$19,0),0)</f>
        <v>0</v>
      </c>
      <c r="AA58" s="181" cm="1">
        <f t="array" ref="AA58">INDEX('Control panel'!$F$17:$F$19,MATCH($F$58,'Control panel'!$C$17:$C$19,0),0)</f>
        <v>0</v>
      </c>
      <c r="AB58" s="181" cm="1">
        <f t="array" ref="AB58">INDEX('Control panel'!$F$17:$F$19,MATCH($F$58,'Control panel'!$C$17:$C$19,0),0)</f>
        <v>0</v>
      </c>
      <c r="AC58" s="181" cm="1">
        <f t="array" ref="AC58">INDEX('Control panel'!$F$17:$F$19,MATCH($F$58,'Control panel'!$C$17:$C$19,0),0)</f>
        <v>0</v>
      </c>
      <c r="AD58" s="181" cm="1">
        <f t="array" ref="AD58">INDEX('Control panel'!$F$17:$F$19,MATCH($F$58,'Control panel'!$C$17:$C$19,0),0)</f>
        <v>0</v>
      </c>
      <c r="AE58" s="181" cm="1">
        <f t="array" ref="AE58">INDEX('Control panel'!$F$17:$F$19,MATCH($F$58,'Control panel'!$C$17:$C$19,0),0)</f>
        <v>0</v>
      </c>
      <c r="AF58" s="181" cm="1">
        <f t="array" ref="AF58">INDEX('Control panel'!$F$17:$F$19,MATCH($F$58,'Control panel'!$C$17:$C$19,0),0)</f>
        <v>0</v>
      </c>
      <c r="AG58" s="181" cm="1">
        <f t="array" ref="AG58">INDEX('Control panel'!$F$17:$F$19,MATCH($F$58,'Control panel'!$C$17:$C$19,0),0)</f>
        <v>0</v>
      </c>
      <c r="AH58" s="181" cm="1">
        <f t="array" ref="AH58">INDEX('Control panel'!$F$17:$F$19,MATCH($F$58,'Control panel'!$C$17:$C$19,0),0)</f>
        <v>0</v>
      </c>
      <c r="AI58" s="181" cm="1">
        <f t="array" ref="AI58">INDEX('Control panel'!$F$17:$F$19,MATCH($F$58,'Control panel'!$C$17:$C$19,0),0)</f>
        <v>0</v>
      </c>
      <c r="AJ58" s="181" cm="1">
        <f t="array" ref="AJ58">INDEX('Control panel'!$F$17:$F$19,MATCH($F$58,'Control panel'!$C$17:$C$19,0),0)</f>
        <v>0</v>
      </c>
      <c r="AK58" s="181" cm="1">
        <f t="array" ref="AK58">INDEX('Control panel'!$F$17:$F$19,MATCH($F$58,'Control panel'!$C$17:$C$19,0),0)</f>
        <v>0</v>
      </c>
      <c r="AL58" s="181" cm="1">
        <f t="array" ref="AL58">INDEX('Control panel'!$F$17:$F$19,MATCH($F$58,'Control panel'!$C$17:$C$19,0),0)</f>
        <v>0</v>
      </c>
      <c r="AM58" s="181" cm="1">
        <f t="array" ref="AM58">INDEX('Control panel'!$F$17:$F$19,MATCH($F$58,'Control panel'!$C$17:$C$19,0),0)</f>
        <v>0</v>
      </c>
      <c r="AN58" s="181" cm="1">
        <f t="array" ref="AN58">INDEX('Control panel'!$F$17:$F$19,MATCH($F$58,'Control panel'!$C$17:$C$19,0),0)</f>
        <v>0</v>
      </c>
      <c r="AO58" s="181" cm="1">
        <f t="array" ref="AO58">INDEX('Control panel'!$F$17:$F$19,MATCH($F$58,'Control panel'!$C$17:$C$19,0),0)</f>
        <v>0</v>
      </c>
      <c r="AP58" s="29"/>
    </row>
    <row r="59" spans="1:42" outlineLevel="1" x14ac:dyDescent="0.25">
      <c r="A59" s="12"/>
      <c r="B59" s="13"/>
      <c r="C59" s="45" t="s">
        <v>120</v>
      </c>
      <c r="D59" s="45"/>
      <c r="E59" s="15" t="s">
        <v>318</v>
      </c>
      <c r="F59" s="158" t="str">
        <f>Dashboard!$I$43</f>
        <v>2 Axle rigid</v>
      </c>
      <c r="G59" s="14"/>
      <c r="H59" s="62"/>
      <c r="I59" s="177">
        <f>IF($C$59=$F$59,I$13*Data!$E$275*Data!H$76,0)*(1+I58)*(1+Data!$E$91)</f>
        <v>16572.295352671223</v>
      </c>
      <c r="J59" s="177">
        <f>IF($C$59=$F$59,J$13*Data!$E$275*Data!I$76,0)*(1+J58)*(1+Data!$E$91)</f>
        <v>16519.974338466789</v>
      </c>
      <c r="K59" s="177">
        <f>IF($C$59=$F$59,K$13*Data!$E$275*Data!J$76,0)*(1+K58)*(1+Data!$E$91)</f>
        <v>16421.029842909247</v>
      </c>
      <c r="L59" s="177">
        <f>IF($C$59=$F$59,L$13*Data!$E$275*Data!K$76,0)*(1+L58)*(1+Data!$E$91)</f>
        <v>16300.48428992739</v>
      </c>
      <c r="M59" s="177">
        <f>IF($C$59=$F$59,M$13*Data!$E$275*Data!L$76,0)*(1+M58)*(1+Data!$E$91)</f>
        <v>16166.497827773301</v>
      </c>
      <c r="N59" s="177">
        <f>IF($C$59=$F$59,N$13*Data!$E$275*Data!M$76,0)*(1+N58)*(1+Data!$E$91)</f>
        <v>16029.283202916231</v>
      </c>
      <c r="O59" s="177">
        <f>IF($C$59=$F$59,O$13*Data!$E$275*Data!N$76,0)*(1+O58)*(1+Data!$E$91)</f>
        <v>15893.072477377069</v>
      </c>
      <c r="P59" s="177">
        <f>IF($C$59=$F$59,P$13*Data!$E$275*Data!O$76,0)*(1+P58)*(1+Data!$E$91)</f>
        <v>15752.055357978219</v>
      </c>
      <c r="Q59" s="177">
        <f>IF($C$59=$F$59,Q$13*Data!$E$275*Data!P$76,0)*(1+Q58)*(1+Data!$E$91)</f>
        <v>15677.090090786411</v>
      </c>
      <c r="R59" s="177">
        <f>IF($C$59=$F$59,R$13*Data!$E$275*Data!Q$76,0)*(1+R58)*(1+Data!$E$91)</f>
        <v>15603.373366963802</v>
      </c>
      <c r="S59" s="177">
        <f>IF($C$59=$F$59,S$13*Data!$E$275*Data!R$76,0)*(1+S58)*(1+Data!$E$91)</f>
        <v>15530.48376442999</v>
      </c>
      <c r="T59" s="177">
        <f>IF($C$59=$F$59,T$13*Data!$E$275*Data!S$76,0)*(1+T58)*(1+Data!$E$91)</f>
        <v>15459.537496579218</v>
      </c>
      <c r="U59" s="177">
        <f>IF($C$59=$F$59,U$13*Data!$E$275*Data!T$76,0)*(1+U58)*(1+Data!$E$91)</f>
        <v>0</v>
      </c>
      <c r="V59" s="177">
        <f>IF($C$59=$F$59,V$13*Data!$E$275*Data!U$76,0)*(1+V58)*(1+Data!$E$91)</f>
        <v>0</v>
      </c>
      <c r="W59" s="177">
        <f>IF($C$59=$F$59,W$13*Data!$E$275*Data!V$76,0)*(1+W58)*(1+Data!$E$91)</f>
        <v>0</v>
      </c>
      <c r="X59" s="177">
        <f>IF($C$59=$F$59,X$13*Data!$E$275*Data!W$76,0)*(1+X58)*(1+Data!$E$91)</f>
        <v>0</v>
      </c>
      <c r="Y59" s="177">
        <f>IF($C$59=$F$59,Y$13*Data!$E$275*Data!X$76,0)*(1+Y58)*(1+Data!$E$91)</f>
        <v>0</v>
      </c>
      <c r="Z59" s="177">
        <f>IF($C$59=$F$59,Z$13*Data!$E$275*Data!Y$76,0)*(1+Z58)*(1+Data!$E$91)</f>
        <v>0</v>
      </c>
      <c r="AA59" s="177">
        <f>IF($C$59=$F$59,AA$13*Data!$E$275*Data!Z$76,0)*(1+AA58)*(1+Data!$E$91)</f>
        <v>0</v>
      </c>
      <c r="AB59" s="177">
        <f>IF($C$59=$F$59,AB$13*Data!$E$275*Data!AA$76,0)*(1+AB58)*(1+Data!$E$91)</f>
        <v>0</v>
      </c>
      <c r="AC59" s="177">
        <f>IF($C$59=$F$59,AC$13*Data!$E$275*Data!AB$76,0)*(1+AC58)*(1+Data!$E$91)</f>
        <v>0</v>
      </c>
      <c r="AD59" s="177">
        <f>IF($C$59=$F$59,AD$13*Data!$E$275*Data!AC$76,0)*(1+AD58)*(1+Data!$E$91)</f>
        <v>0</v>
      </c>
      <c r="AE59" s="177">
        <f>IF($C$59=$F$59,AE$13*Data!$E$275*Data!AD$76,0)*(1+AE58)*(1+Data!$E$91)</f>
        <v>0</v>
      </c>
      <c r="AF59" s="177">
        <f>IF($C$59=$F$59,AF$13*Data!$E$275*Data!AE$76,0)*(1+AF58)*(1+Data!$E$91)</f>
        <v>0</v>
      </c>
      <c r="AG59" s="177">
        <f>IF($C$59=$F$59,AG$13*Data!$E$275*Data!AF$76,0)*(1+AG58)*(1+Data!$E$91)</f>
        <v>0</v>
      </c>
      <c r="AH59" s="177">
        <f>IF($C$59=$F$59,AH$13*Data!$E$275*Data!AG$76,0)*(1+AH58)*(1+Data!$E$91)</f>
        <v>0</v>
      </c>
      <c r="AI59" s="177">
        <f>IF($C$59=$F$59,AI$13*Data!$E$275*Data!AH$76,0)*(1+AI58)*(1+Data!$E$91)</f>
        <v>0</v>
      </c>
      <c r="AJ59" s="177">
        <f>IF($C$59=$F$59,AJ$13*Data!$E$275*Data!AI$76,0)*(1+AJ58)*(1+Data!$E$91)</f>
        <v>0</v>
      </c>
      <c r="AK59" s="177">
        <f>IF($C$59=$F$59,AK$13*Data!$E$275*Data!AJ$76,0)*(1+AK58)*(1+Data!$E$91)</f>
        <v>0</v>
      </c>
      <c r="AL59" s="177">
        <f>IF($C$59=$F$59,AL$13*Data!$E$275*Data!AK$76,0)*(1+AL58)*(1+Data!$E$91)</f>
        <v>0</v>
      </c>
      <c r="AM59" s="177">
        <f>IF($C$59=$F$59,AM$13*Data!$E$275*Data!AL$76,0)*(1+AM58)*(1+Data!$E$91)</f>
        <v>0</v>
      </c>
      <c r="AN59" s="177">
        <f>IF($C$59=$F$59,AN$13*Data!$E$275*Data!AM$76,0)*(1+AN58)*(1+Data!$E$91)</f>
        <v>0</v>
      </c>
      <c r="AO59" s="177">
        <f>IF($C$59=$F$59,AO$13*Data!$E$275*Data!AN$76,0)*(1+AO58)*(1+Data!$E$91)</f>
        <v>0</v>
      </c>
      <c r="AP59" s="29"/>
    </row>
    <row r="60" spans="1:42" outlineLevel="1" x14ac:dyDescent="0.25">
      <c r="A60" s="12"/>
      <c r="B60" s="13"/>
      <c r="C60" s="45" t="s">
        <v>124</v>
      </c>
      <c r="D60" s="45"/>
      <c r="E60" s="15" t="s">
        <v>318</v>
      </c>
      <c r="F60" s="158" t="str">
        <f>Dashboard!$I$43</f>
        <v>2 Axle rigid</v>
      </c>
      <c r="G60" s="14"/>
      <c r="H60" s="62"/>
      <c r="I60" s="177">
        <f>IF($C$60=$F$60,I$13*Data!$E$276*Data!H$76,0)*(1+I58)*(1+Data!$E$91)</f>
        <v>0</v>
      </c>
      <c r="J60" s="177">
        <f>IF($C$60=$F$60,J$13*Data!$E$276*Data!I$76,0)*(1+J58)*(1+Data!$E$91)</f>
        <v>0</v>
      </c>
      <c r="K60" s="177">
        <f>IF($C$60=$F$60,K$13*Data!$E$276*Data!J$76,0)*(1+K58)*(1+Data!$E$91)</f>
        <v>0</v>
      </c>
      <c r="L60" s="177">
        <f>IF($C$60=$F$60,L$13*Data!$E$276*Data!K$76,0)*(1+L58)*(1+Data!$E$91)</f>
        <v>0</v>
      </c>
      <c r="M60" s="177">
        <f>IF($C$60=$F$60,M$13*Data!$E$276*Data!L$76,0)*(1+M58)*(1+Data!$E$91)</f>
        <v>0</v>
      </c>
      <c r="N60" s="177">
        <f>IF($C$60=$F$60,N$13*Data!$E$276*Data!M$76,0)*(1+N58)*(1+Data!$E$91)</f>
        <v>0</v>
      </c>
      <c r="O60" s="177">
        <f>IF($C$60=$F$60,O$13*Data!$E$276*Data!N$76,0)*(1+O58)*(1+Data!$E$91)</f>
        <v>0</v>
      </c>
      <c r="P60" s="177">
        <f>IF($C$60=$F$60,P$13*Data!$E$276*Data!O$76,0)*(1+P58)*(1+Data!$E$91)</f>
        <v>0</v>
      </c>
      <c r="Q60" s="177">
        <f>IF($C$60=$F$60,Q$13*Data!$E$276*Data!P$76,0)*(1+Q58)*(1+Data!$E$91)</f>
        <v>0</v>
      </c>
      <c r="R60" s="177">
        <f>IF($C$60=$F$60,R$13*Data!$E$276*Data!Q$76,0)*(1+R58)*(1+Data!$E$91)</f>
        <v>0</v>
      </c>
      <c r="S60" s="177">
        <f>IF($C$60=$F$60,S$13*Data!$E$276*Data!R$76,0)*(1+S58)*(1+Data!$E$91)</f>
        <v>0</v>
      </c>
      <c r="T60" s="177">
        <f>IF($C$60=$F$60,T$13*Data!$E$276*Data!S$76,0)*(1+T58)*(1+Data!$E$91)</f>
        <v>0</v>
      </c>
      <c r="U60" s="177">
        <f>IF($C$60=$F$60,U$13*Data!$E$276*Data!T$76,0)*(1+U58)*(1+Data!$E$91)</f>
        <v>0</v>
      </c>
      <c r="V60" s="177">
        <f>IF($C$60=$F$60,V$13*Data!$E$276*Data!U$76,0)*(1+V58)*(1+Data!$E$91)</f>
        <v>0</v>
      </c>
      <c r="W60" s="177">
        <f>IF($C$60=$F$60,W$13*Data!$E$276*Data!V$76,0)*(1+W58)*(1+Data!$E$91)</f>
        <v>0</v>
      </c>
      <c r="X60" s="177">
        <f>IF($C$60=$F$60,X$13*Data!$E$276*Data!W$76,0)*(1+X58)*(1+Data!$E$91)</f>
        <v>0</v>
      </c>
      <c r="Y60" s="177">
        <f>IF($C$60=$F$60,Y$13*Data!$E$276*Data!X$76,0)*(1+Y58)*(1+Data!$E$91)</f>
        <v>0</v>
      </c>
      <c r="Z60" s="177">
        <f>IF($C$60=$F$60,Z$13*Data!$E$276*Data!Y$76,0)*(1+Z58)*(1+Data!$E$91)</f>
        <v>0</v>
      </c>
      <c r="AA60" s="177">
        <f>IF($C$60=$F$60,AA$13*Data!$E$276*Data!Z$76,0)*(1+AA58)*(1+Data!$E$91)</f>
        <v>0</v>
      </c>
      <c r="AB60" s="177">
        <f>IF($C$60=$F$60,AB$13*Data!$E$276*Data!AA$76,0)*(1+AB58)*(1+Data!$E$91)</f>
        <v>0</v>
      </c>
      <c r="AC60" s="177">
        <f>IF($C$60=$F$60,AC$13*Data!$E$276*Data!AB$76,0)*(1+AC58)*(1+Data!$E$91)</f>
        <v>0</v>
      </c>
      <c r="AD60" s="177">
        <f>IF($C$60=$F$60,AD$13*Data!$E$276*Data!AC$76,0)*(1+AD58)*(1+Data!$E$91)</f>
        <v>0</v>
      </c>
      <c r="AE60" s="177">
        <f>IF($C$60=$F$60,AE$13*Data!$E$276*Data!AD$76,0)*(1+AE58)*(1+Data!$E$91)</f>
        <v>0</v>
      </c>
      <c r="AF60" s="177">
        <f>IF($C$60=$F$60,AF$13*Data!$E$276*Data!AE$76,0)*(1+AF58)*(1+Data!$E$91)</f>
        <v>0</v>
      </c>
      <c r="AG60" s="177">
        <f>IF($C$60=$F$60,AG$13*Data!$E$276*Data!AF$76,0)*(1+AG58)*(1+Data!$E$91)</f>
        <v>0</v>
      </c>
      <c r="AH60" s="177">
        <f>IF($C$60=$F$60,AH$13*Data!$E$276*Data!AG$76,0)*(1+AH58)*(1+Data!$E$91)</f>
        <v>0</v>
      </c>
      <c r="AI60" s="177">
        <f>IF($C$60=$F$60,AI$13*Data!$E$276*Data!AH$76,0)*(1+AI58)*(1+Data!$E$91)</f>
        <v>0</v>
      </c>
      <c r="AJ60" s="177">
        <f>IF($C$60=$F$60,AJ$13*Data!$E$276*Data!AI$76,0)*(1+AJ58)*(1+Data!$E$91)</f>
        <v>0</v>
      </c>
      <c r="AK60" s="177">
        <f>IF($C$60=$F$60,AK$13*Data!$E$276*Data!AJ$76,0)*(1+AK58)*(1+Data!$E$91)</f>
        <v>0</v>
      </c>
      <c r="AL60" s="177">
        <f>IF($C$60=$F$60,AL$13*Data!$E$276*Data!AK$76,0)*(1+AL58)*(1+Data!$E$91)</f>
        <v>0</v>
      </c>
      <c r="AM60" s="177">
        <f>IF($C$60=$F$60,AM$13*Data!$E$276*Data!AL$76,0)*(1+AM58)*(1+Data!$E$91)</f>
        <v>0</v>
      </c>
      <c r="AN60" s="177">
        <f>IF($C$60=$F$60,AN$13*Data!$E$276*Data!AM$76,0)*(1+AN58)*(1+Data!$E$91)</f>
        <v>0</v>
      </c>
      <c r="AO60" s="177">
        <f>IF($C$60=$F$60,AO$13*Data!$E$276*Data!AN$76,0)*(1+AO58)*(1+Data!$E$91)</f>
        <v>0</v>
      </c>
      <c r="AP60" s="29"/>
    </row>
    <row r="61" spans="1:42" outlineLevel="1" x14ac:dyDescent="0.25">
      <c r="A61" s="12"/>
      <c r="B61" s="13"/>
      <c r="C61" s="45" t="s">
        <v>126</v>
      </c>
      <c r="D61" s="45"/>
      <c r="E61" s="15" t="s">
        <v>318</v>
      </c>
      <c r="F61" s="158" t="str">
        <f>Dashboard!$I$43</f>
        <v>2 Axle rigid</v>
      </c>
      <c r="G61" s="14"/>
      <c r="H61" s="62"/>
      <c r="I61" s="177">
        <f>IF($C$61=$F$61,I$13*Data!$E$277*Data!H$76,0)*(1+I58)*(1+Data!$E$91)</f>
        <v>0</v>
      </c>
      <c r="J61" s="177">
        <f>IF($C$61=$F$61,J$13*Data!$E$277*Data!I$76,0)*(1+J58)*(1+Data!$E$91)</f>
        <v>0</v>
      </c>
      <c r="K61" s="177">
        <f>IF($C$61=$F$61,K$13*Data!$E$277*Data!J$76,0)*(1+K58)*(1+Data!$E$91)</f>
        <v>0</v>
      </c>
      <c r="L61" s="177">
        <f>IF($C$61=$F$61,L$13*Data!$E$277*Data!K$76,0)*(1+L58)*(1+Data!$E$91)</f>
        <v>0</v>
      </c>
      <c r="M61" s="177">
        <f>IF($C$61=$F$61,M$13*Data!$E$277*Data!L$76,0)*(1+M58)*(1+Data!$E$91)</f>
        <v>0</v>
      </c>
      <c r="N61" s="177">
        <f>IF($C$61=$F$61,N$13*Data!$E$277*Data!M$76,0)*(1+N58)*(1+Data!$E$91)</f>
        <v>0</v>
      </c>
      <c r="O61" s="177">
        <f>IF($C$61=$F$61,O$13*Data!$E$277*Data!N$76,0)*(1+O58)*(1+Data!$E$91)</f>
        <v>0</v>
      </c>
      <c r="P61" s="177">
        <f>IF($C$61=$F$61,P$13*Data!$E$277*Data!O$76,0)*(1+P58)*(1+Data!$E$91)</f>
        <v>0</v>
      </c>
      <c r="Q61" s="177">
        <f>IF($C$61=$F$61,Q$13*Data!$E$277*Data!P$76,0)*(1+Q58)*(1+Data!$E$91)</f>
        <v>0</v>
      </c>
      <c r="R61" s="177">
        <f>IF($C$61=$F$61,R$13*Data!$E$277*Data!Q$76,0)*(1+R58)*(1+Data!$E$91)</f>
        <v>0</v>
      </c>
      <c r="S61" s="177">
        <f>IF($C$61=$F$61,S$13*Data!$E$277*Data!R$76,0)*(1+S58)*(1+Data!$E$91)</f>
        <v>0</v>
      </c>
      <c r="T61" s="177">
        <f>IF($C$61=$F$61,T$13*Data!$E$277*Data!S$76,0)*(1+T58)*(1+Data!$E$91)</f>
        <v>0</v>
      </c>
      <c r="U61" s="177">
        <f>IF($C$61=$F$61,U$13*Data!$E$277*Data!T$76,0)*(1+U58)*(1+Data!$E$91)</f>
        <v>0</v>
      </c>
      <c r="V61" s="177">
        <f>IF($C$61=$F$61,V$13*Data!$E$277*Data!U$76,0)*(1+V58)*(1+Data!$E$91)</f>
        <v>0</v>
      </c>
      <c r="W61" s="177">
        <f>IF($C$61=$F$61,W$13*Data!$E$277*Data!V$76,0)*(1+W58)*(1+Data!$E$91)</f>
        <v>0</v>
      </c>
      <c r="X61" s="177">
        <f>IF($C$61=$F$61,X$13*Data!$E$277*Data!W$76,0)*(1+X58)*(1+Data!$E$91)</f>
        <v>0</v>
      </c>
      <c r="Y61" s="177">
        <f>IF($C$61=$F$61,Y$13*Data!$E$277*Data!X$76,0)*(1+Y58)*(1+Data!$E$91)</f>
        <v>0</v>
      </c>
      <c r="Z61" s="177">
        <f>IF($C$61=$F$61,Z$13*Data!$E$277*Data!Y$76,0)*(1+Z58)*(1+Data!$E$91)</f>
        <v>0</v>
      </c>
      <c r="AA61" s="177">
        <f>IF($C$61=$F$61,AA$13*Data!$E$277*Data!Z$76,0)*(1+AA58)*(1+Data!$E$91)</f>
        <v>0</v>
      </c>
      <c r="AB61" s="177">
        <f>IF($C$61=$F$61,AB$13*Data!$E$277*Data!AA$76,0)*(1+AB58)*(1+Data!$E$91)</f>
        <v>0</v>
      </c>
      <c r="AC61" s="177">
        <f>IF($C$61=$F$61,AC$13*Data!$E$277*Data!AB$76,0)*(1+AC58)*(1+Data!$E$91)</f>
        <v>0</v>
      </c>
      <c r="AD61" s="177">
        <f>IF($C$61=$F$61,AD$13*Data!$E$277*Data!AC$76,0)*(1+AD58)*(1+Data!$E$91)</f>
        <v>0</v>
      </c>
      <c r="AE61" s="177">
        <f>IF($C$61=$F$61,AE$13*Data!$E$277*Data!AD$76,0)*(1+AE58)*(1+Data!$E$91)</f>
        <v>0</v>
      </c>
      <c r="AF61" s="177">
        <f>IF($C$61=$F$61,AF$13*Data!$E$277*Data!AE$76,0)*(1+AF58)*(1+Data!$E$91)</f>
        <v>0</v>
      </c>
      <c r="AG61" s="177">
        <f>IF($C$61=$F$61,AG$13*Data!$E$277*Data!AF$76,0)*(1+AG58)*(1+Data!$E$91)</f>
        <v>0</v>
      </c>
      <c r="AH61" s="177">
        <f>IF($C$61=$F$61,AH$13*Data!$E$277*Data!AG$76,0)*(1+AH58)*(1+Data!$E$91)</f>
        <v>0</v>
      </c>
      <c r="AI61" s="177">
        <f>IF($C$61=$F$61,AI$13*Data!$E$277*Data!AH$76,0)*(1+AI58)*(1+Data!$E$91)</f>
        <v>0</v>
      </c>
      <c r="AJ61" s="177">
        <f>IF($C$61=$F$61,AJ$13*Data!$E$277*Data!AI$76,0)*(1+AJ58)*(1+Data!$E$91)</f>
        <v>0</v>
      </c>
      <c r="AK61" s="177">
        <f>IF($C$61=$F$61,AK$13*Data!$E$277*Data!AJ$76,0)*(1+AK58)*(1+Data!$E$91)</f>
        <v>0</v>
      </c>
      <c r="AL61" s="177">
        <f>IF($C$61=$F$61,AL$13*Data!$E$277*Data!AK$76,0)*(1+AL58)*(1+Data!$E$91)</f>
        <v>0</v>
      </c>
      <c r="AM61" s="177">
        <f>IF($C$61=$F$61,AM$13*Data!$E$277*Data!AL$76,0)*(1+AM58)*(1+Data!$E$91)</f>
        <v>0</v>
      </c>
      <c r="AN61" s="177">
        <f>IF($C$61=$F$61,AN$13*Data!$E$277*Data!AM$76,0)*(1+AN58)*(1+Data!$E$91)</f>
        <v>0</v>
      </c>
      <c r="AO61" s="177">
        <f>IF($C$61=$F$61,AO$13*Data!$E$277*Data!AN$76,0)*(1+AO58)*(1+Data!$E$91)</f>
        <v>0</v>
      </c>
      <c r="AP61" s="17"/>
    </row>
    <row r="62" spans="1:42" outlineLevel="1" x14ac:dyDescent="0.25">
      <c r="A62" s="12"/>
      <c r="B62" s="13"/>
      <c r="C62" s="44"/>
      <c r="D62" s="44"/>
      <c r="E62" s="15"/>
      <c r="F62" s="16"/>
      <c r="G62" s="14"/>
      <c r="H62" s="46"/>
      <c r="I62" s="96"/>
      <c r="J62" s="96"/>
      <c r="K62" s="96"/>
      <c r="L62" s="96"/>
      <c r="M62" s="96"/>
      <c r="N62" s="96"/>
      <c r="O62" s="96"/>
      <c r="P62" s="96"/>
      <c r="Q62" s="96"/>
      <c r="R62" s="96"/>
      <c r="S62" s="96"/>
      <c r="T62" s="96"/>
      <c r="U62" s="96"/>
      <c r="V62" s="96"/>
      <c r="W62" s="96"/>
      <c r="X62" s="96"/>
      <c r="Y62" s="96"/>
      <c r="Z62" s="96"/>
      <c r="AA62" s="96"/>
      <c r="AB62" s="96"/>
      <c r="AC62" s="46"/>
      <c r="AD62" s="46"/>
      <c r="AE62" s="46"/>
      <c r="AF62" s="46"/>
      <c r="AG62" s="46"/>
      <c r="AH62" s="46"/>
      <c r="AI62" s="46"/>
      <c r="AJ62" s="46"/>
      <c r="AK62" s="46"/>
      <c r="AL62" s="46"/>
      <c r="AM62" s="46"/>
      <c r="AN62" s="46"/>
      <c r="AO62" s="46"/>
      <c r="AP62" s="17"/>
    </row>
    <row r="63" spans="1:42" outlineLevel="1" x14ac:dyDescent="0.25">
      <c r="A63" s="12"/>
      <c r="B63" s="13"/>
      <c r="C63" s="19" t="s">
        <v>512</v>
      </c>
      <c r="D63" s="45"/>
      <c r="E63" s="15"/>
      <c r="F63" s="158"/>
      <c r="G63" s="14"/>
      <c r="H63" s="28"/>
      <c r="I63" s="182">
        <f>SUM(I47:I49)+I52+I55+I53+SUM(I59:I61)</f>
        <v>62202.295352671215</v>
      </c>
      <c r="J63" s="182">
        <f t="shared" ref="J63:AO63" si="2">SUM(J47:J49)+J52+J55+J53+SUM(J59:J61)</f>
        <v>62149.974338466782</v>
      </c>
      <c r="K63" s="182">
        <f t="shared" si="2"/>
        <v>95784.469842909253</v>
      </c>
      <c r="L63" s="182">
        <f>SUM(L47:L49)+L52+L55+L53+SUM(L59:L61)</f>
        <v>95663.924289927396</v>
      </c>
      <c r="M63" s="182">
        <f t="shared" si="2"/>
        <v>95529.937827773305</v>
      </c>
      <c r="N63" s="182">
        <f t="shared" si="2"/>
        <v>95392.723202916241</v>
      </c>
      <c r="O63" s="182">
        <f t="shared" si="2"/>
        <v>95256.512477377066</v>
      </c>
      <c r="P63" s="182">
        <f t="shared" si="2"/>
        <v>95115.495357978216</v>
      </c>
      <c r="Q63" s="182">
        <f t="shared" si="2"/>
        <v>95040.530090786415</v>
      </c>
      <c r="R63" s="182">
        <f t="shared" si="2"/>
        <v>94966.813366963805</v>
      </c>
      <c r="S63" s="182">
        <f t="shared" si="2"/>
        <v>94893.923764429986</v>
      </c>
      <c r="T63" s="182">
        <f t="shared" si="2"/>
        <v>94822.977496579217</v>
      </c>
      <c r="U63" s="182">
        <f t="shared" si="2"/>
        <v>0</v>
      </c>
      <c r="V63" s="182">
        <f t="shared" si="2"/>
        <v>0</v>
      </c>
      <c r="W63" s="182">
        <f t="shared" si="2"/>
        <v>0</v>
      </c>
      <c r="X63" s="182">
        <f t="shared" si="2"/>
        <v>0</v>
      </c>
      <c r="Y63" s="182">
        <f t="shared" si="2"/>
        <v>0</v>
      </c>
      <c r="Z63" s="182">
        <f t="shared" si="2"/>
        <v>0</v>
      </c>
      <c r="AA63" s="182">
        <f t="shared" si="2"/>
        <v>0</v>
      </c>
      <c r="AB63" s="182">
        <f t="shared" si="2"/>
        <v>0</v>
      </c>
      <c r="AC63" s="182">
        <f t="shared" si="2"/>
        <v>0</v>
      </c>
      <c r="AD63" s="182">
        <f t="shared" si="2"/>
        <v>0</v>
      </c>
      <c r="AE63" s="182">
        <f t="shared" si="2"/>
        <v>0</v>
      </c>
      <c r="AF63" s="182">
        <f t="shared" si="2"/>
        <v>0</v>
      </c>
      <c r="AG63" s="182">
        <f t="shared" si="2"/>
        <v>0</v>
      </c>
      <c r="AH63" s="182">
        <f t="shared" si="2"/>
        <v>0</v>
      </c>
      <c r="AI63" s="182">
        <f t="shared" si="2"/>
        <v>0</v>
      </c>
      <c r="AJ63" s="182">
        <f t="shared" si="2"/>
        <v>0</v>
      </c>
      <c r="AK63" s="182">
        <f t="shared" si="2"/>
        <v>0</v>
      </c>
      <c r="AL63" s="182">
        <f t="shared" si="2"/>
        <v>0</v>
      </c>
      <c r="AM63" s="182">
        <f t="shared" si="2"/>
        <v>0</v>
      </c>
      <c r="AN63" s="182">
        <f t="shared" si="2"/>
        <v>0</v>
      </c>
      <c r="AO63" s="182">
        <f t="shared" si="2"/>
        <v>0</v>
      </c>
      <c r="AP63" s="29"/>
    </row>
    <row r="64" spans="1:42" outlineLevel="1" x14ac:dyDescent="0.25">
      <c r="A64" s="12"/>
      <c r="B64" s="13"/>
      <c r="C64" s="45"/>
      <c r="D64" s="45"/>
      <c r="E64" s="15"/>
      <c r="F64" s="16"/>
      <c r="G64" s="14"/>
      <c r="H64" s="28"/>
      <c r="I64" s="177"/>
      <c r="J64" s="177"/>
      <c r="K64" s="177"/>
      <c r="L64" s="177"/>
      <c r="M64" s="177"/>
      <c r="N64" s="177"/>
      <c r="O64" s="177"/>
      <c r="P64" s="177"/>
      <c r="Q64" s="177"/>
      <c r="R64" s="177"/>
      <c r="S64" s="177"/>
      <c r="T64" s="177"/>
      <c r="U64" s="177"/>
      <c r="V64" s="177"/>
      <c r="W64" s="177"/>
      <c r="X64" s="28"/>
      <c r="Y64" s="28"/>
      <c r="Z64" s="28"/>
      <c r="AA64" s="28"/>
      <c r="AB64" s="28"/>
      <c r="AC64" s="28"/>
      <c r="AD64" s="28"/>
      <c r="AE64" s="28"/>
      <c r="AF64" s="28"/>
      <c r="AG64" s="28"/>
      <c r="AH64" s="28"/>
      <c r="AI64" s="28"/>
      <c r="AJ64" s="28"/>
      <c r="AK64" s="28"/>
      <c r="AL64" s="28"/>
      <c r="AM64" s="28"/>
      <c r="AN64" s="28"/>
      <c r="AO64" s="28"/>
      <c r="AP64" s="29"/>
    </row>
    <row r="65" spans="1:42" outlineLevel="1" x14ac:dyDescent="0.25">
      <c r="A65" s="12"/>
      <c r="B65" s="13"/>
      <c r="C65" s="37" t="s">
        <v>513</v>
      </c>
      <c r="D65" s="37"/>
      <c r="E65" s="38"/>
      <c r="F65" s="39"/>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17"/>
    </row>
    <row r="66" spans="1:42" s="140" customFormat="1" outlineLevel="1" x14ac:dyDescent="0.25">
      <c r="A66" s="78"/>
      <c r="B66" s="19"/>
      <c r="C66" s="44" t="s">
        <v>249</v>
      </c>
      <c r="D66" s="44"/>
      <c r="E66" s="21" t="s">
        <v>142</v>
      </c>
      <c r="F66" s="375" t="str">
        <f>Dashboard!I43</f>
        <v>2 Axle rigid</v>
      </c>
      <c r="G66" s="20"/>
      <c r="H66" s="49"/>
      <c r="I66" s="182" cm="1">
        <f t="array" ref="I66">-IF(COUNT($I$3:I$3)=(Dashboard!$I$32+1),INDEX(Data!$E$286:$E$288,MATCH(Repowered!$F$66,Data!$B$286:$B$288,0),0))</f>
        <v>0</v>
      </c>
      <c r="J66" s="182" cm="1">
        <f t="array" ref="J66">-IF(COUNT($I$3:J$3)=(Dashboard!$I$32+1),INDEX(Data!$E$286:$E$288,MATCH(Repowered!$F$66,Data!$B$286:$B$288,0),0))</f>
        <v>0</v>
      </c>
      <c r="K66" s="182" cm="1">
        <f t="array" ref="K66">-IF(COUNT($I$3:K$3)=(Dashboard!$I$32+1),INDEX(Data!$E$286:$E$288,MATCH(Repowered!$F$66,Data!$B$286:$B$288,0),0))</f>
        <v>0</v>
      </c>
      <c r="L66" s="182" cm="1">
        <f t="array" ref="L66">-IF(COUNT($I$3:L$3)=(Dashboard!$I$32+1),INDEX(Data!$E$286:$E$288,MATCH(Repowered!$F$66,Data!$B$286:$B$288,0),0))</f>
        <v>0</v>
      </c>
      <c r="M66" s="182" cm="1">
        <f t="array" ref="M66">-IF(COUNT($I$3:M$3)=(Dashboard!$I$32+1),INDEX(Data!$E$286:$E$288,MATCH(Repowered!$F$66,Data!$B$286:$B$288,0),0))</f>
        <v>0</v>
      </c>
      <c r="N66" s="182" cm="1">
        <f t="array" ref="N66">-IF(COUNT($I$3:N$3)=(Dashboard!$I$32+1),INDEX(Data!$E$286:$E$288,MATCH(Repowered!$F$66,Data!$B$286:$B$288,0),0))</f>
        <v>0</v>
      </c>
      <c r="O66" s="182" cm="1">
        <f t="array" ref="O66">-IF(COUNT($I$3:O$3)=(Dashboard!$I$32+1),INDEX(Data!$E$286:$E$288,MATCH(Repowered!$F$66,Data!$B$286:$B$288,0),0))</f>
        <v>0</v>
      </c>
      <c r="P66" s="182" cm="1">
        <f t="array" ref="P66">-IF(COUNT($I$3:P$3)=(Dashboard!$I$32+1),INDEX(Data!$E$286:$E$288,MATCH(Repowered!$F$66,Data!$B$286:$B$288,0),0))</f>
        <v>0</v>
      </c>
      <c r="Q66" s="182" cm="1">
        <f t="array" ref="Q66">-IF(COUNT($I$3:Q$3)=(Dashboard!$I$32+1),INDEX(Data!$E$286:$E$288,MATCH(Repowered!$F$66,Data!$B$286:$B$288,0),0))</f>
        <v>0</v>
      </c>
      <c r="R66" s="182" cm="1">
        <f t="array" ref="R66">-IF(COUNT($I$3:R$3)=(Dashboard!$I$32+1),INDEX(Data!$E$286:$E$288,MATCH(Repowered!$F$66,Data!$B$286:$B$288,0),0))</f>
        <v>0</v>
      </c>
      <c r="S66" s="182" cm="1">
        <f t="array" ref="S66">-IF(COUNT($I$3:S$3)=(Dashboard!$I$32+1),INDEX(Data!$E$286:$E$288,MATCH(Repowered!$F$66,Data!$B$286:$B$288,0),0))</f>
        <v>0</v>
      </c>
      <c r="T66" s="182" cm="1">
        <f t="array" ref="T66">-IF(COUNT($I$3:T$3)=(Dashboard!$I$32+1),INDEX(Data!$E$286:$E$288,MATCH(Repowered!$F$66,Data!$B$286:$B$288,0),0))</f>
        <v>0</v>
      </c>
      <c r="U66" s="182" cm="1">
        <f t="array" ref="U66">-IF(COUNT($I$3:U$3)=(Dashboard!$I$32+1),INDEX(Data!$E$286:$E$288,MATCH(Repowered!$F$66,Data!$B$286:$B$288,0),0))</f>
        <v>-55875</v>
      </c>
      <c r="V66" s="182" cm="1">
        <f t="array" ref="V66">-IF(COUNT($I$3:V$3)=(Dashboard!$I$32+1),INDEX(Data!$E$286:$E$288,MATCH(Repowered!$F$66,Data!$B$286:$B$288,0),0))</f>
        <v>0</v>
      </c>
      <c r="W66" s="182" cm="1">
        <f t="array" ref="W66">-IF(COUNT($I$3:W$3)=(Dashboard!$I$32+1),INDEX(Data!$E$286:$E$288,MATCH(Repowered!$F$66,Data!$B$286:$B$288,0),0))</f>
        <v>0</v>
      </c>
      <c r="X66" s="182" cm="1">
        <f t="array" ref="X66">-IF(COUNT($I$3:X$3)=(Dashboard!$I$32+1),INDEX(Data!$E$286:$E$288,MATCH(Repowered!$F$66,Data!$B$286:$B$288,0),0))</f>
        <v>0</v>
      </c>
      <c r="Y66" s="182" cm="1">
        <f t="array" ref="Y66">-IF(COUNT($I$3:Y$3)=(Dashboard!$I$32+1),INDEX(Data!$E$286:$E$288,MATCH(Repowered!$F$66,Data!$B$286:$B$288,0),0))</f>
        <v>0</v>
      </c>
      <c r="Z66" s="182" cm="1">
        <f t="array" ref="Z66">-IF(COUNT($I$3:Z$3)=(Dashboard!$I$32+1),INDEX(Data!$E$286:$E$288,MATCH(Repowered!$F$66,Data!$B$286:$B$288,0),0))</f>
        <v>0</v>
      </c>
      <c r="AA66" s="182" cm="1">
        <f t="array" ref="AA66">-IF(COUNT($I$3:AA$3)=(Dashboard!$I$32+1),INDEX(Data!$E$286:$E$288,MATCH(Repowered!$F$66,Data!$B$286:$B$288,0),0))</f>
        <v>0</v>
      </c>
      <c r="AB66" s="182" cm="1">
        <f t="array" ref="AB66">-IF(COUNT($I$3:AB$3)=(Dashboard!$I$32+1),INDEX(Data!$E$286:$E$288,MATCH(Repowered!$F$66,Data!$B$286:$B$288,0),0))</f>
        <v>0</v>
      </c>
      <c r="AC66" s="182" cm="1">
        <f t="array" ref="AC66">-IF(COUNT($I$3:AC$3)=(Dashboard!$I$32+1),INDEX(Data!$E$286:$E$288,MATCH(Repowered!$F$66,Data!$B$286:$B$288,0),0))</f>
        <v>0</v>
      </c>
      <c r="AD66" s="182" cm="1">
        <f t="array" ref="AD66">-IF(COUNT($I$3:AD$3)=(Dashboard!$I$32+1),INDEX(Data!$E$286:$E$288,MATCH(Repowered!$F$66,Data!$B$286:$B$288,0),0))</f>
        <v>0</v>
      </c>
      <c r="AE66" s="182" cm="1">
        <f t="array" ref="AE66">-IF(COUNT($I$3:AE$3)=(Dashboard!$I$32+1),INDEX(Data!$E$286:$E$288,MATCH(Repowered!$F$66,Data!$B$286:$B$288,0),0))</f>
        <v>0</v>
      </c>
      <c r="AF66" s="182" cm="1">
        <f t="array" ref="AF66">-IF(COUNT($I$3:AF$3)=(Dashboard!$I$32+1),INDEX(Data!$E$286:$E$288,MATCH(Repowered!$F$66,Data!$B$286:$B$288,0),0))</f>
        <v>0</v>
      </c>
      <c r="AG66" s="182" cm="1">
        <f t="array" ref="AG66">-IF(COUNT($I$3:AG$3)=(Dashboard!$I$32+1),INDEX(Data!$E$286:$E$288,MATCH(Repowered!$F$66,Data!$B$286:$B$288,0),0))</f>
        <v>0</v>
      </c>
      <c r="AH66" s="182" cm="1">
        <f t="array" ref="AH66">-IF(COUNT($I$3:AH$3)=(Dashboard!$I$32+1),INDEX(Data!$E$286:$E$288,MATCH(Repowered!$F$66,Data!$B$286:$B$288,0),0))</f>
        <v>0</v>
      </c>
      <c r="AI66" s="182" cm="1">
        <f t="array" ref="AI66">-IF(COUNT($I$3:AI$3)=(Dashboard!$I$32+1),INDEX(Data!$E$286:$E$288,MATCH(Repowered!$F$66,Data!$B$286:$B$288,0),0))</f>
        <v>0</v>
      </c>
      <c r="AJ66" s="182" cm="1">
        <f t="array" ref="AJ66">-IF(COUNT($I$3:AJ$3)=(Dashboard!$I$32+1),INDEX(Data!$E$286:$E$288,MATCH(Repowered!$F$66,Data!$B$286:$B$288,0),0))</f>
        <v>0</v>
      </c>
      <c r="AK66" s="182" cm="1">
        <f t="array" ref="AK66">-IF(COUNT($I$3:AK$3)=(Dashboard!$I$32+1),INDEX(Data!$E$286:$E$288,MATCH(Repowered!$F$66,Data!$B$286:$B$288,0),0))</f>
        <v>0</v>
      </c>
      <c r="AL66" s="182" cm="1">
        <f t="array" ref="AL66">-IF(COUNT($I$3:AL$3)=(Dashboard!$I$32+1),INDEX(Data!$E$286:$E$288,MATCH(Repowered!$F$66,Data!$B$286:$B$288,0),0))</f>
        <v>0</v>
      </c>
      <c r="AM66" s="182" cm="1">
        <f t="array" ref="AM66">-IF(COUNT($I$3:AM$3)=(Dashboard!$I$32+1),INDEX(Data!$E$286:$E$288,MATCH(Repowered!$F$66,Data!$B$286:$B$288,0),0))</f>
        <v>0</v>
      </c>
      <c r="AN66" s="182" cm="1">
        <f t="array" ref="AN66">-IF(COUNT($I$3:AN$3)=(Dashboard!$I$32+1),INDEX(Data!$E$286:$E$288,MATCH(Repowered!$F$66,Data!$B$286:$B$288,0),0))</f>
        <v>0</v>
      </c>
      <c r="AO66" s="182" cm="1">
        <f t="array" ref="AO66">-IF(COUNT($I$3:AO$3)=(Dashboard!$I$32+1),INDEX(Data!$E$286:$E$288,MATCH(Repowered!$F$66,Data!$B$286:$B$288,0),0))</f>
        <v>0</v>
      </c>
      <c r="AP66" s="50"/>
    </row>
    <row r="67" spans="1:42" outlineLevel="1" x14ac:dyDescent="0.25">
      <c r="A67" s="12"/>
      <c r="B67" s="13"/>
      <c r="C67" s="45"/>
      <c r="D67" s="45"/>
      <c r="E67" s="15"/>
      <c r="F67" s="16"/>
      <c r="G67" s="14"/>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9"/>
    </row>
    <row r="68" spans="1:42" outlineLevel="1" x14ac:dyDescent="0.25">
      <c r="A68" s="12"/>
      <c r="B68" s="13"/>
      <c r="C68" s="20" t="s">
        <v>478</v>
      </c>
      <c r="D68" s="14"/>
      <c r="E68" s="15" t="s">
        <v>142</v>
      </c>
      <c r="F68" s="16"/>
      <c r="G68" s="231">
        <f>SUM(I68:AO68)</f>
        <v>798233.74470802664</v>
      </c>
      <c r="H68" s="46"/>
      <c r="I68" s="56">
        <f>(I63+I66)*Data!H$9</f>
        <v>59809.899377568472</v>
      </c>
      <c r="J68" s="56">
        <f>(J63+J66)*Data!I$9</f>
        <v>57461.144913523276</v>
      </c>
      <c r="K68" s="56">
        <f>(K63+K66)*Data!J$9</f>
        <v>85152.04490757038</v>
      </c>
      <c r="L68" s="56">
        <f>(L63+L66)*Data!K$9</f>
        <v>81773.923413380311</v>
      </c>
      <c r="M68" s="56">
        <f>(M63+M66)*Data!L$9</f>
        <v>78518.645407682445</v>
      </c>
      <c r="N68" s="56">
        <f>(N63+N66)*Data!M$9</f>
        <v>75390.254796219815</v>
      </c>
      <c r="O68" s="56">
        <f>(O63+O66)*Data!N$9</f>
        <v>72387.120655063438</v>
      </c>
      <c r="P68" s="56">
        <f>(P63+P66)*Data!O$9</f>
        <v>69499.960801986337</v>
      </c>
      <c r="Q68" s="56">
        <f>(Q63+Q66)*Data!P$9</f>
        <v>66774.215784167231</v>
      </c>
      <c r="R68" s="56">
        <f>(R63+R66)*Data!Q$9</f>
        <v>64156.176338287631</v>
      </c>
      <c r="S68" s="56">
        <f>(S63+S66)*Data!R$9</f>
        <v>61641.283398592153</v>
      </c>
      <c r="T68" s="56">
        <f>(T63+T66)*Data!S$9</f>
        <v>59226.151976760288</v>
      </c>
      <c r="U68" s="56">
        <f>(U63+U66)*Data!T$9</f>
        <v>-33557.077062775134</v>
      </c>
      <c r="V68" s="56">
        <f>(V63+V66)*Data!U$9</f>
        <v>0</v>
      </c>
      <c r="W68" s="56">
        <f>(W63+W66)*Data!V$9</f>
        <v>0</v>
      </c>
      <c r="X68" s="56">
        <f>(X63+X66)*Data!W$9</f>
        <v>0</v>
      </c>
      <c r="Y68" s="56">
        <f>(Y63+Y66)*Data!X$9</f>
        <v>0</v>
      </c>
      <c r="Z68" s="56">
        <f>(Z63+Z66)*Data!Y$9</f>
        <v>0</v>
      </c>
      <c r="AA68" s="56">
        <f>(AA63+AA66)*Data!Z$9</f>
        <v>0</v>
      </c>
      <c r="AB68" s="56">
        <f>(AB63+AB66)*Data!AA$9</f>
        <v>0</v>
      </c>
      <c r="AC68" s="56">
        <f>(AC63+AC66)*Data!AB$9</f>
        <v>0</v>
      </c>
      <c r="AD68" s="56">
        <f>(AD63+AD66)*Data!AC$9</f>
        <v>0</v>
      </c>
      <c r="AE68" s="56">
        <f>(AE63+AE66)*Data!AD$9</f>
        <v>0</v>
      </c>
      <c r="AF68" s="56">
        <f>(AF63+AF66)*Data!AE$9</f>
        <v>0</v>
      </c>
      <c r="AG68" s="56">
        <f>(AG63+AG66)*Data!AF$9</f>
        <v>0</v>
      </c>
      <c r="AH68" s="56">
        <f>(AH63+AH66)*Data!AG$9</f>
        <v>0</v>
      </c>
      <c r="AI68" s="56">
        <f>(AI63+AI66)*Data!AH$9</f>
        <v>0</v>
      </c>
      <c r="AJ68" s="56">
        <f>(AJ63+AJ66)*Data!AI$9</f>
        <v>0</v>
      </c>
      <c r="AK68" s="56">
        <f>(AK63+AK66)*Data!AJ$9</f>
        <v>0</v>
      </c>
      <c r="AL68" s="56">
        <f>(AL63+AL66)*Data!AK$9</f>
        <v>0</v>
      </c>
      <c r="AM68" s="56">
        <f>(AM63+AM66)*Data!AL$9</f>
        <v>0</v>
      </c>
      <c r="AN68" s="56">
        <f>(AN63+AN66)*Data!AM$9</f>
        <v>0</v>
      </c>
      <c r="AO68" s="56">
        <f>(AO63+AO66)*Data!AN$9</f>
        <v>0</v>
      </c>
      <c r="AP68" s="17"/>
    </row>
    <row r="69" spans="1:42" outlineLevel="1" x14ac:dyDescent="0.25">
      <c r="A69" s="12"/>
      <c r="B69" s="13"/>
      <c r="C69" s="14"/>
      <c r="D69" s="14"/>
      <c r="E69" s="15"/>
      <c r="F69" s="16"/>
      <c r="G69" s="159">
        <f>G68/SUM(I13:AB13)</f>
        <v>0.71067819151355649</v>
      </c>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7"/>
    </row>
    <row r="70" spans="1:42" outlineLevel="1" x14ac:dyDescent="0.25">
      <c r="A70" s="12"/>
      <c r="B70" s="13"/>
      <c r="C70" s="37" t="s">
        <v>479</v>
      </c>
      <c r="D70" s="37"/>
      <c r="E70" s="38" t="s">
        <v>54</v>
      </c>
      <c r="F70" s="39"/>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17"/>
    </row>
    <row r="71" spans="1:42" outlineLevel="1" x14ac:dyDescent="0.25">
      <c r="A71" s="12"/>
      <c r="B71" s="13"/>
      <c r="C71" s="14" t="s">
        <v>479</v>
      </c>
      <c r="D71" s="14"/>
      <c r="E71" s="15" t="s">
        <v>54</v>
      </c>
      <c r="F71" s="16"/>
      <c r="G71" s="96"/>
      <c r="H71" s="165"/>
      <c r="I71" s="165">
        <f>I63+I43+I66</f>
        <v>116040.96319730813</v>
      </c>
      <c r="J71" s="165">
        <f t="shared" ref="J71:AO71" si="3">J63+J43+J66</f>
        <v>115988.6421831037</v>
      </c>
      <c r="K71" s="165">
        <f t="shared" si="3"/>
        <v>149623.13768754617</v>
      </c>
      <c r="L71" s="165">
        <f t="shared" si="3"/>
        <v>149502.5921345643</v>
      </c>
      <c r="M71" s="165">
        <f t="shared" si="3"/>
        <v>149368.60567241022</v>
      </c>
      <c r="N71" s="165">
        <f t="shared" si="3"/>
        <v>149231.39104755316</v>
      </c>
      <c r="O71" s="165">
        <f t="shared" si="3"/>
        <v>149095.18032201397</v>
      </c>
      <c r="P71" s="165">
        <f t="shared" si="3"/>
        <v>148954.16320261513</v>
      </c>
      <c r="Q71" s="165">
        <f t="shared" si="3"/>
        <v>148879.19793542335</v>
      </c>
      <c r="R71" s="165">
        <f t="shared" si="3"/>
        <v>148805.48121160071</v>
      </c>
      <c r="S71" s="165">
        <f t="shared" si="3"/>
        <v>148732.59160906691</v>
      </c>
      <c r="T71" s="165">
        <f t="shared" si="3"/>
        <v>148661.64534121612</v>
      </c>
      <c r="U71" s="165">
        <f t="shared" si="3"/>
        <v>-55875</v>
      </c>
      <c r="V71" s="165">
        <f t="shared" si="3"/>
        <v>0</v>
      </c>
      <c r="W71" s="165">
        <f t="shared" si="3"/>
        <v>0</v>
      </c>
      <c r="X71" s="165">
        <f t="shared" si="3"/>
        <v>0</v>
      </c>
      <c r="Y71" s="165">
        <f t="shared" si="3"/>
        <v>0</v>
      </c>
      <c r="Z71" s="165">
        <f t="shared" si="3"/>
        <v>0</v>
      </c>
      <c r="AA71" s="165">
        <f t="shared" si="3"/>
        <v>0</v>
      </c>
      <c r="AB71" s="165">
        <f t="shared" si="3"/>
        <v>0</v>
      </c>
      <c r="AC71" s="165">
        <f t="shared" si="3"/>
        <v>0</v>
      </c>
      <c r="AD71" s="165">
        <f t="shared" si="3"/>
        <v>0</v>
      </c>
      <c r="AE71" s="165">
        <f t="shared" si="3"/>
        <v>0</v>
      </c>
      <c r="AF71" s="165">
        <f t="shared" si="3"/>
        <v>0</v>
      </c>
      <c r="AG71" s="165">
        <f t="shared" si="3"/>
        <v>0</v>
      </c>
      <c r="AH71" s="165">
        <f t="shared" si="3"/>
        <v>0</v>
      </c>
      <c r="AI71" s="165">
        <f t="shared" si="3"/>
        <v>0</v>
      </c>
      <c r="AJ71" s="165">
        <f t="shared" si="3"/>
        <v>0</v>
      </c>
      <c r="AK71" s="165">
        <f t="shared" si="3"/>
        <v>0</v>
      </c>
      <c r="AL71" s="165">
        <f t="shared" si="3"/>
        <v>0</v>
      </c>
      <c r="AM71" s="165">
        <f t="shared" si="3"/>
        <v>0</v>
      </c>
      <c r="AN71" s="165">
        <f t="shared" si="3"/>
        <v>0</v>
      </c>
      <c r="AO71" s="165">
        <f t="shared" si="3"/>
        <v>0</v>
      </c>
      <c r="AP71" s="29"/>
    </row>
    <row r="72" spans="1:42" s="140" customFormat="1" outlineLevel="1" x14ac:dyDescent="0.25">
      <c r="A72" s="78"/>
      <c r="B72" s="19"/>
      <c r="C72" s="20" t="s">
        <v>480</v>
      </c>
      <c r="D72" s="20"/>
      <c r="E72" s="15" t="s">
        <v>54</v>
      </c>
      <c r="F72" s="48"/>
      <c r="G72" s="95"/>
      <c r="H72" s="182"/>
      <c r="I72" s="182">
        <f>I71*Data!H$9</f>
        <v>111577.84922818089</v>
      </c>
      <c r="J72" s="182">
        <f>J71*Data!I$9</f>
        <v>107238.01976988137</v>
      </c>
      <c r="K72" s="182">
        <f>K71*Data!J$9</f>
        <v>133014.42457714549</v>
      </c>
      <c r="L72" s="182">
        <f>L71*Data!K$9</f>
        <v>127795.44232643327</v>
      </c>
      <c r="M72" s="182">
        <f>M71*Data!L$9</f>
        <v>122770.10590100261</v>
      </c>
      <c r="N72" s="182">
        <f>N71*Data!M$9</f>
        <v>117939.73603979689</v>
      </c>
      <c r="O72" s="182">
        <f>O71*Data!N$9</f>
        <v>113300.08338927216</v>
      </c>
      <c r="P72" s="182">
        <f>P71*Data!O$9</f>
        <v>108839.3480464178</v>
      </c>
      <c r="Q72" s="182">
        <f>Q71*Data!P$9</f>
        <v>104600.54967304364</v>
      </c>
      <c r="R72" s="182">
        <f>R71*Data!Q$9</f>
        <v>100527.65123143801</v>
      </c>
      <c r="S72" s="182">
        <f>S71*Data!R$9</f>
        <v>96613.855411236756</v>
      </c>
      <c r="T72" s="182">
        <f>T71*Data!S$9</f>
        <v>92853.625065841625</v>
      </c>
      <c r="U72" s="182">
        <f>U71*Data!T$9</f>
        <v>-33557.077062775134</v>
      </c>
      <c r="V72" s="182">
        <f>V71*Data!U$9</f>
        <v>0</v>
      </c>
      <c r="W72" s="182">
        <f>W71*Data!V$9</f>
        <v>0</v>
      </c>
      <c r="X72" s="182">
        <f>X71*Data!W$9</f>
        <v>0</v>
      </c>
      <c r="Y72" s="182">
        <f>Y71*Data!X$9</f>
        <v>0</v>
      </c>
      <c r="Z72" s="182">
        <f>Z71*Data!Y$9</f>
        <v>0</v>
      </c>
      <c r="AA72" s="182">
        <f>AA71*Data!Z$9</f>
        <v>0</v>
      </c>
      <c r="AB72" s="182">
        <f>AB71*Data!AA$9</f>
        <v>0</v>
      </c>
      <c r="AC72" s="182">
        <f>AC71*Data!AB$9</f>
        <v>0</v>
      </c>
      <c r="AD72" s="182">
        <f>AD71*Data!AC$9</f>
        <v>0</v>
      </c>
      <c r="AE72" s="182">
        <f>AE71*Data!AD$9</f>
        <v>0</v>
      </c>
      <c r="AF72" s="182">
        <f>AF71*Data!AE$9</f>
        <v>0</v>
      </c>
      <c r="AG72" s="182">
        <f>AG71*Data!AF$9</f>
        <v>0</v>
      </c>
      <c r="AH72" s="182">
        <f>AH71*Data!AG$9</f>
        <v>0</v>
      </c>
      <c r="AI72" s="182">
        <f>AI71*Data!AH$9</f>
        <v>0</v>
      </c>
      <c r="AJ72" s="182">
        <f>AJ71*Data!AI$9</f>
        <v>0</v>
      </c>
      <c r="AK72" s="182">
        <f>AK71*Data!AJ$9</f>
        <v>0</v>
      </c>
      <c r="AL72" s="182">
        <f>AL71*Data!AK$9</f>
        <v>0</v>
      </c>
      <c r="AM72" s="182">
        <f>AM71*Data!AL$9</f>
        <v>0</v>
      </c>
      <c r="AN72" s="182">
        <f>AN71*Data!AM$9</f>
        <v>0</v>
      </c>
      <c r="AO72" s="182">
        <f>AO71*Data!AN$9</f>
        <v>0</v>
      </c>
      <c r="AP72" s="50"/>
    </row>
    <row r="73" spans="1:42" outlineLevel="1" x14ac:dyDescent="0.25">
      <c r="A73" s="12"/>
      <c r="B73" s="13"/>
      <c r="C73" s="14" t="s">
        <v>479</v>
      </c>
      <c r="D73" s="14"/>
      <c r="E73" s="15" t="s">
        <v>142</v>
      </c>
      <c r="F73" s="16"/>
      <c r="G73" s="182">
        <f>SUM(H72:AO72)</f>
        <v>1303513.6135969155</v>
      </c>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9"/>
    </row>
    <row r="74" spans="1:42" outlineLevel="1" x14ac:dyDescent="0.25">
      <c r="A74" s="12"/>
      <c r="B74" s="13"/>
      <c r="C74" s="44" t="s">
        <v>514</v>
      </c>
      <c r="D74" s="44"/>
      <c r="E74" s="15" t="s">
        <v>261</v>
      </c>
      <c r="F74" s="16"/>
      <c r="G74" s="183">
        <f>G73/SUM(I13:AB13)</f>
        <v>1.1605356246411285</v>
      </c>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7"/>
    </row>
    <row r="75" spans="1:42" outlineLevel="1" x14ac:dyDescent="0.25">
      <c r="A75" s="12"/>
      <c r="B75" s="13"/>
      <c r="C75" s="14"/>
      <c r="D75" s="14"/>
      <c r="E75" s="15"/>
      <c r="F75" s="16"/>
      <c r="G75" s="14"/>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17"/>
    </row>
    <row r="76" spans="1:42" outlineLevel="1" x14ac:dyDescent="0.25">
      <c r="A76" s="12"/>
      <c r="B76" s="13"/>
      <c r="C76" s="19"/>
      <c r="D76" s="19"/>
      <c r="E76" s="15"/>
      <c r="F76" s="16"/>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row>
    <row r="77" spans="1:42" outlineLevel="1" x14ac:dyDescent="0.25">
      <c r="A77" s="12"/>
      <c r="B77" s="13"/>
      <c r="C77" s="37" t="s">
        <v>515</v>
      </c>
      <c r="D77" s="37"/>
      <c r="E77" s="38"/>
      <c r="F77" s="39"/>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17"/>
    </row>
    <row r="78" spans="1:42" outlineLevel="1" x14ac:dyDescent="0.25">
      <c r="A78" s="12"/>
      <c r="B78" s="13"/>
      <c r="C78" s="20" t="s">
        <v>516</v>
      </c>
      <c r="D78" s="45"/>
      <c r="E78" s="15"/>
      <c r="F78" s="16"/>
      <c r="G78" s="165"/>
      <c r="H78" s="165"/>
      <c r="I78" s="165"/>
      <c r="J78" s="165"/>
      <c r="K78" s="165"/>
      <c r="L78" s="165"/>
      <c r="M78" s="165"/>
      <c r="N78" s="165"/>
      <c r="O78" s="165"/>
      <c r="P78" s="165"/>
      <c r="Q78" s="165"/>
      <c r="R78" s="165"/>
      <c r="S78" s="165"/>
      <c r="T78" s="165"/>
      <c r="U78" s="28"/>
      <c r="V78" s="28"/>
      <c r="W78" s="28"/>
      <c r="X78" s="28"/>
      <c r="Y78" s="28"/>
      <c r="Z78" s="28"/>
      <c r="AA78" s="28"/>
      <c r="AB78" s="28"/>
      <c r="AC78" s="28"/>
      <c r="AD78" s="28"/>
      <c r="AE78" s="28"/>
      <c r="AF78" s="28"/>
      <c r="AG78" s="28"/>
      <c r="AH78" s="28"/>
      <c r="AI78" s="28"/>
      <c r="AJ78" s="28"/>
      <c r="AK78" s="28"/>
      <c r="AL78" s="28"/>
      <c r="AM78" s="28"/>
      <c r="AN78" s="28"/>
      <c r="AO78" s="28"/>
      <c r="AP78" s="29"/>
    </row>
    <row r="79" spans="1:42" outlineLevel="1" x14ac:dyDescent="0.25">
      <c r="A79" s="12"/>
      <c r="B79" s="13"/>
      <c r="C79" s="45" t="s">
        <v>517</v>
      </c>
      <c r="D79" s="45"/>
      <c r="E79" s="15" t="s">
        <v>342</v>
      </c>
      <c r="F79" s="179">
        <f>Data!$E$291</f>
        <v>47000</v>
      </c>
      <c r="G79" s="165"/>
      <c r="H79" s="165"/>
      <c r="I79" s="165"/>
      <c r="J79" s="165"/>
      <c r="K79" s="165"/>
      <c r="L79" s="165"/>
      <c r="M79" s="165"/>
      <c r="N79" s="165"/>
      <c r="O79" s="165"/>
      <c r="P79" s="165"/>
      <c r="Q79" s="165"/>
      <c r="R79" s="165"/>
      <c r="S79" s="165"/>
      <c r="T79" s="165"/>
      <c r="U79" s="28"/>
      <c r="V79" s="28"/>
      <c r="W79" s="28"/>
      <c r="X79" s="28"/>
      <c r="Y79" s="28"/>
      <c r="Z79" s="28"/>
      <c r="AA79" s="28"/>
      <c r="AB79" s="28"/>
      <c r="AC79" s="28"/>
      <c r="AD79" s="28"/>
      <c r="AE79" s="28"/>
      <c r="AF79" s="28"/>
      <c r="AG79" s="28"/>
      <c r="AH79" s="28"/>
      <c r="AI79" s="28"/>
      <c r="AJ79" s="28"/>
      <c r="AK79" s="28"/>
      <c r="AL79" s="28"/>
      <c r="AM79" s="28"/>
      <c r="AN79" s="28"/>
      <c r="AO79" s="28"/>
      <c r="AP79" s="29"/>
    </row>
    <row r="80" spans="1:42" outlineLevel="1" x14ac:dyDescent="0.25">
      <c r="A80" s="12"/>
      <c r="B80" s="13"/>
      <c r="C80" s="45" t="s">
        <v>518</v>
      </c>
      <c r="D80" s="45"/>
      <c r="E80" s="15" t="s">
        <v>142</v>
      </c>
      <c r="F80" s="179"/>
      <c r="G80" s="186">
        <f>F79*Data!G16/1000</f>
        <v>4089</v>
      </c>
      <c r="H80" s="165"/>
      <c r="I80" s="165"/>
      <c r="J80" s="165"/>
      <c r="K80" s="165"/>
      <c r="L80" s="165"/>
      <c r="M80" s="165"/>
      <c r="N80" s="165"/>
      <c r="O80" s="165"/>
      <c r="P80" s="165"/>
      <c r="Q80" s="165"/>
      <c r="R80" s="165"/>
      <c r="S80" s="165"/>
      <c r="T80" s="165"/>
      <c r="U80" s="28"/>
      <c r="V80" s="28"/>
      <c r="W80" s="28"/>
      <c r="X80" s="28"/>
      <c r="Y80" s="28"/>
      <c r="Z80" s="28"/>
      <c r="AA80" s="28"/>
      <c r="AB80" s="28"/>
      <c r="AC80" s="28"/>
      <c r="AD80" s="28"/>
      <c r="AE80" s="28"/>
      <c r="AF80" s="28"/>
      <c r="AG80" s="28"/>
      <c r="AH80" s="28"/>
      <c r="AI80" s="28"/>
      <c r="AJ80" s="28"/>
      <c r="AK80" s="28"/>
      <c r="AL80" s="28"/>
      <c r="AM80" s="28"/>
      <c r="AN80" s="28"/>
      <c r="AO80" s="28"/>
      <c r="AP80" s="29"/>
    </row>
    <row r="81" spans="1:42" outlineLevel="1" x14ac:dyDescent="0.25">
      <c r="A81" s="12"/>
      <c r="B81" s="13"/>
      <c r="C81" s="45" t="s">
        <v>518</v>
      </c>
      <c r="D81" s="45"/>
      <c r="E81" s="15" t="s">
        <v>261</v>
      </c>
      <c r="F81" s="179"/>
      <c r="G81" s="184">
        <f>G80/(SUM(H13:AN13))</f>
        <v>3.640491452991453E-3</v>
      </c>
      <c r="H81" s="165"/>
      <c r="I81" s="165"/>
      <c r="J81" s="165"/>
      <c r="K81" s="165"/>
      <c r="L81" s="165"/>
      <c r="M81" s="165"/>
      <c r="N81" s="165"/>
      <c r="O81" s="165"/>
      <c r="P81" s="165"/>
      <c r="Q81" s="165"/>
      <c r="R81" s="165"/>
      <c r="S81" s="165"/>
      <c r="T81" s="165"/>
      <c r="U81" s="28"/>
      <c r="V81" s="28"/>
      <c r="W81" s="28"/>
      <c r="X81" s="28"/>
      <c r="Y81" s="28"/>
      <c r="Z81" s="28"/>
      <c r="AA81" s="28"/>
      <c r="AB81" s="28"/>
      <c r="AC81" s="28"/>
      <c r="AD81" s="28"/>
      <c r="AE81" s="28"/>
      <c r="AF81" s="28"/>
      <c r="AG81" s="28"/>
      <c r="AH81" s="28"/>
      <c r="AI81" s="28"/>
      <c r="AJ81" s="28"/>
      <c r="AK81" s="28"/>
      <c r="AL81" s="28"/>
      <c r="AM81" s="28"/>
      <c r="AN81" s="28"/>
      <c r="AO81" s="28"/>
      <c r="AP81" s="29"/>
    </row>
    <row r="82" spans="1:42" outlineLevel="1" x14ac:dyDescent="0.25">
      <c r="A82" s="12"/>
      <c r="B82" s="13"/>
      <c r="C82" s="20" t="s">
        <v>519</v>
      </c>
      <c r="D82" s="19"/>
      <c r="E82" s="15"/>
      <c r="F82" s="16"/>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7"/>
    </row>
    <row r="83" spans="1:42" outlineLevel="1" x14ac:dyDescent="0.25">
      <c r="A83" s="12"/>
      <c r="B83" s="13"/>
      <c r="C83" t="s">
        <v>520</v>
      </c>
      <c r="D83" s="14"/>
      <c r="E83" s="15" t="s">
        <v>521</v>
      </c>
      <c r="F83" s="16"/>
      <c r="G83" s="14"/>
      <c r="H83" s="141"/>
      <c r="I83" s="141">
        <f t="shared" ref="I83:AO83" si="4">I13</f>
        <v>93600</v>
      </c>
      <c r="J83" s="141">
        <f t="shared" si="4"/>
        <v>93600</v>
      </c>
      <c r="K83" s="141">
        <f t="shared" si="4"/>
        <v>93600</v>
      </c>
      <c r="L83" s="141">
        <f t="shared" si="4"/>
        <v>93600</v>
      </c>
      <c r="M83" s="141">
        <f t="shared" si="4"/>
        <v>93600</v>
      </c>
      <c r="N83" s="141">
        <f t="shared" si="4"/>
        <v>93600</v>
      </c>
      <c r="O83" s="141">
        <f t="shared" si="4"/>
        <v>93600</v>
      </c>
      <c r="P83" s="141">
        <f t="shared" si="4"/>
        <v>93600</v>
      </c>
      <c r="Q83" s="141">
        <f t="shared" si="4"/>
        <v>93600</v>
      </c>
      <c r="R83" s="141">
        <f t="shared" si="4"/>
        <v>93600</v>
      </c>
      <c r="S83" s="141">
        <f t="shared" si="4"/>
        <v>93600</v>
      </c>
      <c r="T83" s="141">
        <f t="shared" si="4"/>
        <v>93600</v>
      </c>
      <c r="U83" s="141">
        <f t="shared" si="4"/>
        <v>0</v>
      </c>
      <c r="V83" s="141">
        <f t="shared" si="4"/>
        <v>0</v>
      </c>
      <c r="W83" s="141">
        <f t="shared" si="4"/>
        <v>0</v>
      </c>
      <c r="X83" s="141">
        <f t="shared" si="4"/>
        <v>0</v>
      </c>
      <c r="Y83" s="141">
        <f t="shared" si="4"/>
        <v>0</v>
      </c>
      <c r="Z83" s="141">
        <f t="shared" si="4"/>
        <v>0</v>
      </c>
      <c r="AA83" s="141">
        <f t="shared" si="4"/>
        <v>0</v>
      </c>
      <c r="AB83" s="141">
        <f t="shared" si="4"/>
        <v>0</v>
      </c>
      <c r="AC83" s="141">
        <f t="shared" si="4"/>
        <v>0</v>
      </c>
      <c r="AD83" s="141">
        <f t="shared" si="4"/>
        <v>0</v>
      </c>
      <c r="AE83" s="141">
        <f t="shared" si="4"/>
        <v>0</v>
      </c>
      <c r="AF83" s="141">
        <f t="shared" si="4"/>
        <v>0</v>
      </c>
      <c r="AG83" s="141">
        <f t="shared" si="4"/>
        <v>0</v>
      </c>
      <c r="AH83" s="141">
        <f t="shared" si="4"/>
        <v>0</v>
      </c>
      <c r="AI83" s="141">
        <f t="shared" si="4"/>
        <v>0</v>
      </c>
      <c r="AJ83" s="141">
        <f t="shared" si="4"/>
        <v>0</v>
      </c>
      <c r="AK83" s="141">
        <f t="shared" si="4"/>
        <v>0</v>
      </c>
      <c r="AL83" s="141">
        <f t="shared" si="4"/>
        <v>0</v>
      </c>
      <c r="AM83" s="141">
        <f t="shared" si="4"/>
        <v>0</v>
      </c>
      <c r="AN83" s="141">
        <f t="shared" si="4"/>
        <v>0</v>
      </c>
      <c r="AO83" s="141">
        <f t="shared" si="4"/>
        <v>0</v>
      </c>
      <c r="AP83" s="14"/>
    </row>
    <row r="84" spans="1:42" outlineLevel="1" x14ac:dyDescent="0.25">
      <c r="A84" s="12"/>
      <c r="B84" s="13"/>
      <c r="C84" s="20" t="s">
        <v>483</v>
      </c>
      <c r="D84" s="14"/>
      <c r="E84" s="15"/>
      <c r="F84" s="16"/>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4"/>
    </row>
    <row r="85" spans="1:42" ht="14.25" customHeight="1" outlineLevel="1" x14ac:dyDescent="0.25">
      <c r="A85" s="54"/>
      <c r="B85" s="13"/>
      <c r="C85" s="14" t="s">
        <v>205</v>
      </c>
      <c r="D85" s="14"/>
      <c r="E85" s="70" t="s">
        <v>352</v>
      </c>
      <c r="F85" s="201">
        <f>Data!E445/1000</f>
        <v>0</v>
      </c>
      <c r="G85" s="231">
        <f>SUM(I85:AO85)</f>
        <v>0</v>
      </c>
      <c r="H85" s="56"/>
      <c r="I85" s="56">
        <f>I$83*$F85</f>
        <v>0</v>
      </c>
      <c r="J85" s="56">
        <f t="shared" ref="I85:J88" si="5">J$83*$F85</f>
        <v>0</v>
      </c>
      <c r="K85" s="56">
        <f t="shared" ref="K85:AC91" si="6">K$83*$F85</f>
        <v>0</v>
      </c>
      <c r="L85" s="56">
        <f t="shared" si="6"/>
        <v>0</v>
      </c>
      <c r="M85" s="56">
        <f t="shared" si="6"/>
        <v>0</v>
      </c>
      <c r="N85" s="56">
        <f t="shared" si="6"/>
        <v>0</v>
      </c>
      <c r="O85" s="56">
        <f t="shared" si="6"/>
        <v>0</v>
      </c>
      <c r="P85" s="56">
        <f t="shared" si="6"/>
        <v>0</v>
      </c>
      <c r="Q85" s="56">
        <f t="shared" si="6"/>
        <v>0</v>
      </c>
      <c r="R85" s="56">
        <f t="shared" si="6"/>
        <v>0</v>
      </c>
      <c r="S85" s="56">
        <f t="shared" si="6"/>
        <v>0</v>
      </c>
      <c r="T85" s="56">
        <f t="shared" si="6"/>
        <v>0</v>
      </c>
      <c r="U85" s="56">
        <f t="shared" si="6"/>
        <v>0</v>
      </c>
      <c r="V85" s="56">
        <f t="shared" si="6"/>
        <v>0</v>
      </c>
      <c r="W85" s="56">
        <f t="shared" si="6"/>
        <v>0</v>
      </c>
      <c r="X85" s="56">
        <f t="shared" si="6"/>
        <v>0</v>
      </c>
      <c r="Y85" s="56">
        <f t="shared" si="6"/>
        <v>0</v>
      </c>
      <c r="Z85" s="56">
        <f t="shared" si="6"/>
        <v>0</v>
      </c>
      <c r="AA85" s="56">
        <f t="shared" si="6"/>
        <v>0</v>
      </c>
      <c r="AB85" s="56">
        <f t="shared" si="6"/>
        <v>0</v>
      </c>
      <c r="AC85" s="56">
        <f t="shared" si="6"/>
        <v>0</v>
      </c>
      <c r="AD85" s="56">
        <f t="shared" ref="AC85:AO91" si="7">AD$83*$F85</f>
        <v>0</v>
      </c>
      <c r="AE85" s="56">
        <f t="shared" si="7"/>
        <v>0</v>
      </c>
      <c r="AF85" s="56">
        <f t="shared" si="7"/>
        <v>0</v>
      </c>
      <c r="AG85" s="56">
        <f t="shared" si="7"/>
        <v>0</v>
      </c>
      <c r="AH85" s="56">
        <f t="shared" si="7"/>
        <v>0</v>
      </c>
      <c r="AI85" s="56">
        <f t="shared" si="7"/>
        <v>0</v>
      </c>
      <c r="AJ85" s="56">
        <f t="shared" si="7"/>
        <v>0</v>
      </c>
      <c r="AK85" s="56">
        <f t="shared" si="7"/>
        <v>0</v>
      </c>
      <c r="AL85" s="56">
        <f t="shared" si="7"/>
        <v>0</v>
      </c>
      <c r="AM85" s="56">
        <f t="shared" si="7"/>
        <v>0</v>
      </c>
      <c r="AN85" s="56">
        <f t="shared" si="7"/>
        <v>0</v>
      </c>
      <c r="AO85" s="56">
        <f t="shared" si="7"/>
        <v>0</v>
      </c>
      <c r="AP85" s="29"/>
    </row>
    <row r="86" spans="1:42" outlineLevel="1" x14ac:dyDescent="0.25">
      <c r="A86" s="54"/>
      <c r="B86" s="13"/>
      <c r="C86" s="14" t="s">
        <v>484</v>
      </c>
      <c r="D86" s="14"/>
      <c r="E86" s="70" t="s">
        <v>352</v>
      </c>
      <c r="F86" s="201">
        <f>Data!E446</f>
        <v>0.15968215015849699</v>
      </c>
      <c r="G86" s="231">
        <f t="shared" ref="G86:G98" si="8">SUM(I86:AO86)</f>
        <v>179354.99105802376</v>
      </c>
      <c r="H86" s="231"/>
      <c r="I86" s="56">
        <f t="shared" si="5"/>
        <v>14946.249254835318</v>
      </c>
      <c r="J86" s="56">
        <f t="shared" si="5"/>
        <v>14946.249254835318</v>
      </c>
      <c r="K86" s="56">
        <f t="shared" si="6"/>
        <v>14946.249254835318</v>
      </c>
      <c r="L86" s="56">
        <f t="shared" si="6"/>
        <v>14946.249254835318</v>
      </c>
      <c r="M86" s="56">
        <f t="shared" si="6"/>
        <v>14946.249254835318</v>
      </c>
      <c r="N86" s="56">
        <f t="shared" si="6"/>
        <v>14946.249254835318</v>
      </c>
      <c r="O86" s="56">
        <f t="shared" si="6"/>
        <v>14946.249254835318</v>
      </c>
      <c r="P86" s="56">
        <f t="shared" si="6"/>
        <v>14946.249254835318</v>
      </c>
      <c r="Q86" s="56">
        <f t="shared" si="6"/>
        <v>14946.249254835318</v>
      </c>
      <c r="R86" s="56">
        <f t="shared" si="6"/>
        <v>14946.249254835318</v>
      </c>
      <c r="S86" s="56">
        <f t="shared" si="6"/>
        <v>14946.249254835318</v>
      </c>
      <c r="T86" s="56">
        <f t="shared" si="6"/>
        <v>14946.249254835318</v>
      </c>
      <c r="U86" s="56">
        <f t="shared" si="6"/>
        <v>0</v>
      </c>
      <c r="V86" s="56">
        <f t="shared" si="6"/>
        <v>0</v>
      </c>
      <c r="W86" s="56">
        <f t="shared" si="6"/>
        <v>0</v>
      </c>
      <c r="X86" s="56">
        <f t="shared" si="6"/>
        <v>0</v>
      </c>
      <c r="Y86" s="56">
        <f t="shared" si="6"/>
        <v>0</v>
      </c>
      <c r="Z86" s="56">
        <f t="shared" si="6"/>
        <v>0</v>
      </c>
      <c r="AA86" s="56">
        <f t="shared" si="6"/>
        <v>0</v>
      </c>
      <c r="AB86" s="56">
        <f t="shared" si="6"/>
        <v>0</v>
      </c>
      <c r="AC86" s="56">
        <f t="shared" si="7"/>
        <v>0</v>
      </c>
      <c r="AD86" s="56">
        <f t="shared" si="7"/>
        <v>0</v>
      </c>
      <c r="AE86" s="56">
        <f t="shared" si="7"/>
        <v>0</v>
      </c>
      <c r="AF86" s="56">
        <f t="shared" si="7"/>
        <v>0</v>
      </c>
      <c r="AG86" s="56">
        <f t="shared" si="7"/>
        <v>0</v>
      </c>
      <c r="AH86" s="56">
        <f t="shared" si="7"/>
        <v>0</v>
      </c>
      <c r="AI86" s="56">
        <f t="shared" si="7"/>
        <v>0</v>
      </c>
      <c r="AJ86" s="56">
        <f t="shared" si="7"/>
        <v>0</v>
      </c>
      <c r="AK86" s="56">
        <f t="shared" si="7"/>
        <v>0</v>
      </c>
      <c r="AL86" s="56">
        <f t="shared" si="7"/>
        <v>0</v>
      </c>
      <c r="AM86" s="56">
        <f t="shared" si="7"/>
        <v>0</v>
      </c>
      <c r="AN86" s="56">
        <f t="shared" si="7"/>
        <v>0</v>
      </c>
      <c r="AO86" s="56">
        <f t="shared" si="7"/>
        <v>0</v>
      </c>
      <c r="AP86" s="29"/>
    </row>
    <row r="87" spans="1:42" outlineLevel="1" x14ac:dyDescent="0.25">
      <c r="A87" s="54"/>
      <c r="B87" s="13"/>
      <c r="C87" s="14" t="s">
        <v>285</v>
      </c>
      <c r="D87" s="14"/>
      <c r="E87" s="70" t="s">
        <v>352</v>
      </c>
      <c r="F87" s="201">
        <f>Data!E447/1000</f>
        <v>0</v>
      </c>
      <c r="G87" s="231">
        <f t="shared" si="8"/>
        <v>0</v>
      </c>
      <c r="H87" s="56"/>
      <c r="I87" s="56">
        <f t="shared" si="5"/>
        <v>0</v>
      </c>
      <c r="J87" s="56">
        <f t="shared" si="5"/>
        <v>0</v>
      </c>
      <c r="K87" s="56">
        <f t="shared" si="6"/>
        <v>0</v>
      </c>
      <c r="L87" s="56">
        <f t="shared" si="6"/>
        <v>0</v>
      </c>
      <c r="M87" s="56">
        <f t="shared" si="6"/>
        <v>0</v>
      </c>
      <c r="N87" s="56">
        <f t="shared" si="6"/>
        <v>0</v>
      </c>
      <c r="O87" s="56">
        <f t="shared" si="6"/>
        <v>0</v>
      </c>
      <c r="P87" s="56">
        <f t="shared" si="6"/>
        <v>0</v>
      </c>
      <c r="Q87" s="56">
        <f t="shared" si="6"/>
        <v>0</v>
      </c>
      <c r="R87" s="56">
        <f t="shared" si="6"/>
        <v>0</v>
      </c>
      <c r="S87" s="56">
        <f t="shared" si="6"/>
        <v>0</v>
      </c>
      <c r="T87" s="56">
        <f t="shared" si="6"/>
        <v>0</v>
      </c>
      <c r="U87" s="56">
        <f t="shared" si="6"/>
        <v>0</v>
      </c>
      <c r="V87" s="56">
        <f t="shared" si="6"/>
        <v>0</v>
      </c>
      <c r="W87" s="56">
        <f t="shared" si="6"/>
        <v>0</v>
      </c>
      <c r="X87" s="56">
        <f t="shared" si="6"/>
        <v>0</v>
      </c>
      <c r="Y87" s="56">
        <f t="shared" si="6"/>
        <v>0</v>
      </c>
      <c r="Z87" s="56">
        <f t="shared" si="6"/>
        <v>0</v>
      </c>
      <c r="AA87" s="56">
        <f t="shared" si="6"/>
        <v>0</v>
      </c>
      <c r="AB87" s="56">
        <f t="shared" si="6"/>
        <v>0</v>
      </c>
      <c r="AC87" s="56">
        <f t="shared" si="7"/>
        <v>0</v>
      </c>
      <c r="AD87" s="56">
        <f t="shared" si="7"/>
        <v>0</v>
      </c>
      <c r="AE87" s="56">
        <f t="shared" si="7"/>
        <v>0</v>
      </c>
      <c r="AF87" s="56">
        <f t="shared" si="7"/>
        <v>0</v>
      </c>
      <c r="AG87" s="56">
        <f t="shared" si="7"/>
        <v>0</v>
      </c>
      <c r="AH87" s="56">
        <f t="shared" si="7"/>
        <v>0</v>
      </c>
      <c r="AI87" s="56">
        <f t="shared" si="7"/>
        <v>0</v>
      </c>
      <c r="AJ87" s="56">
        <f t="shared" si="7"/>
        <v>0</v>
      </c>
      <c r="AK87" s="56">
        <f t="shared" si="7"/>
        <v>0</v>
      </c>
      <c r="AL87" s="56">
        <f t="shared" si="7"/>
        <v>0</v>
      </c>
      <c r="AM87" s="56">
        <f t="shared" si="7"/>
        <v>0</v>
      </c>
      <c r="AN87" s="56">
        <f t="shared" si="7"/>
        <v>0</v>
      </c>
      <c r="AO87" s="56">
        <f t="shared" si="7"/>
        <v>0</v>
      </c>
      <c r="AP87" s="29"/>
    </row>
    <row r="88" spans="1:42" outlineLevel="1" x14ac:dyDescent="0.25">
      <c r="A88" s="54"/>
      <c r="B88" s="13"/>
      <c r="C88" s="14" t="s">
        <v>220</v>
      </c>
      <c r="D88" s="14"/>
      <c r="E88" s="70" t="s">
        <v>352</v>
      </c>
      <c r="F88" s="201">
        <f>Data!E448/1000</f>
        <v>0</v>
      </c>
      <c r="G88" s="231">
        <f t="shared" si="8"/>
        <v>0</v>
      </c>
      <c r="H88" s="56"/>
      <c r="I88" s="56">
        <f t="shared" si="5"/>
        <v>0</v>
      </c>
      <c r="J88" s="56">
        <f t="shared" si="5"/>
        <v>0</v>
      </c>
      <c r="K88" s="56">
        <f t="shared" si="6"/>
        <v>0</v>
      </c>
      <c r="L88" s="56">
        <f t="shared" si="6"/>
        <v>0</v>
      </c>
      <c r="M88" s="56">
        <f t="shared" si="6"/>
        <v>0</v>
      </c>
      <c r="N88" s="56">
        <f t="shared" si="6"/>
        <v>0</v>
      </c>
      <c r="O88" s="56">
        <f t="shared" si="6"/>
        <v>0</v>
      </c>
      <c r="P88" s="56">
        <f t="shared" si="6"/>
        <v>0</v>
      </c>
      <c r="Q88" s="56">
        <f t="shared" si="6"/>
        <v>0</v>
      </c>
      <c r="R88" s="56">
        <f t="shared" si="6"/>
        <v>0</v>
      </c>
      <c r="S88" s="56">
        <f t="shared" si="6"/>
        <v>0</v>
      </c>
      <c r="T88" s="56">
        <f t="shared" si="6"/>
        <v>0</v>
      </c>
      <c r="U88" s="56">
        <f t="shared" si="6"/>
        <v>0</v>
      </c>
      <c r="V88" s="56">
        <f t="shared" si="6"/>
        <v>0</v>
      </c>
      <c r="W88" s="56">
        <f t="shared" si="6"/>
        <v>0</v>
      </c>
      <c r="X88" s="56">
        <f t="shared" si="6"/>
        <v>0</v>
      </c>
      <c r="Y88" s="56">
        <f t="shared" si="6"/>
        <v>0</v>
      </c>
      <c r="Z88" s="56">
        <f t="shared" si="6"/>
        <v>0</v>
      </c>
      <c r="AA88" s="56">
        <f t="shared" si="6"/>
        <v>0</v>
      </c>
      <c r="AB88" s="56">
        <f t="shared" si="6"/>
        <v>0</v>
      </c>
      <c r="AC88" s="56">
        <f t="shared" si="7"/>
        <v>0</v>
      </c>
      <c r="AD88" s="56">
        <f t="shared" si="7"/>
        <v>0</v>
      </c>
      <c r="AE88" s="56">
        <f t="shared" si="7"/>
        <v>0</v>
      </c>
      <c r="AF88" s="56">
        <f t="shared" si="7"/>
        <v>0</v>
      </c>
      <c r="AG88" s="56">
        <f t="shared" si="7"/>
        <v>0</v>
      </c>
      <c r="AH88" s="56">
        <f t="shared" si="7"/>
        <v>0</v>
      </c>
      <c r="AI88" s="56">
        <f t="shared" si="7"/>
        <v>0</v>
      </c>
      <c r="AJ88" s="56">
        <f t="shared" si="7"/>
        <v>0</v>
      </c>
      <c r="AK88" s="56">
        <f t="shared" si="7"/>
        <v>0</v>
      </c>
      <c r="AL88" s="56">
        <f t="shared" si="7"/>
        <v>0</v>
      </c>
      <c r="AM88" s="56">
        <f t="shared" si="7"/>
        <v>0</v>
      </c>
      <c r="AN88" s="56">
        <f t="shared" si="7"/>
        <v>0</v>
      </c>
      <c r="AO88" s="56">
        <f t="shared" si="7"/>
        <v>0</v>
      </c>
      <c r="AP88" s="29"/>
    </row>
    <row r="89" spans="1:42" outlineLevel="1" x14ac:dyDescent="0.25">
      <c r="A89" s="54"/>
      <c r="B89" s="13"/>
      <c r="C89" s="14" t="s">
        <v>212</v>
      </c>
      <c r="D89" s="14"/>
      <c r="E89" s="70" t="s">
        <v>352</v>
      </c>
      <c r="F89" s="201">
        <f>Data!E449/1000</f>
        <v>0</v>
      </c>
      <c r="G89" s="231">
        <f t="shared" si="8"/>
        <v>0</v>
      </c>
      <c r="H89" s="56"/>
      <c r="I89" s="56">
        <f t="shared" ref="I89:X91" si="9">I$83*$F89</f>
        <v>0</v>
      </c>
      <c r="J89" s="56">
        <f>J$83*$F89</f>
        <v>0</v>
      </c>
      <c r="K89" s="56">
        <f t="shared" si="6"/>
        <v>0</v>
      </c>
      <c r="L89" s="56">
        <f t="shared" si="6"/>
        <v>0</v>
      </c>
      <c r="M89" s="56">
        <f t="shared" si="6"/>
        <v>0</v>
      </c>
      <c r="N89" s="56">
        <f t="shared" si="6"/>
        <v>0</v>
      </c>
      <c r="O89" s="56">
        <f t="shared" si="6"/>
        <v>0</v>
      </c>
      <c r="P89" s="56">
        <f t="shared" si="6"/>
        <v>0</v>
      </c>
      <c r="Q89" s="56">
        <f t="shared" si="6"/>
        <v>0</v>
      </c>
      <c r="R89" s="56">
        <f t="shared" si="6"/>
        <v>0</v>
      </c>
      <c r="S89" s="56">
        <f t="shared" si="6"/>
        <v>0</v>
      </c>
      <c r="T89" s="56">
        <f t="shared" si="6"/>
        <v>0</v>
      </c>
      <c r="U89" s="56">
        <f t="shared" si="6"/>
        <v>0</v>
      </c>
      <c r="V89" s="56">
        <f t="shared" si="6"/>
        <v>0</v>
      </c>
      <c r="W89" s="56">
        <f t="shared" si="6"/>
        <v>0</v>
      </c>
      <c r="X89" s="56">
        <f t="shared" si="6"/>
        <v>0</v>
      </c>
      <c r="Y89" s="56">
        <f t="shared" si="6"/>
        <v>0</v>
      </c>
      <c r="Z89" s="56">
        <f t="shared" si="6"/>
        <v>0</v>
      </c>
      <c r="AA89" s="56">
        <f t="shared" si="6"/>
        <v>0</v>
      </c>
      <c r="AB89" s="56">
        <f t="shared" si="6"/>
        <v>0</v>
      </c>
      <c r="AC89" s="56">
        <f t="shared" si="7"/>
        <v>0</v>
      </c>
      <c r="AD89" s="56">
        <f t="shared" si="7"/>
        <v>0</v>
      </c>
      <c r="AE89" s="56">
        <f t="shared" si="7"/>
        <v>0</v>
      </c>
      <c r="AF89" s="56">
        <f t="shared" si="7"/>
        <v>0</v>
      </c>
      <c r="AG89" s="56">
        <f t="shared" si="7"/>
        <v>0</v>
      </c>
      <c r="AH89" s="56">
        <f t="shared" si="7"/>
        <v>0</v>
      </c>
      <c r="AI89" s="56">
        <f t="shared" si="7"/>
        <v>0</v>
      </c>
      <c r="AJ89" s="56">
        <f t="shared" si="7"/>
        <v>0</v>
      </c>
      <c r="AK89" s="56">
        <f t="shared" si="7"/>
        <v>0</v>
      </c>
      <c r="AL89" s="56">
        <f t="shared" si="7"/>
        <v>0</v>
      </c>
      <c r="AM89" s="56">
        <f t="shared" si="7"/>
        <v>0</v>
      </c>
      <c r="AN89" s="56">
        <f t="shared" si="7"/>
        <v>0</v>
      </c>
      <c r="AO89" s="56">
        <f t="shared" si="7"/>
        <v>0</v>
      </c>
      <c r="AP89" s="29"/>
    </row>
    <row r="90" spans="1:42" outlineLevel="1" x14ac:dyDescent="0.25">
      <c r="A90" s="54"/>
      <c r="B90" s="13"/>
      <c r="C90" s="14" t="s">
        <v>485</v>
      </c>
      <c r="D90" s="14"/>
      <c r="E90" s="70" t="s">
        <v>352</v>
      </c>
      <c r="F90" s="201">
        <f>Data!E450/1000</f>
        <v>0</v>
      </c>
      <c r="G90" s="231">
        <f t="shared" si="8"/>
        <v>0</v>
      </c>
      <c r="H90" s="56"/>
      <c r="I90" s="56">
        <f t="shared" si="9"/>
        <v>0</v>
      </c>
      <c r="J90" s="56">
        <f t="shared" si="9"/>
        <v>0</v>
      </c>
      <c r="K90" s="56">
        <f t="shared" si="9"/>
        <v>0</v>
      </c>
      <c r="L90" s="56">
        <f t="shared" si="9"/>
        <v>0</v>
      </c>
      <c r="M90" s="56">
        <f t="shared" si="9"/>
        <v>0</v>
      </c>
      <c r="N90" s="56">
        <f t="shared" si="9"/>
        <v>0</v>
      </c>
      <c r="O90" s="56">
        <f t="shared" si="9"/>
        <v>0</v>
      </c>
      <c r="P90" s="56">
        <f t="shared" si="9"/>
        <v>0</v>
      </c>
      <c r="Q90" s="56">
        <f t="shared" si="9"/>
        <v>0</v>
      </c>
      <c r="R90" s="56">
        <f t="shared" si="9"/>
        <v>0</v>
      </c>
      <c r="S90" s="56">
        <f t="shared" si="9"/>
        <v>0</v>
      </c>
      <c r="T90" s="56">
        <f t="shared" si="9"/>
        <v>0</v>
      </c>
      <c r="U90" s="56">
        <f t="shared" si="9"/>
        <v>0</v>
      </c>
      <c r="V90" s="56">
        <f t="shared" si="9"/>
        <v>0</v>
      </c>
      <c r="W90" s="56">
        <f t="shared" si="9"/>
        <v>0</v>
      </c>
      <c r="X90" s="56">
        <f t="shared" si="9"/>
        <v>0</v>
      </c>
      <c r="Y90" s="56">
        <f t="shared" si="6"/>
        <v>0</v>
      </c>
      <c r="Z90" s="56">
        <f t="shared" si="6"/>
        <v>0</v>
      </c>
      <c r="AA90" s="56">
        <f t="shared" si="6"/>
        <v>0</v>
      </c>
      <c r="AB90" s="56">
        <f t="shared" si="6"/>
        <v>0</v>
      </c>
      <c r="AC90" s="56">
        <f t="shared" si="7"/>
        <v>0</v>
      </c>
      <c r="AD90" s="56">
        <f t="shared" si="7"/>
        <v>0</v>
      </c>
      <c r="AE90" s="56">
        <f t="shared" si="7"/>
        <v>0</v>
      </c>
      <c r="AF90" s="56">
        <f t="shared" si="7"/>
        <v>0</v>
      </c>
      <c r="AG90" s="56">
        <f t="shared" si="7"/>
        <v>0</v>
      </c>
      <c r="AH90" s="56">
        <f t="shared" si="7"/>
        <v>0</v>
      </c>
      <c r="AI90" s="56">
        <f t="shared" si="7"/>
        <v>0</v>
      </c>
      <c r="AJ90" s="56">
        <f t="shared" si="7"/>
        <v>0</v>
      </c>
      <c r="AK90" s="56">
        <f t="shared" si="7"/>
        <v>0</v>
      </c>
      <c r="AL90" s="56">
        <f t="shared" si="7"/>
        <v>0</v>
      </c>
      <c r="AM90" s="56">
        <f t="shared" si="7"/>
        <v>0</v>
      </c>
      <c r="AN90" s="56">
        <f t="shared" si="7"/>
        <v>0</v>
      </c>
      <c r="AO90" s="56">
        <f t="shared" si="7"/>
        <v>0</v>
      </c>
      <c r="AP90" s="29"/>
    </row>
    <row r="91" spans="1:42" outlineLevel="1" x14ac:dyDescent="0.25">
      <c r="A91" s="54"/>
      <c r="B91" s="13"/>
      <c r="C91" s="14" t="s">
        <v>214</v>
      </c>
      <c r="D91" s="14"/>
      <c r="E91" s="70" t="s">
        <v>352</v>
      </c>
      <c r="F91" s="201">
        <f>Data!E451/1000</f>
        <v>3.3242820000000001E-5</v>
      </c>
      <c r="G91" s="231">
        <f t="shared" si="8"/>
        <v>37.338335424</v>
      </c>
      <c r="H91" s="56"/>
      <c r="I91" s="56">
        <f t="shared" si="9"/>
        <v>3.1115279519999999</v>
      </c>
      <c r="J91" s="56">
        <f t="shared" si="9"/>
        <v>3.1115279519999999</v>
      </c>
      <c r="K91" s="56">
        <f t="shared" si="6"/>
        <v>3.1115279519999999</v>
      </c>
      <c r="L91" s="56">
        <f t="shared" si="6"/>
        <v>3.1115279519999999</v>
      </c>
      <c r="M91" s="56">
        <f t="shared" si="6"/>
        <v>3.1115279519999999</v>
      </c>
      <c r="N91" s="56">
        <f t="shared" si="6"/>
        <v>3.1115279519999999</v>
      </c>
      <c r="O91" s="56">
        <f t="shared" si="6"/>
        <v>3.1115279519999999</v>
      </c>
      <c r="P91" s="56">
        <f t="shared" si="6"/>
        <v>3.1115279519999999</v>
      </c>
      <c r="Q91" s="56">
        <f t="shared" si="6"/>
        <v>3.1115279519999999</v>
      </c>
      <c r="R91" s="56">
        <f t="shared" si="6"/>
        <v>3.1115279519999999</v>
      </c>
      <c r="S91" s="56">
        <f t="shared" si="6"/>
        <v>3.1115279519999999</v>
      </c>
      <c r="T91" s="56">
        <f t="shared" si="6"/>
        <v>3.1115279519999999</v>
      </c>
      <c r="U91" s="56">
        <f t="shared" si="6"/>
        <v>0</v>
      </c>
      <c r="V91" s="56">
        <f t="shared" si="6"/>
        <v>0</v>
      </c>
      <c r="W91" s="56">
        <f t="shared" si="6"/>
        <v>0</v>
      </c>
      <c r="X91" s="56">
        <f t="shared" si="6"/>
        <v>0</v>
      </c>
      <c r="Y91" s="56">
        <f t="shared" si="6"/>
        <v>0</v>
      </c>
      <c r="Z91" s="56">
        <f t="shared" si="6"/>
        <v>0</v>
      </c>
      <c r="AA91" s="56">
        <f t="shared" si="6"/>
        <v>0</v>
      </c>
      <c r="AB91" s="56">
        <f t="shared" si="6"/>
        <v>0</v>
      </c>
      <c r="AC91" s="56">
        <f t="shared" si="7"/>
        <v>0</v>
      </c>
      <c r="AD91" s="56">
        <f t="shared" si="7"/>
        <v>0</v>
      </c>
      <c r="AE91" s="56">
        <f t="shared" si="7"/>
        <v>0</v>
      </c>
      <c r="AF91" s="56">
        <f t="shared" si="7"/>
        <v>0</v>
      </c>
      <c r="AG91" s="56">
        <f t="shared" si="7"/>
        <v>0</v>
      </c>
      <c r="AH91" s="56">
        <f t="shared" si="7"/>
        <v>0</v>
      </c>
      <c r="AI91" s="56">
        <f t="shared" si="7"/>
        <v>0</v>
      </c>
      <c r="AJ91" s="56">
        <f t="shared" si="7"/>
        <v>0</v>
      </c>
      <c r="AK91" s="56">
        <f t="shared" si="7"/>
        <v>0</v>
      </c>
      <c r="AL91" s="56">
        <f t="shared" si="7"/>
        <v>0</v>
      </c>
      <c r="AM91" s="56">
        <f t="shared" si="7"/>
        <v>0</v>
      </c>
      <c r="AN91" s="56">
        <f t="shared" si="7"/>
        <v>0</v>
      </c>
      <c r="AO91" s="56">
        <f t="shared" si="7"/>
        <v>0</v>
      </c>
      <c r="AP91" s="29"/>
    </row>
    <row r="92" spans="1:42" outlineLevel="1" x14ac:dyDescent="0.25">
      <c r="A92" s="12"/>
      <c r="B92" s="13"/>
      <c r="C92" s="14"/>
      <c r="D92" s="14"/>
      <c r="E92" s="15"/>
      <c r="F92" s="16"/>
      <c r="G92" s="231">
        <f t="shared" si="8"/>
        <v>0</v>
      </c>
      <c r="H92" s="159"/>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14"/>
    </row>
    <row r="93" spans="1:42" outlineLevel="1" x14ac:dyDescent="0.25">
      <c r="A93" s="54"/>
      <c r="B93" s="13"/>
      <c r="C93" s="14" t="s">
        <v>205</v>
      </c>
      <c r="D93" s="14"/>
      <c r="E93" s="70" t="s">
        <v>474</v>
      </c>
      <c r="F93" s="200">
        <f>Data!$E$35/1000</f>
        <v>3.4099438202247192E-3</v>
      </c>
      <c r="G93" s="231">
        <f t="shared" si="8"/>
        <v>0</v>
      </c>
      <c r="H93" s="56"/>
      <c r="I93" s="56">
        <f>I$85*$F93</f>
        <v>0</v>
      </c>
      <c r="J93" s="56">
        <f>J$85*$F93</f>
        <v>0</v>
      </c>
      <c r="K93" s="56">
        <f t="shared" ref="K93:AO93" si="10">K$85*$F93</f>
        <v>0</v>
      </c>
      <c r="L93" s="56">
        <f t="shared" si="10"/>
        <v>0</v>
      </c>
      <c r="M93" s="56">
        <f t="shared" si="10"/>
        <v>0</v>
      </c>
      <c r="N93" s="56">
        <f t="shared" si="10"/>
        <v>0</v>
      </c>
      <c r="O93" s="56">
        <f t="shared" si="10"/>
        <v>0</v>
      </c>
      <c r="P93" s="56">
        <f t="shared" si="10"/>
        <v>0</v>
      </c>
      <c r="Q93" s="56">
        <f t="shared" si="10"/>
        <v>0</v>
      </c>
      <c r="R93" s="56">
        <f t="shared" si="10"/>
        <v>0</v>
      </c>
      <c r="S93" s="56">
        <f t="shared" si="10"/>
        <v>0</v>
      </c>
      <c r="T93" s="56">
        <f t="shared" si="10"/>
        <v>0</v>
      </c>
      <c r="U93" s="56">
        <f t="shared" si="10"/>
        <v>0</v>
      </c>
      <c r="V93" s="56">
        <f t="shared" si="10"/>
        <v>0</v>
      </c>
      <c r="W93" s="56">
        <f t="shared" si="10"/>
        <v>0</v>
      </c>
      <c r="X93" s="56">
        <f t="shared" si="10"/>
        <v>0</v>
      </c>
      <c r="Y93" s="56">
        <f t="shared" si="10"/>
        <v>0</v>
      </c>
      <c r="Z93" s="56">
        <f t="shared" si="10"/>
        <v>0</v>
      </c>
      <c r="AA93" s="56">
        <f t="shared" si="10"/>
        <v>0</v>
      </c>
      <c r="AB93" s="56">
        <f t="shared" si="10"/>
        <v>0</v>
      </c>
      <c r="AC93" s="56">
        <f t="shared" si="10"/>
        <v>0</v>
      </c>
      <c r="AD93" s="56">
        <f t="shared" si="10"/>
        <v>0</v>
      </c>
      <c r="AE93" s="56">
        <f t="shared" si="10"/>
        <v>0</v>
      </c>
      <c r="AF93" s="56">
        <f t="shared" si="10"/>
        <v>0</v>
      </c>
      <c r="AG93" s="56">
        <f t="shared" si="10"/>
        <v>0</v>
      </c>
      <c r="AH93" s="56">
        <f t="shared" si="10"/>
        <v>0</v>
      </c>
      <c r="AI93" s="56">
        <f t="shared" si="10"/>
        <v>0</v>
      </c>
      <c r="AJ93" s="56">
        <f t="shared" si="10"/>
        <v>0</v>
      </c>
      <c r="AK93" s="56">
        <f t="shared" si="10"/>
        <v>0</v>
      </c>
      <c r="AL93" s="56">
        <f t="shared" si="10"/>
        <v>0</v>
      </c>
      <c r="AM93" s="56">
        <f t="shared" si="10"/>
        <v>0</v>
      </c>
      <c r="AN93" s="56">
        <f t="shared" si="10"/>
        <v>0</v>
      </c>
      <c r="AO93" s="56">
        <f t="shared" si="10"/>
        <v>0</v>
      </c>
      <c r="AP93" s="29"/>
    </row>
    <row r="94" spans="1:42" outlineLevel="1" x14ac:dyDescent="0.25">
      <c r="A94" s="54"/>
      <c r="B94" s="13"/>
      <c r="C94" s="14" t="s">
        <v>484</v>
      </c>
      <c r="D94" s="14"/>
      <c r="E94" s="70" t="s">
        <v>474</v>
      </c>
      <c r="F94" s="200"/>
      <c r="G94" s="231">
        <f>SUM(I94:AO94)</f>
        <v>26170.882445216645</v>
      </c>
      <c r="H94" s="56"/>
      <c r="I94" s="56">
        <f>I$86*Data!H$16/1000</f>
        <v>1449.7861777190258</v>
      </c>
      <c r="J94" s="56">
        <f>J$86*Data!I$16/1000</f>
        <v>1599.2486702673791</v>
      </c>
      <c r="K94" s="56">
        <f>K$86*Data!J$16/1000</f>
        <v>1733.764913560897</v>
      </c>
      <c r="L94" s="56">
        <f>L$86*Data!K$16/1000</f>
        <v>1883.2274061092501</v>
      </c>
      <c r="M94" s="56">
        <f>M$86*Data!L$16/1000</f>
        <v>2032.6898986576032</v>
      </c>
      <c r="N94" s="56">
        <f>N$86*Data!M$16/1000</f>
        <v>2182.1523912059565</v>
      </c>
      <c r="O94" s="56">
        <f>O$86*Data!N$16/1000</f>
        <v>2316.6686344994746</v>
      </c>
      <c r="P94" s="56">
        <f>P$86*Data!O$16/1000</f>
        <v>2406.3461300284862</v>
      </c>
      <c r="Q94" s="56">
        <f>Q$86*Data!P$16/1000</f>
        <v>2496.0236255574982</v>
      </c>
      <c r="R94" s="56">
        <f>R$86*Data!Q$16/1000</f>
        <v>2600.6473703413453</v>
      </c>
      <c r="S94" s="56">
        <f>S$86*Data!R$16/1000</f>
        <v>2690.3248658703574</v>
      </c>
      <c r="T94" s="56">
        <f>T$86*Data!S$16/1000</f>
        <v>2780.0023613993694</v>
      </c>
      <c r="U94" s="56">
        <f>U$86*Data!T$16/1000</f>
        <v>0</v>
      </c>
      <c r="V94" s="56">
        <f>V$86*Data!U$16/1000</f>
        <v>0</v>
      </c>
      <c r="W94" s="56">
        <f>W$86*Data!V$16/1000</f>
        <v>0</v>
      </c>
      <c r="X94" s="56">
        <f>X$86*Data!W$16/1000</f>
        <v>0</v>
      </c>
      <c r="Y94" s="56">
        <f>Y$86*Data!X$16/1000</f>
        <v>0</v>
      </c>
      <c r="Z94" s="56">
        <f>Z$86*Data!Y$16/1000</f>
        <v>0</v>
      </c>
      <c r="AA94" s="56">
        <f>AA$86*Data!Z$16/1000</f>
        <v>0</v>
      </c>
      <c r="AB94" s="56">
        <f>AB$86*Data!AA$16/1000</f>
        <v>0</v>
      </c>
      <c r="AC94" s="56">
        <f>AC$86*Data!AB$16/1000</f>
        <v>0</v>
      </c>
      <c r="AD94" s="56">
        <f>AD$86*Data!AC$16/1000</f>
        <v>0</v>
      </c>
      <c r="AE94" s="56">
        <f>AE$86*Data!AD$16/1000</f>
        <v>0</v>
      </c>
      <c r="AF94" s="56">
        <f>AF$86*Data!AE$16/1000</f>
        <v>0</v>
      </c>
      <c r="AG94" s="56">
        <f>AG$86*Data!AF$16/1000</f>
        <v>0</v>
      </c>
      <c r="AH94" s="56">
        <f>AH$86*Data!AG$16/1000</f>
        <v>0</v>
      </c>
      <c r="AI94" s="56">
        <f>AI$86*Data!AH$16/1000</f>
        <v>0</v>
      </c>
      <c r="AJ94" s="56">
        <f>AJ$86*Data!AI$16/1000</f>
        <v>0</v>
      </c>
      <c r="AK94" s="56">
        <f>AK$86*Data!AJ$16/1000</f>
        <v>0</v>
      </c>
      <c r="AL94" s="56">
        <f>AL$86*Data!AK$16/1000</f>
        <v>0</v>
      </c>
      <c r="AM94" s="56">
        <f>AM$86*Data!AL$16/1000</f>
        <v>0</v>
      </c>
      <c r="AN94" s="56">
        <f>AN$86*Data!AM$16/1000</f>
        <v>0</v>
      </c>
      <c r="AO94" s="56">
        <f>AO$86*Data!AN$16/1000</f>
        <v>0</v>
      </c>
      <c r="AP94" s="29"/>
    </row>
    <row r="95" spans="1:42" outlineLevel="1" x14ac:dyDescent="0.25">
      <c r="A95" s="54"/>
      <c r="B95" s="13"/>
      <c r="C95" s="14" t="s">
        <v>285</v>
      </c>
      <c r="D95" s="14"/>
      <c r="E95" s="70" t="s">
        <v>474</v>
      </c>
      <c r="F95" s="200">
        <f>Data!$E$36/1000</f>
        <v>1.0822865168539326</v>
      </c>
      <c r="G95" s="231">
        <f t="shared" si="8"/>
        <v>0</v>
      </c>
      <c r="H95" s="56"/>
      <c r="I95" s="56">
        <f>I$87*$F95</f>
        <v>0</v>
      </c>
      <c r="J95" s="56">
        <f>J$87*$F95</f>
        <v>0</v>
      </c>
      <c r="K95" s="56">
        <f t="shared" ref="K95:AO95" si="11">K$87*$F95</f>
        <v>0</v>
      </c>
      <c r="L95" s="56">
        <f t="shared" si="11"/>
        <v>0</v>
      </c>
      <c r="M95" s="56">
        <f t="shared" si="11"/>
        <v>0</v>
      </c>
      <c r="N95" s="56">
        <f t="shared" si="11"/>
        <v>0</v>
      </c>
      <c r="O95" s="56">
        <f t="shared" si="11"/>
        <v>0</v>
      </c>
      <c r="P95" s="56">
        <f t="shared" si="11"/>
        <v>0</v>
      </c>
      <c r="Q95" s="56">
        <f t="shared" si="11"/>
        <v>0</v>
      </c>
      <c r="R95" s="56">
        <f t="shared" si="11"/>
        <v>0</v>
      </c>
      <c r="S95" s="56">
        <f t="shared" si="11"/>
        <v>0</v>
      </c>
      <c r="T95" s="56">
        <f t="shared" si="11"/>
        <v>0</v>
      </c>
      <c r="U95" s="56">
        <f t="shared" si="11"/>
        <v>0</v>
      </c>
      <c r="V95" s="56">
        <f t="shared" si="11"/>
        <v>0</v>
      </c>
      <c r="W95" s="56">
        <f t="shared" si="11"/>
        <v>0</v>
      </c>
      <c r="X95" s="56">
        <f t="shared" si="11"/>
        <v>0</v>
      </c>
      <c r="Y95" s="56">
        <f t="shared" si="11"/>
        <v>0</v>
      </c>
      <c r="Z95" s="56">
        <f t="shared" si="11"/>
        <v>0</v>
      </c>
      <c r="AA95" s="56">
        <f t="shared" si="11"/>
        <v>0</v>
      </c>
      <c r="AB95" s="56">
        <f t="shared" si="11"/>
        <v>0</v>
      </c>
      <c r="AC95" s="56">
        <f t="shared" si="11"/>
        <v>0</v>
      </c>
      <c r="AD95" s="56">
        <f t="shared" si="11"/>
        <v>0</v>
      </c>
      <c r="AE95" s="56">
        <f t="shared" si="11"/>
        <v>0</v>
      </c>
      <c r="AF95" s="56">
        <f t="shared" si="11"/>
        <v>0</v>
      </c>
      <c r="AG95" s="56">
        <f t="shared" si="11"/>
        <v>0</v>
      </c>
      <c r="AH95" s="56">
        <f t="shared" si="11"/>
        <v>0</v>
      </c>
      <c r="AI95" s="56">
        <f t="shared" si="11"/>
        <v>0</v>
      </c>
      <c r="AJ95" s="56">
        <f t="shared" si="11"/>
        <v>0</v>
      </c>
      <c r="AK95" s="56">
        <f t="shared" si="11"/>
        <v>0</v>
      </c>
      <c r="AL95" s="56">
        <f t="shared" si="11"/>
        <v>0</v>
      </c>
      <c r="AM95" s="56">
        <f t="shared" si="11"/>
        <v>0</v>
      </c>
      <c r="AN95" s="56">
        <f t="shared" si="11"/>
        <v>0</v>
      </c>
      <c r="AO95" s="56">
        <f t="shared" si="11"/>
        <v>0</v>
      </c>
      <c r="AP95" s="29"/>
    </row>
    <row r="96" spans="1:42" outlineLevel="1" x14ac:dyDescent="0.25">
      <c r="A96" s="54"/>
      <c r="B96" s="13"/>
      <c r="C96" s="14" t="s">
        <v>220</v>
      </c>
      <c r="D96" s="14"/>
      <c r="E96" s="70" t="s">
        <v>474</v>
      </c>
      <c r="F96" s="200">
        <f>Data!$E$37/1000</f>
        <v>371.00188764044947</v>
      </c>
      <c r="G96" s="231">
        <f t="shared" si="8"/>
        <v>0</v>
      </c>
      <c r="H96" s="63">
        <f>G96/G100</f>
        <v>0</v>
      </c>
      <c r="I96" s="56">
        <f>I$88*$F96</f>
        <v>0</v>
      </c>
      <c r="J96" s="56">
        <f>J$88*$F96</f>
        <v>0</v>
      </c>
      <c r="K96" s="56">
        <f t="shared" ref="K96:AO96" si="12">K$88*$F96</f>
        <v>0</v>
      </c>
      <c r="L96" s="56">
        <f t="shared" si="12"/>
        <v>0</v>
      </c>
      <c r="M96" s="56">
        <f t="shared" si="12"/>
        <v>0</v>
      </c>
      <c r="N96" s="56">
        <f t="shared" si="12"/>
        <v>0</v>
      </c>
      <c r="O96" s="56">
        <f t="shared" si="12"/>
        <v>0</v>
      </c>
      <c r="P96" s="56">
        <f t="shared" si="12"/>
        <v>0</v>
      </c>
      <c r="Q96" s="56">
        <f t="shared" si="12"/>
        <v>0</v>
      </c>
      <c r="R96" s="56">
        <f t="shared" si="12"/>
        <v>0</v>
      </c>
      <c r="S96" s="56">
        <f t="shared" si="12"/>
        <v>0</v>
      </c>
      <c r="T96" s="56">
        <f t="shared" si="12"/>
        <v>0</v>
      </c>
      <c r="U96" s="56">
        <f t="shared" si="12"/>
        <v>0</v>
      </c>
      <c r="V96" s="56">
        <f t="shared" si="12"/>
        <v>0</v>
      </c>
      <c r="W96" s="56">
        <f t="shared" si="12"/>
        <v>0</v>
      </c>
      <c r="X96" s="56">
        <f t="shared" si="12"/>
        <v>0</v>
      </c>
      <c r="Y96" s="56">
        <f t="shared" si="12"/>
        <v>0</v>
      </c>
      <c r="Z96" s="56">
        <f t="shared" si="12"/>
        <v>0</v>
      </c>
      <c r="AA96" s="56">
        <f t="shared" si="12"/>
        <v>0</v>
      </c>
      <c r="AB96" s="56">
        <f t="shared" si="12"/>
        <v>0</v>
      </c>
      <c r="AC96" s="56">
        <f t="shared" si="12"/>
        <v>0</v>
      </c>
      <c r="AD96" s="56">
        <f t="shared" si="12"/>
        <v>0</v>
      </c>
      <c r="AE96" s="56">
        <f t="shared" si="12"/>
        <v>0</v>
      </c>
      <c r="AF96" s="56">
        <f t="shared" si="12"/>
        <v>0</v>
      </c>
      <c r="AG96" s="56">
        <f t="shared" si="12"/>
        <v>0</v>
      </c>
      <c r="AH96" s="56">
        <f t="shared" si="12"/>
        <v>0</v>
      </c>
      <c r="AI96" s="56">
        <f t="shared" si="12"/>
        <v>0</v>
      </c>
      <c r="AJ96" s="56">
        <f t="shared" si="12"/>
        <v>0</v>
      </c>
      <c r="AK96" s="56">
        <f t="shared" si="12"/>
        <v>0</v>
      </c>
      <c r="AL96" s="56">
        <f t="shared" si="12"/>
        <v>0</v>
      </c>
      <c r="AM96" s="56">
        <f t="shared" si="12"/>
        <v>0</v>
      </c>
      <c r="AN96" s="56">
        <f t="shared" si="12"/>
        <v>0</v>
      </c>
      <c r="AO96" s="56">
        <f t="shared" si="12"/>
        <v>0</v>
      </c>
      <c r="AP96" s="29"/>
    </row>
    <row r="97" spans="1:42" outlineLevel="1" x14ac:dyDescent="0.25">
      <c r="A97" s="54"/>
      <c r="B97" s="13"/>
      <c r="C97" s="14" t="s">
        <v>212</v>
      </c>
      <c r="D97" s="14"/>
      <c r="E97" s="70" t="s">
        <v>474</v>
      </c>
      <c r="F97" s="200">
        <f>Data!$E$39/1000</f>
        <v>0</v>
      </c>
      <c r="G97" s="231">
        <f t="shared" si="8"/>
        <v>0</v>
      </c>
      <c r="H97" s="56"/>
      <c r="I97" s="56">
        <f>I$89*$F97</f>
        <v>0</v>
      </c>
      <c r="J97" s="56">
        <f>J$89*$F97</f>
        <v>0</v>
      </c>
      <c r="K97" s="56">
        <f t="shared" ref="K97:AO97" si="13">K$89*$F97</f>
        <v>0</v>
      </c>
      <c r="L97" s="56">
        <f t="shared" si="13"/>
        <v>0</v>
      </c>
      <c r="M97" s="56">
        <f t="shared" si="13"/>
        <v>0</v>
      </c>
      <c r="N97" s="56">
        <f t="shared" si="13"/>
        <v>0</v>
      </c>
      <c r="O97" s="56">
        <f t="shared" si="13"/>
        <v>0</v>
      </c>
      <c r="P97" s="56">
        <f t="shared" si="13"/>
        <v>0</v>
      </c>
      <c r="Q97" s="56">
        <f t="shared" si="13"/>
        <v>0</v>
      </c>
      <c r="R97" s="56">
        <f t="shared" si="13"/>
        <v>0</v>
      </c>
      <c r="S97" s="56">
        <f t="shared" si="13"/>
        <v>0</v>
      </c>
      <c r="T97" s="56">
        <f t="shared" si="13"/>
        <v>0</v>
      </c>
      <c r="U97" s="56">
        <f t="shared" si="13"/>
        <v>0</v>
      </c>
      <c r="V97" s="56">
        <f t="shared" si="13"/>
        <v>0</v>
      </c>
      <c r="W97" s="56">
        <f t="shared" si="13"/>
        <v>0</v>
      </c>
      <c r="X97" s="56">
        <f t="shared" si="13"/>
        <v>0</v>
      </c>
      <c r="Y97" s="56">
        <f t="shared" si="13"/>
        <v>0</v>
      </c>
      <c r="Z97" s="56">
        <f t="shared" si="13"/>
        <v>0</v>
      </c>
      <c r="AA97" s="56">
        <f t="shared" si="13"/>
        <v>0</v>
      </c>
      <c r="AB97" s="56">
        <f t="shared" si="13"/>
        <v>0</v>
      </c>
      <c r="AC97" s="56">
        <f t="shared" si="13"/>
        <v>0</v>
      </c>
      <c r="AD97" s="56">
        <f t="shared" si="13"/>
        <v>0</v>
      </c>
      <c r="AE97" s="56">
        <f t="shared" si="13"/>
        <v>0</v>
      </c>
      <c r="AF97" s="56">
        <f t="shared" si="13"/>
        <v>0</v>
      </c>
      <c r="AG97" s="56">
        <f t="shared" si="13"/>
        <v>0</v>
      </c>
      <c r="AH97" s="56">
        <f t="shared" si="13"/>
        <v>0</v>
      </c>
      <c r="AI97" s="56">
        <f t="shared" si="13"/>
        <v>0</v>
      </c>
      <c r="AJ97" s="56">
        <f t="shared" si="13"/>
        <v>0</v>
      </c>
      <c r="AK97" s="56">
        <f t="shared" si="13"/>
        <v>0</v>
      </c>
      <c r="AL97" s="56">
        <f t="shared" si="13"/>
        <v>0</v>
      </c>
      <c r="AM97" s="56">
        <f t="shared" si="13"/>
        <v>0</v>
      </c>
      <c r="AN97" s="56">
        <f t="shared" si="13"/>
        <v>0</v>
      </c>
      <c r="AO97" s="56">
        <f t="shared" si="13"/>
        <v>0</v>
      </c>
      <c r="AP97" s="29"/>
    </row>
    <row r="98" spans="1:42" outlineLevel="1" x14ac:dyDescent="0.25">
      <c r="A98" s="54"/>
      <c r="B98" s="13"/>
      <c r="C98" s="14" t="s">
        <v>485</v>
      </c>
      <c r="D98" s="14"/>
      <c r="E98" s="70" t="s">
        <v>474</v>
      </c>
      <c r="F98" s="200">
        <f>Data!$E$40/1000</f>
        <v>605.20914606741576</v>
      </c>
      <c r="G98" s="231">
        <f t="shared" si="8"/>
        <v>0</v>
      </c>
      <c r="H98" s="56"/>
      <c r="I98" s="56">
        <f>I$90*$F98</f>
        <v>0</v>
      </c>
      <c r="J98" s="56">
        <f>J$90*$F98</f>
        <v>0</v>
      </c>
      <c r="K98" s="56">
        <f t="shared" ref="K98:AO98" si="14">K$90*$F98</f>
        <v>0</v>
      </c>
      <c r="L98" s="56">
        <f t="shared" si="14"/>
        <v>0</v>
      </c>
      <c r="M98" s="56">
        <f t="shared" si="14"/>
        <v>0</v>
      </c>
      <c r="N98" s="56">
        <f t="shared" si="14"/>
        <v>0</v>
      </c>
      <c r="O98" s="56">
        <f t="shared" si="14"/>
        <v>0</v>
      </c>
      <c r="P98" s="56">
        <f t="shared" si="14"/>
        <v>0</v>
      </c>
      <c r="Q98" s="56">
        <f t="shared" si="14"/>
        <v>0</v>
      </c>
      <c r="R98" s="56">
        <f t="shared" si="14"/>
        <v>0</v>
      </c>
      <c r="S98" s="56">
        <f t="shared" si="14"/>
        <v>0</v>
      </c>
      <c r="T98" s="56">
        <f t="shared" si="14"/>
        <v>0</v>
      </c>
      <c r="U98" s="56">
        <f t="shared" si="14"/>
        <v>0</v>
      </c>
      <c r="V98" s="56">
        <f t="shared" si="14"/>
        <v>0</v>
      </c>
      <c r="W98" s="56">
        <f t="shared" si="14"/>
        <v>0</v>
      </c>
      <c r="X98" s="56">
        <f t="shared" si="14"/>
        <v>0</v>
      </c>
      <c r="Y98" s="56">
        <f t="shared" si="14"/>
        <v>0</v>
      </c>
      <c r="Z98" s="56">
        <f t="shared" si="14"/>
        <v>0</v>
      </c>
      <c r="AA98" s="56">
        <f t="shared" si="14"/>
        <v>0</v>
      </c>
      <c r="AB98" s="56">
        <f t="shared" si="14"/>
        <v>0</v>
      </c>
      <c r="AC98" s="56">
        <f t="shared" si="14"/>
        <v>0</v>
      </c>
      <c r="AD98" s="56">
        <f t="shared" si="14"/>
        <v>0</v>
      </c>
      <c r="AE98" s="56">
        <f t="shared" si="14"/>
        <v>0</v>
      </c>
      <c r="AF98" s="56">
        <f t="shared" si="14"/>
        <v>0</v>
      </c>
      <c r="AG98" s="56">
        <f t="shared" si="14"/>
        <v>0</v>
      </c>
      <c r="AH98" s="56">
        <f t="shared" si="14"/>
        <v>0</v>
      </c>
      <c r="AI98" s="56">
        <f t="shared" si="14"/>
        <v>0</v>
      </c>
      <c r="AJ98" s="56">
        <f t="shared" si="14"/>
        <v>0</v>
      </c>
      <c r="AK98" s="56">
        <f t="shared" si="14"/>
        <v>0</v>
      </c>
      <c r="AL98" s="56">
        <f t="shared" si="14"/>
        <v>0</v>
      </c>
      <c r="AM98" s="56">
        <f t="shared" si="14"/>
        <v>0</v>
      </c>
      <c r="AN98" s="56">
        <f t="shared" si="14"/>
        <v>0</v>
      </c>
      <c r="AO98" s="56">
        <f t="shared" si="14"/>
        <v>0</v>
      </c>
      <c r="AP98" s="29"/>
    </row>
    <row r="99" spans="1:42" outlineLevel="1" x14ac:dyDescent="0.25">
      <c r="A99" s="54"/>
      <c r="B99" s="13"/>
      <c r="C99" s="14" t="s">
        <v>214</v>
      </c>
      <c r="D99" s="14"/>
      <c r="E99" s="70" t="s">
        <v>474</v>
      </c>
      <c r="F99" s="200">
        <f>Data!$E$41/1000</f>
        <v>0</v>
      </c>
      <c r="G99" s="231">
        <f>SUM(I99:AO99)</f>
        <v>0</v>
      </c>
      <c r="H99" s="56"/>
      <c r="I99" s="56">
        <f>I$91*$F99</f>
        <v>0</v>
      </c>
      <c r="J99" s="56">
        <f>J$91*$F99</f>
        <v>0</v>
      </c>
      <c r="K99" s="56">
        <f t="shared" ref="K99:AO99" si="15">K$91*$F99</f>
        <v>0</v>
      </c>
      <c r="L99" s="56">
        <f t="shared" si="15"/>
        <v>0</v>
      </c>
      <c r="M99" s="56">
        <f t="shared" si="15"/>
        <v>0</v>
      </c>
      <c r="N99" s="56">
        <f t="shared" si="15"/>
        <v>0</v>
      </c>
      <c r="O99" s="56">
        <f t="shared" si="15"/>
        <v>0</v>
      </c>
      <c r="P99" s="56">
        <f t="shared" si="15"/>
        <v>0</v>
      </c>
      <c r="Q99" s="56">
        <f t="shared" si="15"/>
        <v>0</v>
      </c>
      <c r="R99" s="56">
        <f t="shared" si="15"/>
        <v>0</v>
      </c>
      <c r="S99" s="56">
        <f t="shared" si="15"/>
        <v>0</v>
      </c>
      <c r="T99" s="56">
        <f t="shared" si="15"/>
        <v>0</v>
      </c>
      <c r="U99" s="56">
        <f t="shared" si="15"/>
        <v>0</v>
      </c>
      <c r="V99" s="56">
        <f t="shared" si="15"/>
        <v>0</v>
      </c>
      <c r="W99" s="56">
        <f t="shared" si="15"/>
        <v>0</v>
      </c>
      <c r="X99" s="56">
        <f t="shared" si="15"/>
        <v>0</v>
      </c>
      <c r="Y99" s="56">
        <f t="shared" si="15"/>
        <v>0</v>
      </c>
      <c r="Z99" s="56">
        <f t="shared" si="15"/>
        <v>0</v>
      </c>
      <c r="AA99" s="56">
        <f t="shared" si="15"/>
        <v>0</v>
      </c>
      <c r="AB99" s="56">
        <f t="shared" si="15"/>
        <v>0</v>
      </c>
      <c r="AC99" s="56">
        <f t="shared" si="15"/>
        <v>0</v>
      </c>
      <c r="AD99" s="56">
        <f t="shared" si="15"/>
        <v>0</v>
      </c>
      <c r="AE99" s="56">
        <f t="shared" si="15"/>
        <v>0</v>
      </c>
      <c r="AF99" s="56">
        <f t="shared" si="15"/>
        <v>0</v>
      </c>
      <c r="AG99" s="56">
        <f t="shared" si="15"/>
        <v>0</v>
      </c>
      <c r="AH99" s="56">
        <f t="shared" si="15"/>
        <v>0</v>
      </c>
      <c r="AI99" s="56">
        <f t="shared" si="15"/>
        <v>0</v>
      </c>
      <c r="AJ99" s="56">
        <f t="shared" si="15"/>
        <v>0</v>
      </c>
      <c r="AK99" s="56">
        <f t="shared" si="15"/>
        <v>0</v>
      </c>
      <c r="AL99" s="56">
        <f t="shared" si="15"/>
        <v>0</v>
      </c>
      <c r="AM99" s="56">
        <f t="shared" si="15"/>
        <v>0</v>
      </c>
      <c r="AN99" s="56">
        <f t="shared" si="15"/>
        <v>0</v>
      </c>
      <c r="AO99" s="56">
        <f t="shared" si="15"/>
        <v>0</v>
      </c>
      <c r="AP99" s="29"/>
    </row>
    <row r="100" spans="1:42" outlineLevel="1" x14ac:dyDescent="0.25">
      <c r="A100" s="12"/>
      <c r="B100" s="13"/>
      <c r="C100" s="20" t="s">
        <v>486</v>
      </c>
      <c r="D100" s="14"/>
      <c r="E100" s="70" t="s">
        <v>474</v>
      </c>
      <c r="F100" s="16"/>
      <c r="G100" s="231">
        <f>SUM(I100:AO100)</f>
        <v>26170.882445216645</v>
      </c>
      <c r="H100" s="185"/>
      <c r="I100" s="185">
        <f>SUM(I93:I99)</f>
        <v>1449.7861777190258</v>
      </c>
      <c r="J100" s="185">
        <f>SUM(J93:J99)</f>
        <v>1599.2486702673791</v>
      </c>
      <c r="K100" s="185">
        <f t="shared" ref="K100:AB100" si="16">SUM(K93:K99)</f>
        <v>1733.764913560897</v>
      </c>
      <c r="L100" s="185">
        <f t="shared" si="16"/>
        <v>1883.2274061092501</v>
      </c>
      <c r="M100" s="185">
        <f t="shared" si="16"/>
        <v>2032.6898986576032</v>
      </c>
      <c r="N100" s="185">
        <f t="shared" si="16"/>
        <v>2182.1523912059565</v>
      </c>
      <c r="O100" s="185">
        <f t="shared" si="16"/>
        <v>2316.6686344994746</v>
      </c>
      <c r="P100" s="185">
        <f t="shared" si="16"/>
        <v>2406.3461300284862</v>
      </c>
      <c r="Q100" s="185">
        <f t="shared" si="16"/>
        <v>2496.0236255574982</v>
      </c>
      <c r="R100" s="185">
        <f t="shared" si="16"/>
        <v>2600.6473703413453</v>
      </c>
      <c r="S100" s="185">
        <f t="shared" si="16"/>
        <v>2690.3248658703574</v>
      </c>
      <c r="T100" s="185">
        <f t="shared" si="16"/>
        <v>2780.0023613993694</v>
      </c>
      <c r="U100" s="185">
        <f t="shared" si="16"/>
        <v>0</v>
      </c>
      <c r="V100" s="185">
        <f t="shared" si="16"/>
        <v>0</v>
      </c>
      <c r="W100" s="185">
        <f t="shared" si="16"/>
        <v>0</v>
      </c>
      <c r="X100" s="185">
        <f t="shared" si="16"/>
        <v>0</v>
      </c>
      <c r="Y100" s="185">
        <f t="shared" si="16"/>
        <v>0</v>
      </c>
      <c r="Z100" s="185">
        <f t="shared" si="16"/>
        <v>0</v>
      </c>
      <c r="AA100" s="185">
        <f t="shared" si="16"/>
        <v>0</v>
      </c>
      <c r="AB100" s="185">
        <f t="shared" si="16"/>
        <v>0</v>
      </c>
      <c r="AC100" s="185">
        <f t="shared" ref="AC100:AO100" si="17">SUM(AC93:AC99)</f>
        <v>0</v>
      </c>
      <c r="AD100" s="185">
        <f t="shared" si="17"/>
        <v>0</v>
      </c>
      <c r="AE100" s="185">
        <f t="shared" si="17"/>
        <v>0</v>
      </c>
      <c r="AF100" s="185">
        <f t="shared" si="17"/>
        <v>0</v>
      </c>
      <c r="AG100" s="185">
        <f t="shared" si="17"/>
        <v>0</v>
      </c>
      <c r="AH100" s="185">
        <f t="shared" si="17"/>
        <v>0</v>
      </c>
      <c r="AI100" s="185">
        <f t="shared" si="17"/>
        <v>0</v>
      </c>
      <c r="AJ100" s="185">
        <f t="shared" si="17"/>
        <v>0</v>
      </c>
      <c r="AK100" s="185">
        <f t="shared" si="17"/>
        <v>0</v>
      </c>
      <c r="AL100" s="185">
        <f t="shared" si="17"/>
        <v>0</v>
      </c>
      <c r="AM100" s="185">
        <f t="shared" si="17"/>
        <v>0</v>
      </c>
      <c r="AN100" s="185">
        <f t="shared" si="17"/>
        <v>0</v>
      </c>
      <c r="AO100" s="185">
        <f t="shared" si="17"/>
        <v>0</v>
      </c>
      <c r="AP100" s="14"/>
    </row>
    <row r="101" spans="1:42" outlineLevel="1" x14ac:dyDescent="0.25">
      <c r="A101" s="12"/>
      <c r="B101" s="13"/>
      <c r="C101" s="14"/>
      <c r="D101" s="14"/>
      <c r="E101" s="15"/>
      <c r="F101" s="16"/>
      <c r="G101" s="159"/>
      <c r="H101" s="159"/>
      <c r="I101" s="159"/>
      <c r="J101" s="159"/>
      <c r="K101" s="159"/>
      <c r="L101" s="159"/>
      <c r="M101" s="159"/>
      <c r="N101" s="159"/>
      <c r="O101" s="159"/>
      <c r="P101" s="159"/>
      <c r="Q101" s="159"/>
      <c r="R101" s="159"/>
      <c r="S101" s="159"/>
      <c r="T101" s="159"/>
      <c r="U101" s="159"/>
      <c r="V101" s="159"/>
      <c r="W101" s="159"/>
      <c r="X101" s="14"/>
      <c r="Y101" s="14"/>
      <c r="Z101" s="14"/>
      <c r="AA101" s="14"/>
      <c r="AB101" s="14"/>
      <c r="AC101" s="14"/>
      <c r="AD101" s="14"/>
      <c r="AE101" s="14"/>
      <c r="AF101" s="14"/>
      <c r="AG101" s="14"/>
      <c r="AH101" s="14"/>
      <c r="AI101" s="14"/>
      <c r="AJ101" s="14"/>
      <c r="AK101" s="14"/>
      <c r="AL101" s="14"/>
      <c r="AM101" s="14"/>
      <c r="AN101" s="14"/>
      <c r="AO101" s="14"/>
      <c r="AP101" s="14"/>
    </row>
    <row r="102" spans="1:42" outlineLevel="1" x14ac:dyDescent="0.25">
      <c r="A102" s="12"/>
      <c r="B102" s="13"/>
      <c r="C102" s="14" t="s">
        <v>523</v>
      </c>
      <c r="D102" s="14"/>
      <c r="E102" s="15" t="s">
        <v>474</v>
      </c>
      <c r="F102" s="48"/>
      <c r="G102" s="185"/>
      <c r="H102" s="185"/>
      <c r="I102" s="185">
        <f>I100*Data!H$9</f>
        <v>1394.0251708836786</v>
      </c>
      <c r="J102" s="185">
        <f>J100*Data!I$9</f>
        <v>1478.5952942560825</v>
      </c>
      <c r="K102" s="185">
        <f>K100*Data!J$9</f>
        <v>1541.3106949470309</v>
      </c>
      <c r="L102" s="185">
        <f>L100*Data!K$9</f>
        <v>1609.7906794042262</v>
      </c>
      <c r="M102" s="185">
        <f>M100*Data!L$9</f>
        <v>1670.7229273426033</v>
      </c>
      <c r="N102" s="185">
        <f>N100*Data!M$9</f>
        <v>1724.586732126839</v>
      </c>
      <c r="O102" s="185">
        <f>O100*Data!N$9</f>
        <v>1760.4777626426508</v>
      </c>
      <c r="P102" s="185">
        <f>P100*Data!O$9</f>
        <v>1758.293547056245</v>
      </c>
      <c r="Q102" s="185">
        <f>Q100*Data!P$9</f>
        <v>1753.6730910080796</v>
      </c>
      <c r="R102" s="185">
        <f>R100*Data!Q$9</f>
        <v>1756.9041791536495</v>
      </c>
      <c r="S102" s="185">
        <f>S100*Data!R$9</f>
        <v>1747.5837325798905</v>
      </c>
      <c r="T102" s="185">
        <f>T100*Data!S$9</f>
        <v>1736.3812727556601</v>
      </c>
      <c r="U102" s="185">
        <f>U100*Data!T$9</f>
        <v>0</v>
      </c>
      <c r="V102" s="185">
        <f>V100*Data!U$9</f>
        <v>0</v>
      </c>
      <c r="W102" s="185">
        <f>W100*Data!V$9</f>
        <v>0</v>
      </c>
      <c r="X102" s="185">
        <f>X100*Data!W$9</f>
        <v>0</v>
      </c>
      <c r="Y102" s="185">
        <f>Y100*Data!X$9</f>
        <v>0</v>
      </c>
      <c r="Z102" s="185">
        <f>Z100*Data!Y$9</f>
        <v>0</v>
      </c>
      <c r="AA102" s="185">
        <f>AA100*Data!Z$9</f>
        <v>0</v>
      </c>
      <c r="AB102" s="185">
        <f>AB100*Data!AA$9</f>
        <v>0</v>
      </c>
      <c r="AC102" s="185">
        <f>AC100*Data!AB$9</f>
        <v>0</v>
      </c>
      <c r="AD102" s="185">
        <f>AD100*Data!AC$9</f>
        <v>0</v>
      </c>
      <c r="AE102" s="185">
        <f>AE100*Data!AD$9</f>
        <v>0</v>
      </c>
      <c r="AF102" s="185">
        <f>AF100*Data!AE$9</f>
        <v>0</v>
      </c>
      <c r="AG102" s="185">
        <f>AG100*Data!AF$9</f>
        <v>0</v>
      </c>
      <c r="AH102" s="185">
        <f>AH100*Data!AG$9</f>
        <v>0</v>
      </c>
      <c r="AI102" s="185">
        <f>AI100*Data!AH$9</f>
        <v>0</v>
      </c>
      <c r="AJ102" s="185">
        <f>AJ100*Data!AI$9</f>
        <v>0</v>
      </c>
      <c r="AK102" s="185">
        <f>AK100*Data!AJ$9</f>
        <v>0</v>
      </c>
      <c r="AL102" s="185">
        <f>AL100*Data!AK$9</f>
        <v>0</v>
      </c>
      <c r="AM102" s="185">
        <f>AM100*Data!AL$9</f>
        <v>0</v>
      </c>
      <c r="AN102" s="185">
        <f>AN100*Data!AM$9</f>
        <v>0</v>
      </c>
      <c r="AO102" s="185">
        <f>AO100*Data!AN$9</f>
        <v>0</v>
      </c>
      <c r="AP102" s="14"/>
    </row>
    <row r="103" spans="1:42" outlineLevel="1" x14ac:dyDescent="0.25">
      <c r="A103" s="12"/>
      <c r="B103" s="13"/>
      <c r="C103" s="14" t="s">
        <v>489</v>
      </c>
      <c r="D103" s="13"/>
      <c r="E103" s="15" t="s">
        <v>142</v>
      </c>
      <c r="F103" s="16"/>
      <c r="G103" s="159">
        <f>SUM(H102:AO102)</f>
        <v>19932.345084156637</v>
      </c>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row>
    <row r="104" spans="1:42" outlineLevel="1" x14ac:dyDescent="0.25">
      <c r="A104" s="12"/>
      <c r="B104" s="13"/>
      <c r="C104" s="41" t="s">
        <v>62</v>
      </c>
      <c r="D104" s="41"/>
      <c r="E104" s="15" t="s">
        <v>261</v>
      </c>
      <c r="F104" s="16"/>
      <c r="G104" s="184">
        <f>G103/(SUM(H83:AO83))</f>
        <v>1.7746033728771936E-2</v>
      </c>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7"/>
    </row>
    <row r="105" spans="1:42" outlineLevel="1" x14ac:dyDescent="0.25">
      <c r="A105" s="12"/>
      <c r="B105" s="13"/>
      <c r="C105" s="41"/>
      <c r="D105" s="41"/>
      <c r="E105" s="15"/>
      <c r="F105" s="16"/>
      <c r="G105" s="18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7"/>
    </row>
    <row r="106" spans="1:42" outlineLevel="1" x14ac:dyDescent="0.25">
      <c r="A106" s="12"/>
      <c r="B106" s="13"/>
      <c r="C106" s="37" t="s">
        <v>551</v>
      </c>
      <c r="D106" s="37"/>
      <c r="E106" s="38"/>
      <c r="F106" s="39"/>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17"/>
    </row>
    <row r="107" spans="1:42" outlineLevel="1" x14ac:dyDescent="0.25">
      <c r="A107" s="12"/>
      <c r="B107" s="13"/>
      <c r="C107" s="14"/>
      <c r="D107" s="14"/>
      <c r="E107" s="15"/>
      <c r="F107" s="16"/>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7"/>
    </row>
    <row r="108" spans="1:42" outlineLevel="1" x14ac:dyDescent="0.25">
      <c r="A108" s="12"/>
      <c r="B108" s="13"/>
      <c r="C108" s="20" t="s">
        <v>252</v>
      </c>
      <c r="D108" s="14"/>
      <c r="E108" s="15"/>
      <c r="F108" s="16"/>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row>
    <row r="109" spans="1:42" outlineLevel="1" x14ac:dyDescent="0.25">
      <c r="A109" s="12"/>
      <c r="B109" s="13"/>
      <c r="C109" t="s">
        <v>520</v>
      </c>
      <c r="D109" s="14"/>
      <c r="E109" s="15" t="s">
        <v>521</v>
      </c>
      <c r="F109" s="16"/>
      <c r="G109" s="14"/>
      <c r="H109" s="141"/>
      <c r="I109" s="141">
        <f>I$13</f>
        <v>93600</v>
      </c>
      <c r="J109" s="141">
        <f t="shared" ref="J109:AO109" si="18">J$13</f>
        <v>93600</v>
      </c>
      <c r="K109" s="141">
        <f t="shared" si="18"/>
        <v>93600</v>
      </c>
      <c r="L109" s="141">
        <f t="shared" si="18"/>
        <v>93600</v>
      </c>
      <c r="M109" s="141">
        <f t="shared" si="18"/>
        <v>93600</v>
      </c>
      <c r="N109" s="141">
        <f t="shared" si="18"/>
        <v>93600</v>
      </c>
      <c r="O109" s="141">
        <f t="shared" si="18"/>
        <v>93600</v>
      </c>
      <c r="P109" s="141">
        <f t="shared" si="18"/>
        <v>93600</v>
      </c>
      <c r="Q109" s="141">
        <f t="shared" si="18"/>
        <v>93600</v>
      </c>
      <c r="R109" s="141">
        <f t="shared" si="18"/>
        <v>93600</v>
      </c>
      <c r="S109" s="141">
        <f t="shared" si="18"/>
        <v>93600</v>
      </c>
      <c r="T109" s="141">
        <f t="shared" si="18"/>
        <v>93600</v>
      </c>
      <c r="U109" s="141">
        <f t="shared" si="18"/>
        <v>0</v>
      </c>
      <c r="V109" s="141">
        <f t="shared" si="18"/>
        <v>0</v>
      </c>
      <c r="W109" s="141">
        <f t="shared" si="18"/>
        <v>0</v>
      </c>
      <c r="X109" s="141">
        <f t="shared" si="18"/>
        <v>0</v>
      </c>
      <c r="Y109" s="141">
        <f t="shared" si="18"/>
        <v>0</v>
      </c>
      <c r="Z109" s="141">
        <f t="shared" si="18"/>
        <v>0</v>
      </c>
      <c r="AA109" s="141">
        <f t="shared" si="18"/>
        <v>0</v>
      </c>
      <c r="AB109" s="141">
        <f t="shared" si="18"/>
        <v>0</v>
      </c>
      <c r="AC109" s="141">
        <f t="shared" si="18"/>
        <v>0</v>
      </c>
      <c r="AD109" s="141">
        <f t="shared" si="18"/>
        <v>0</v>
      </c>
      <c r="AE109" s="141">
        <f t="shared" si="18"/>
        <v>0</v>
      </c>
      <c r="AF109" s="141">
        <f t="shared" si="18"/>
        <v>0</v>
      </c>
      <c r="AG109" s="141">
        <f t="shared" si="18"/>
        <v>0</v>
      </c>
      <c r="AH109" s="141">
        <f t="shared" si="18"/>
        <v>0</v>
      </c>
      <c r="AI109" s="141">
        <f t="shared" si="18"/>
        <v>0</v>
      </c>
      <c r="AJ109" s="141">
        <f t="shared" si="18"/>
        <v>0</v>
      </c>
      <c r="AK109" s="141">
        <f t="shared" si="18"/>
        <v>0</v>
      </c>
      <c r="AL109" s="141">
        <f t="shared" si="18"/>
        <v>0</v>
      </c>
      <c r="AM109" s="141">
        <f t="shared" si="18"/>
        <v>0</v>
      </c>
      <c r="AN109" s="141">
        <f t="shared" si="18"/>
        <v>0</v>
      </c>
      <c r="AO109" s="141">
        <f t="shared" si="18"/>
        <v>0</v>
      </c>
      <c r="AP109" s="14"/>
    </row>
    <row r="110" spans="1:42" outlineLevel="1" x14ac:dyDescent="0.25">
      <c r="A110" s="12"/>
      <c r="B110" s="13"/>
      <c r="C110" s="14" t="s">
        <v>535</v>
      </c>
      <c r="D110" s="14"/>
      <c r="E110" s="15"/>
      <c r="F110" s="16"/>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4"/>
      <c r="AH110" s="14"/>
      <c r="AI110" s="14"/>
      <c r="AJ110" s="14"/>
      <c r="AK110" s="14"/>
      <c r="AL110" s="14"/>
      <c r="AM110" s="14"/>
      <c r="AN110" s="14"/>
      <c r="AO110" s="14"/>
      <c r="AP110" s="14"/>
    </row>
    <row r="111" spans="1:42" ht="14.25" customHeight="1" outlineLevel="1" x14ac:dyDescent="0.25">
      <c r="A111" s="12"/>
      <c r="B111" s="13"/>
      <c r="C111" s="14" t="s">
        <v>205</v>
      </c>
      <c r="D111" s="14"/>
      <c r="E111" s="70" t="s">
        <v>352</v>
      </c>
      <c r="F111" s="201">
        <f>Data!E413/1000</f>
        <v>4.0583752780418599E-3</v>
      </c>
      <c r="G111" s="56"/>
      <c r="H111" s="56"/>
      <c r="I111" s="56">
        <f>I$109*$F111</f>
        <v>379.86392602471807</v>
      </c>
      <c r="J111" s="56">
        <f t="shared" ref="J111:AP117" si="19">J$109*$F111</f>
        <v>379.86392602471807</v>
      </c>
      <c r="K111" s="56">
        <f>K$109*$F111</f>
        <v>379.86392602471807</v>
      </c>
      <c r="L111" s="56">
        <f t="shared" si="19"/>
        <v>379.86392602471807</v>
      </c>
      <c r="M111" s="56">
        <f t="shared" si="19"/>
        <v>379.86392602471807</v>
      </c>
      <c r="N111" s="56">
        <f t="shared" si="19"/>
        <v>379.86392602471807</v>
      </c>
      <c r="O111" s="56">
        <f t="shared" si="19"/>
        <v>379.86392602471807</v>
      </c>
      <c r="P111" s="56">
        <f t="shared" si="19"/>
        <v>379.86392602471807</v>
      </c>
      <c r="Q111" s="56">
        <f t="shared" si="19"/>
        <v>379.86392602471807</v>
      </c>
      <c r="R111" s="56">
        <f t="shared" si="19"/>
        <v>379.86392602471807</v>
      </c>
      <c r="S111" s="56">
        <f t="shared" si="19"/>
        <v>379.86392602471807</v>
      </c>
      <c r="T111" s="56">
        <f t="shared" si="19"/>
        <v>379.86392602471807</v>
      </c>
      <c r="U111" s="56">
        <f t="shared" si="19"/>
        <v>0</v>
      </c>
      <c r="V111" s="56">
        <f t="shared" si="19"/>
        <v>0</v>
      </c>
      <c r="W111" s="56">
        <f t="shared" si="19"/>
        <v>0</v>
      </c>
      <c r="X111" s="56">
        <f t="shared" si="19"/>
        <v>0</v>
      </c>
      <c r="Y111" s="56">
        <f t="shared" si="19"/>
        <v>0</v>
      </c>
      <c r="Z111" s="56">
        <f t="shared" si="19"/>
        <v>0</v>
      </c>
      <c r="AA111" s="56">
        <f t="shared" si="19"/>
        <v>0</v>
      </c>
      <c r="AB111" s="56">
        <f t="shared" si="19"/>
        <v>0</v>
      </c>
      <c r="AC111" s="56">
        <f t="shared" si="19"/>
        <v>0</v>
      </c>
      <c r="AD111" s="56">
        <f t="shared" si="19"/>
        <v>0</v>
      </c>
      <c r="AE111" s="56">
        <f t="shared" si="19"/>
        <v>0</v>
      </c>
      <c r="AF111" s="56">
        <f t="shared" si="19"/>
        <v>0</v>
      </c>
      <c r="AG111" s="56">
        <f t="shared" si="19"/>
        <v>0</v>
      </c>
      <c r="AH111" s="56">
        <f t="shared" si="19"/>
        <v>0</v>
      </c>
      <c r="AI111" s="56">
        <f t="shared" si="19"/>
        <v>0</v>
      </c>
      <c r="AJ111" s="56">
        <f t="shared" si="19"/>
        <v>0</v>
      </c>
      <c r="AK111" s="56">
        <f t="shared" si="19"/>
        <v>0</v>
      </c>
      <c r="AL111" s="56">
        <f t="shared" si="19"/>
        <v>0</v>
      </c>
      <c r="AM111" s="56">
        <f t="shared" si="19"/>
        <v>0</v>
      </c>
      <c r="AN111" s="56">
        <f t="shared" si="19"/>
        <v>0</v>
      </c>
      <c r="AO111" s="56">
        <f t="shared" si="19"/>
        <v>0</v>
      </c>
      <c r="AP111" s="56">
        <f t="shared" si="19"/>
        <v>0</v>
      </c>
    </row>
    <row r="112" spans="1:42" outlineLevel="1" x14ac:dyDescent="0.25">
      <c r="A112" s="12"/>
      <c r="B112" s="13"/>
      <c r="C112" s="14" t="s">
        <v>484</v>
      </c>
      <c r="D112" s="14"/>
      <c r="E112" s="70" t="s">
        <v>352</v>
      </c>
      <c r="F112" s="201">
        <f>Data!E414/1000</f>
        <v>1.0176439575523251</v>
      </c>
      <c r="G112" s="56"/>
      <c r="H112" s="56"/>
      <c r="I112" s="56">
        <f t="shared" ref="I112:X117" si="20">I$109*$F112</f>
        <v>95251.474426897621</v>
      </c>
      <c r="J112" s="56">
        <f t="shared" si="20"/>
        <v>95251.474426897621</v>
      </c>
      <c r="K112" s="56">
        <f t="shared" si="20"/>
        <v>95251.474426897621</v>
      </c>
      <c r="L112" s="56">
        <f t="shared" si="20"/>
        <v>95251.474426897621</v>
      </c>
      <c r="M112" s="56">
        <f t="shared" si="20"/>
        <v>95251.474426897621</v>
      </c>
      <c r="N112" s="56">
        <f t="shared" si="20"/>
        <v>95251.474426897621</v>
      </c>
      <c r="O112" s="56">
        <f t="shared" si="20"/>
        <v>95251.474426897621</v>
      </c>
      <c r="P112" s="56">
        <f t="shared" si="20"/>
        <v>95251.474426897621</v>
      </c>
      <c r="Q112" s="56">
        <f t="shared" si="20"/>
        <v>95251.474426897621</v>
      </c>
      <c r="R112" s="56">
        <f t="shared" si="20"/>
        <v>95251.474426897621</v>
      </c>
      <c r="S112" s="56">
        <f t="shared" si="20"/>
        <v>95251.474426897621</v>
      </c>
      <c r="T112" s="56">
        <f t="shared" si="20"/>
        <v>95251.474426897621</v>
      </c>
      <c r="U112" s="56">
        <f t="shared" si="20"/>
        <v>0</v>
      </c>
      <c r="V112" s="56">
        <f t="shared" si="20"/>
        <v>0</v>
      </c>
      <c r="W112" s="56">
        <f t="shared" si="20"/>
        <v>0</v>
      </c>
      <c r="X112" s="56">
        <f t="shared" si="20"/>
        <v>0</v>
      </c>
      <c r="Y112" s="56">
        <f t="shared" si="19"/>
        <v>0</v>
      </c>
      <c r="Z112" s="56">
        <f t="shared" si="19"/>
        <v>0</v>
      </c>
      <c r="AA112" s="56">
        <f t="shared" si="19"/>
        <v>0</v>
      </c>
      <c r="AB112" s="56">
        <f t="shared" si="19"/>
        <v>0</v>
      </c>
      <c r="AC112" s="56">
        <f t="shared" si="19"/>
        <v>0</v>
      </c>
      <c r="AD112" s="56">
        <f t="shared" si="19"/>
        <v>0</v>
      </c>
      <c r="AE112" s="56">
        <f t="shared" si="19"/>
        <v>0</v>
      </c>
      <c r="AF112" s="56">
        <f t="shared" si="19"/>
        <v>0</v>
      </c>
      <c r="AG112" s="56">
        <f t="shared" si="19"/>
        <v>0</v>
      </c>
      <c r="AH112" s="56">
        <f t="shared" si="19"/>
        <v>0</v>
      </c>
      <c r="AI112" s="56">
        <f t="shared" si="19"/>
        <v>0</v>
      </c>
      <c r="AJ112" s="56">
        <f t="shared" si="19"/>
        <v>0</v>
      </c>
      <c r="AK112" s="56">
        <f t="shared" si="19"/>
        <v>0</v>
      </c>
      <c r="AL112" s="56">
        <f t="shared" si="19"/>
        <v>0</v>
      </c>
      <c r="AM112" s="56">
        <f t="shared" si="19"/>
        <v>0</v>
      </c>
      <c r="AN112" s="56">
        <f t="shared" si="19"/>
        <v>0</v>
      </c>
      <c r="AO112" s="56">
        <f t="shared" si="19"/>
        <v>0</v>
      </c>
      <c r="AP112" s="56">
        <f t="shared" si="19"/>
        <v>0</v>
      </c>
    </row>
    <row r="113" spans="1:42" outlineLevel="1" x14ac:dyDescent="0.25">
      <c r="A113" s="12"/>
      <c r="B113" s="13"/>
      <c r="C113" s="14" t="s">
        <v>285</v>
      </c>
      <c r="D113" s="14"/>
      <c r="E113" s="70" t="s">
        <v>352</v>
      </c>
      <c r="F113" s="201">
        <f>Data!E415/1000</f>
        <v>2.8470339849987793E-4</v>
      </c>
      <c r="G113" s="56"/>
      <c r="H113" s="56"/>
      <c r="I113" s="56">
        <f t="shared" si="20"/>
        <v>26.648238099588575</v>
      </c>
      <c r="J113" s="56">
        <f t="shared" si="19"/>
        <v>26.648238099588575</v>
      </c>
      <c r="K113" s="56">
        <f t="shared" si="19"/>
        <v>26.648238099588575</v>
      </c>
      <c r="L113" s="56">
        <f t="shared" si="19"/>
        <v>26.648238099588575</v>
      </c>
      <c r="M113" s="56">
        <f t="shared" si="19"/>
        <v>26.648238099588575</v>
      </c>
      <c r="N113" s="56">
        <f t="shared" si="19"/>
        <v>26.648238099588575</v>
      </c>
      <c r="O113" s="56">
        <f t="shared" si="19"/>
        <v>26.648238099588575</v>
      </c>
      <c r="P113" s="56">
        <f t="shared" si="19"/>
        <v>26.648238099588575</v>
      </c>
      <c r="Q113" s="56">
        <f t="shared" si="19"/>
        <v>26.648238099588575</v>
      </c>
      <c r="R113" s="56">
        <f t="shared" si="19"/>
        <v>26.648238099588575</v>
      </c>
      <c r="S113" s="56">
        <f t="shared" si="19"/>
        <v>26.648238099588575</v>
      </c>
      <c r="T113" s="56">
        <f t="shared" si="19"/>
        <v>26.648238099588575</v>
      </c>
      <c r="U113" s="56">
        <f t="shared" si="19"/>
        <v>0</v>
      </c>
      <c r="V113" s="56">
        <f t="shared" si="19"/>
        <v>0</v>
      </c>
      <c r="W113" s="56">
        <f t="shared" si="19"/>
        <v>0</v>
      </c>
      <c r="X113" s="56">
        <f t="shared" si="19"/>
        <v>0</v>
      </c>
      <c r="Y113" s="56">
        <f t="shared" si="19"/>
        <v>0</v>
      </c>
      <c r="Z113" s="56">
        <f t="shared" si="19"/>
        <v>0</v>
      </c>
      <c r="AA113" s="56">
        <f t="shared" si="19"/>
        <v>0</v>
      </c>
      <c r="AB113" s="56">
        <f t="shared" si="19"/>
        <v>0</v>
      </c>
      <c r="AC113" s="56">
        <f t="shared" si="19"/>
        <v>0</v>
      </c>
      <c r="AD113" s="56">
        <f t="shared" si="19"/>
        <v>0</v>
      </c>
      <c r="AE113" s="56">
        <f t="shared" si="19"/>
        <v>0</v>
      </c>
      <c r="AF113" s="56">
        <f t="shared" si="19"/>
        <v>0</v>
      </c>
      <c r="AG113" s="56">
        <f t="shared" si="19"/>
        <v>0</v>
      </c>
      <c r="AH113" s="56">
        <f t="shared" si="19"/>
        <v>0</v>
      </c>
      <c r="AI113" s="56">
        <f t="shared" si="19"/>
        <v>0</v>
      </c>
      <c r="AJ113" s="56">
        <f t="shared" si="19"/>
        <v>0</v>
      </c>
      <c r="AK113" s="56">
        <f t="shared" si="19"/>
        <v>0</v>
      </c>
      <c r="AL113" s="56">
        <f t="shared" si="19"/>
        <v>0</v>
      </c>
      <c r="AM113" s="56">
        <f t="shared" si="19"/>
        <v>0</v>
      </c>
      <c r="AN113" s="56">
        <f t="shared" si="19"/>
        <v>0</v>
      </c>
      <c r="AO113" s="56">
        <f t="shared" si="19"/>
        <v>0</v>
      </c>
      <c r="AP113" s="56">
        <f t="shared" si="19"/>
        <v>0</v>
      </c>
    </row>
    <row r="114" spans="1:42" outlineLevel="1" x14ac:dyDescent="0.25">
      <c r="A114" s="12"/>
      <c r="B114" s="13"/>
      <c r="C114" s="14" t="s">
        <v>220</v>
      </c>
      <c r="D114" s="14"/>
      <c r="E114" s="70" t="s">
        <v>352</v>
      </c>
      <c r="F114" s="201">
        <f>Data!E416/1000</f>
        <v>1.0339278110249E-2</v>
      </c>
      <c r="G114" s="56"/>
      <c r="H114" s="56"/>
      <c r="I114" s="56">
        <f>I$109*$F114</f>
        <v>967.7564311193064</v>
      </c>
      <c r="J114" s="56">
        <f t="shared" si="19"/>
        <v>967.7564311193064</v>
      </c>
      <c r="K114" s="56">
        <f t="shared" si="19"/>
        <v>967.7564311193064</v>
      </c>
      <c r="L114" s="56">
        <f t="shared" si="19"/>
        <v>967.7564311193064</v>
      </c>
      <c r="M114" s="56">
        <f t="shared" si="19"/>
        <v>967.7564311193064</v>
      </c>
      <c r="N114" s="56">
        <f t="shared" si="19"/>
        <v>967.7564311193064</v>
      </c>
      <c r="O114" s="56">
        <f t="shared" si="19"/>
        <v>967.7564311193064</v>
      </c>
      <c r="P114" s="56">
        <f t="shared" si="19"/>
        <v>967.7564311193064</v>
      </c>
      <c r="Q114" s="56">
        <f t="shared" si="19"/>
        <v>967.7564311193064</v>
      </c>
      <c r="R114" s="56">
        <f t="shared" si="19"/>
        <v>967.7564311193064</v>
      </c>
      <c r="S114" s="56">
        <f t="shared" si="19"/>
        <v>967.7564311193064</v>
      </c>
      <c r="T114" s="56">
        <f t="shared" si="19"/>
        <v>967.7564311193064</v>
      </c>
      <c r="U114" s="56">
        <f t="shared" si="19"/>
        <v>0</v>
      </c>
      <c r="V114" s="56">
        <f t="shared" si="19"/>
        <v>0</v>
      </c>
      <c r="W114" s="56">
        <f t="shared" si="19"/>
        <v>0</v>
      </c>
      <c r="X114" s="56">
        <f t="shared" si="19"/>
        <v>0</v>
      </c>
      <c r="Y114" s="56">
        <f t="shared" si="19"/>
        <v>0</v>
      </c>
      <c r="Z114" s="56">
        <f t="shared" si="19"/>
        <v>0</v>
      </c>
      <c r="AA114" s="56">
        <f t="shared" si="19"/>
        <v>0</v>
      </c>
      <c r="AB114" s="56">
        <f t="shared" si="19"/>
        <v>0</v>
      </c>
      <c r="AC114" s="56">
        <f t="shared" si="19"/>
        <v>0</v>
      </c>
      <c r="AD114" s="56">
        <f t="shared" si="19"/>
        <v>0</v>
      </c>
      <c r="AE114" s="56">
        <f t="shared" si="19"/>
        <v>0</v>
      </c>
      <c r="AF114" s="56">
        <f t="shared" si="19"/>
        <v>0</v>
      </c>
      <c r="AG114" s="56">
        <f t="shared" si="19"/>
        <v>0</v>
      </c>
      <c r="AH114" s="56">
        <f t="shared" si="19"/>
        <v>0</v>
      </c>
      <c r="AI114" s="56">
        <f t="shared" si="19"/>
        <v>0</v>
      </c>
      <c r="AJ114" s="56">
        <f t="shared" si="19"/>
        <v>0</v>
      </c>
      <c r="AK114" s="56">
        <f t="shared" si="19"/>
        <v>0</v>
      </c>
      <c r="AL114" s="56">
        <f t="shared" si="19"/>
        <v>0</v>
      </c>
      <c r="AM114" s="56">
        <f t="shared" si="19"/>
        <v>0</v>
      </c>
      <c r="AN114" s="56">
        <f t="shared" si="19"/>
        <v>0</v>
      </c>
      <c r="AO114" s="56">
        <f t="shared" si="19"/>
        <v>0</v>
      </c>
      <c r="AP114" s="56">
        <f t="shared" si="19"/>
        <v>0</v>
      </c>
    </row>
    <row r="115" spans="1:42" outlineLevel="1" x14ac:dyDescent="0.25">
      <c r="A115" s="12"/>
      <c r="B115" s="13"/>
      <c r="C115" s="14" t="s">
        <v>212</v>
      </c>
      <c r="D115" s="14"/>
      <c r="E115" s="70" t="s">
        <v>352</v>
      </c>
      <c r="F115" s="201">
        <f>Data!E417/1000</f>
        <v>1.0831616103370489E-3</v>
      </c>
      <c r="G115" s="56"/>
      <c r="H115" s="56"/>
      <c r="I115" s="56">
        <f t="shared" si="20"/>
        <v>101.38392672754777</v>
      </c>
      <c r="J115" s="56">
        <f t="shared" si="19"/>
        <v>101.38392672754777</v>
      </c>
      <c r="K115" s="56">
        <f t="shared" si="19"/>
        <v>101.38392672754777</v>
      </c>
      <c r="L115" s="56">
        <f t="shared" si="19"/>
        <v>101.38392672754777</v>
      </c>
      <c r="M115" s="56">
        <f t="shared" si="19"/>
        <v>101.38392672754777</v>
      </c>
      <c r="N115" s="56">
        <f t="shared" si="19"/>
        <v>101.38392672754777</v>
      </c>
      <c r="O115" s="56">
        <f t="shared" si="19"/>
        <v>101.38392672754777</v>
      </c>
      <c r="P115" s="56">
        <f t="shared" si="19"/>
        <v>101.38392672754777</v>
      </c>
      <c r="Q115" s="56">
        <f t="shared" si="19"/>
        <v>101.38392672754777</v>
      </c>
      <c r="R115" s="56">
        <f t="shared" si="19"/>
        <v>101.38392672754777</v>
      </c>
      <c r="S115" s="56">
        <f t="shared" si="19"/>
        <v>101.38392672754777</v>
      </c>
      <c r="T115" s="56">
        <f t="shared" si="19"/>
        <v>101.38392672754777</v>
      </c>
      <c r="U115" s="56">
        <f t="shared" si="19"/>
        <v>0</v>
      </c>
      <c r="V115" s="56">
        <f t="shared" si="19"/>
        <v>0</v>
      </c>
      <c r="W115" s="56">
        <f t="shared" si="19"/>
        <v>0</v>
      </c>
      <c r="X115" s="56">
        <f t="shared" si="19"/>
        <v>0</v>
      </c>
      <c r="Y115" s="56">
        <f t="shared" si="19"/>
        <v>0</v>
      </c>
      <c r="Z115" s="56">
        <f t="shared" si="19"/>
        <v>0</v>
      </c>
      <c r="AA115" s="56">
        <f t="shared" si="19"/>
        <v>0</v>
      </c>
      <c r="AB115" s="56">
        <f t="shared" si="19"/>
        <v>0</v>
      </c>
      <c r="AC115" s="56">
        <f t="shared" si="19"/>
        <v>0</v>
      </c>
      <c r="AD115" s="56">
        <f t="shared" si="19"/>
        <v>0</v>
      </c>
      <c r="AE115" s="56">
        <f t="shared" si="19"/>
        <v>0</v>
      </c>
      <c r="AF115" s="56">
        <f t="shared" si="19"/>
        <v>0</v>
      </c>
      <c r="AG115" s="56">
        <f t="shared" si="19"/>
        <v>0</v>
      </c>
      <c r="AH115" s="56">
        <f t="shared" si="19"/>
        <v>0</v>
      </c>
      <c r="AI115" s="56">
        <f t="shared" si="19"/>
        <v>0</v>
      </c>
      <c r="AJ115" s="56">
        <f t="shared" si="19"/>
        <v>0</v>
      </c>
      <c r="AK115" s="56">
        <f t="shared" si="19"/>
        <v>0</v>
      </c>
      <c r="AL115" s="56">
        <f t="shared" si="19"/>
        <v>0</v>
      </c>
      <c r="AM115" s="56">
        <f t="shared" si="19"/>
        <v>0</v>
      </c>
      <c r="AN115" s="56">
        <f t="shared" si="19"/>
        <v>0</v>
      </c>
      <c r="AO115" s="56">
        <f t="shared" si="19"/>
        <v>0</v>
      </c>
      <c r="AP115" s="56">
        <f t="shared" si="19"/>
        <v>0</v>
      </c>
    </row>
    <row r="116" spans="1:42" outlineLevel="1" x14ac:dyDescent="0.25">
      <c r="A116" s="12"/>
      <c r="B116" s="13"/>
      <c r="C116" s="14" t="s">
        <v>485</v>
      </c>
      <c r="D116" s="14"/>
      <c r="E116" s="70" t="s">
        <v>352</v>
      </c>
      <c r="F116" s="201">
        <f>Data!E418/1000</f>
        <v>2.3599733894197369E-4</v>
      </c>
      <c r="G116" s="56"/>
      <c r="H116" s="56"/>
      <c r="I116" s="56">
        <f t="shared" si="20"/>
        <v>22.089350924968738</v>
      </c>
      <c r="J116" s="56">
        <f t="shared" si="19"/>
        <v>22.089350924968738</v>
      </c>
      <c r="K116" s="56">
        <f t="shared" si="19"/>
        <v>22.089350924968738</v>
      </c>
      <c r="L116" s="56">
        <f t="shared" si="19"/>
        <v>22.089350924968738</v>
      </c>
      <c r="M116" s="56">
        <f t="shared" si="19"/>
        <v>22.089350924968738</v>
      </c>
      <c r="N116" s="56">
        <f t="shared" si="19"/>
        <v>22.089350924968738</v>
      </c>
      <c r="O116" s="56">
        <f t="shared" si="19"/>
        <v>22.089350924968738</v>
      </c>
      <c r="P116" s="56">
        <f t="shared" si="19"/>
        <v>22.089350924968738</v>
      </c>
      <c r="Q116" s="56">
        <f t="shared" si="19"/>
        <v>22.089350924968738</v>
      </c>
      <c r="R116" s="56">
        <f t="shared" si="19"/>
        <v>22.089350924968738</v>
      </c>
      <c r="S116" s="56">
        <f t="shared" si="19"/>
        <v>22.089350924968738</v>
      </c>
      <c r="T116" s="56">
        <f t="shared" si="19"/>
        <v>22.089350924968738</v>
      </c>
      <c r="U116" s="56">
        <f t="shared" si="19"/>
        <v>0</v>
      </c>
      <c r="V116" s="56">
        <f t="shared" si="19"/>
        <v>0</v>
      </c>
      <c r="W116" s="56">
        <f t="shared" si="19"/>
        <v>0</v>
      </c>
      <c r="X116" s="56">
        <f t="shared" si="19"/>
        <v>0</v>
      </c>
      <c r="Y116" s="56">
        <f t="shared" si="19"/>
        <v>0</v>
      </c>
      <c r="Z116" s="56">
        <f t="shared" si="19"/>
        <v>0</v>
      </c>
      <c r="AA116" s="56">
        <f t="shared" si="19"/>
        <v>0</v>
      </c>
      <c r="AB116" s="56">
        <f t="shared" si="19"/>
        <v>0</v>
      </c>
      <c r="AC116" s="56">
        <f t="shared" si="19"/>
        <v>0</v>
      </c>
      <c r="AD116" s="56">
        <f t="shared" si="19"/>
        <v>0</v>
      </c>
      <c r="AE116" s="56">
        <f t="shared" si="19"/>
        <v>0</v>
      </c>
      <c r="AF116" s="56">
        <f t="shared" si="19"/>
        <v>0</v>
      </c>
      <c r="AG116" s="56">
        <f t="shared" si="19"/>
        <v>0</v>
      </c>
      <c r="AH116" s="56">
        <f t="shared" si="19"/>
        <v>0</v>
      </c>
      <c r="AI116" s="56">
        <f t="shared" si="19"/>
        <v>0</v>
      </c>
      <c r="AJ116" s="56">
        <f t="shared" si="19"/>
        <v>0</v>
      </c>
      <c r="AK116" s="56">
        <f t="shared" si="19"/>
        <v>0</v>
      </c>
      <c r="AL116" s="56">
        <f t="shared" si="19"/>
        <v>0</v>
      </c>
      <c r="AM116" s="56">
        <f t="shared" si="19"/>
        <v>0</v>
      </c>
      <c r="AN116" s="56">
        <f t="shared" si="19"/>
        <v>0</v>
      </c>
      <c r="AO116" s="56">
        <f t="shared" si="19"/>
        <v>0</v>
      </c>
      <c r="AP116" s="56">
        <f t="shared" si="19"/>
        <v>0</v>
      </c>
    </row>
    <row r="117" spans="1:42" outlineLevel="1" x14ac:dyDescent="0.25">
      <c r="A117" s="12"/>
      <c r="B117" s="13"/>
      <c r="C117" s="14" t="s">
        <v>214</v>
      </c>
      <c r="D117" s="14"/>
      <c r="E117" s="70" t="s">
        <v>352</v>
      </c>
      <c r="F117" s="201">
        <f>Data!E419/1000</f>
        <v>1.7486429999999991E-5</v>
      </c>
      <c r="G117" s="56"/>
      <c r="H117" s="56"/>
      <c r="I117" s="56">
        <f t="shared" si="20"/>
        <v>1.6367298479999992</v>
      </c>
      <c r="J117" s="56">
        <f t="shared" si="19"/>
        <v>1.6367298479999992</v>
      </c>
      <c r="K117" s="56">
        <f>K$109*$F117</f>
        <v>1.6367298479999992</v>
      </c>
      <c r="L117" s="56">
        <f t="shared" si="19"/>
        <v>1.6367298479999992</v>
      </c>
      <c r="M117" s="56">
        <f t="shared" si="19"/>
        <v>1.6367298479999992</v>
      </c>
      <c r="N117" s="56">
        <f t="shared" si="19"/>
        <v>1.6367298479999992</v>
      </c>
      <c r="O117" s="56">
        <f t="shared" si="19"/>
        <v>1.6367298479999992</v>
      </c>
      <c r="P117" s="56">
        <f t="shared" si="19"/>
        <v>1.6367298479999992</v>
      </c>
      <c r="Q117" s="56">
        <f t="shared" si="19"/>
        <v>1.6367298479999992</v>
      </c>
      <c r="R117" s="56">
        <f t="shared" si="19"/>
        <v>1.6367298479999992</v>
      </c>
      <c r="S117" s="56">
        <f t="shared" si="19"/>
        <v>1.6367298479999992</v>
      </c>
      <c r="T117" s="56">
        <f t="shared" si="19"/>
        <v>1.6367298479999992</v>
      </c>
      <c r="U117" s="56">
        <f t="shared" si="19"/>
        <v>0</v>
      </c>
      <c r="V117" s="56">
        <f t="shared" si="19"/>
        <v>0</v>
      </c>
      <c r="W117" s="56">
        <f t="shared" si="19"/>
        <v>0</v>
      </c>
      <c r="X117" s="56">
        <f t="shared" si="19"/>
        <v>0</v>
      </c>
      <c r="Y117" s="56">
        <f t="shared" si="19"/>
        <v>0</v>
      </c>
      <c r="Z117" s="56">
        <f t="shared" si="19"/>
        <v>0</v>
      </c>
      <c r="AA117" s="56">
        <f t="shared" si="19"/>
        <v>0</v>
      </c>
      <c r="AB117" s="56">
        <f t="shared" si="19"/>
        <v>0</v>
      </c>
      <c r="AC117" s="56">
        <f t="shared" si="19"/>
        <v>0</v>
      </c>
      <c r="AD117" s="56">
        <f t="shared" si="19"/>
        <v>0</v>
      </c>
      <c r="AE117" s="56">
        <f t="shared" si="19"/>
        <v>0</v>
      </c>
      <c r="AF117" s="56">
        <f t="shared" si="19"/>
        <v>0</v>
      </c>
      <c r="AG117" s="56">
        <f t="shared" si="19"/>
        <v>0</v>
      </c>
      <c r="AH117" s="56">
        <f t="shared" si="19"/>
        <v>0</v>
      </c>
      <c r="AI117" s="56">
        <f t="shared" si="19"/>
        <v>0</v>
      </c>
      <c r="AJ117" s="56">
        <f t="shared" si="19"/>
        <v>0</v>
      </c>
      <c r="AK117" s="56">
        <f t="shared" si="19"/>
        <v>0</v>
      </c>
      <c r="AL117" s="56">
        <f t="shared" si="19"/>
        <v>0</v>
      </c>
      <c r="AM117" s="56">
        <f t="shared" si="19"/>
        <v>0</v>
      </c>
      <c r="AN117" s="56">
        <f t="shared" si="19"/>
        <v>0</v>
      </c>
      <c r="AO117" s="56">
        <f t="shared" si="19"/>
        <v>0</v>
      </c>
      <c r="AP117" s="56">
        <f t="shared" si="19"/>
        <v>0</v>
      </c>
    </row>
    <row r="118" spans="1:42" outlineLevel="1" x14ac:dyDescent="0.25">
      <c r="A118" s="12"/>
      <c r="B118" s="13"/>
      <c r="C118" s="14"/>
      <c r="D118" s="14"/>
      <c r="E118" s="15"/>
      <c r="F118" s="16"/>
      <c r="G118" s="159"/>
      <c r="H118" s="56"/>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row>
    <row r="119" spans="1:42" outlineLevel="1" x14ac:dyDescent="0.25">
      <c r="A119" s="12"/>
      <c r="B119" s="13"/>
      <c r="C119" s="14" t="s">
        <v>205</v>
      </c>
      <c r="D119" s="14"/>
      <c r="E119" s="70" t="s">
        <v>474</v>
      </c>
      <c r="F119" s="200">
        <f>Data!$E$35/1000</f>
        <v>3.4099438202247192E-3</v>
      </c>
      <c r="G119" s="56"/>
      <c r="H119" s="56"/>
      <c r="I119" s="56">
        <f>I111*$F119</f>
        <v>1.2953146470742873</v>
      </c>
      <c r="J119" s="56">
        <f t="shared" ref="J119:AO119" si="21">J111*$F119</f>
        <v>1.2953146470742873</v>
      </c>
      <c r="K119" s="56">
        <f t="shared" si="21"/>
        <v>1.2953146470742873</v>
      </c>
      <c r="L119" s="56">
        <f t="shared" si="21"/>
        <v>1.2953146470742873</v>
      </c>
      <c r="M119" s="56">
        <f t="shared" si="21"/>
        <v>1.2953146470742873</v>
      </c>
      <c r="N119" s="56">
        <f t="shared" si="21"/>
        <v>1.2953146470742873</v>
      </c>
      <c r="O119" s="56">
        <f t="shared" si="21"/>
        <v>1.2953146470742873</v>
      </c>
      <c r="P119" s="56">
        <f t="shared" si="21"/>
        <v>1.2953146470742873</v>
      </c>
      <c r="Q119" s="56">
        <f t="shared" si="21"/>
        <v>1.2953146470742873</v>
      </c>
      <c r="R119" s="56">
        <f t="shared" si="21"/>
        <v>1.2953146470742873</v>
      </c>
      <c r="S119" s="56">
        <f t="shared" si="21"/>
        <v>1.2953146470742873</v>
      </c>
      <c r="T119" s="56">
        <f t="shared" si="21"/>
        <v>1.2953146470742873</v>
      </c>
      <c r="U119" s="56">
        <f t="shared" si="21"/>
        <v>0</v>
      </c>
      <c r="V119" s="56">
        <f t="shared" si="21"/>
        <v>0</v>
      </c>
      <c r="W119" s="56">
        <f t="shared" si="21"/>
        <v>0</v>
      </c>
      <c r="X119" s="56">
        <f t="shared" si="21"/>
        <v>0</v>
      </c>
      <c r="Y119" s="56">
        <f t="shared" si="21"/>
        <v>0</v>
      </c>
      <c r="Z119" s="56">
        <f t="shared" si="21"/>
        <v>0</v>
      </c>
      <c r="AA119" s="56">
        <f t="shared" si="21"/>
        <v>0</v>
      </c>
      <c r="AB119" s="56">
        <f t="shared" si="21"/>
        <v>0</v>
      </c>
      <c r="AC119" s="56">
        <f t="shared" si="21"/>
        <v>0</v>
      </c>
      <c r="AD119" s="56">
        <f t="shared" si="21"/>
        <v>0</v>
      </c>
      <c r="AE119" s="56">
        <f t="shared" si="21"/>
        <v>0</v>
      </c>
      <c r="AF119" s="56">
        <f t="shared" si="21"/>
        <v>0</v>
      </c>
      <c r="AG119" s="56">
        <f t="shared" si="21"/>
        <v>0</v>
      </c>
      <c r="AH119" s="56">
        <f t="shared" si="21"/>
        <v>0</v>
      </c>
      <c r="AI119" s="56">
        <f t="shared" si="21"/>
        <v>0</v>
      </c>
      <c r="AJ119" s="56">
        <f t="shared" si="21"/>
        <v>0</v>
      </c>
      <c r="AK119" s="56">
        <f t="shared" si="21"/>
        <v>0</v>
      </c>
      <c r="AL119" s="56">
        <f t="shared" si="21"/>
        <v>0</v>
      </c>
      <c r="AM119" s="56">
        <f t="shared" si="21"/>
        <v>0</v>
      </c>
      <c r="AN119" s="56">
        <f t="shared" si="21"/>
        <v>0</v>
      </c>
      <c r="AO119" s="56">
        <f t="shared" si="21"/>
        <v>0</v>
      </c>
      <c r="AP119" s="56">
        <f>AP111*$F$735</f>
        <v>0</v>
      </c>
    </row>
    <row r="120" spans="1:42" outlineLevel="1" x14ac:dyDescent="0.25">
      <c r="A120" s="12"/>
      <c r="B120" s="13"/>
      <c r="C120" s="14" t="s">
        <v>484</v>
      </c>
      <c r="D120" s="14"/>
      <c r="E120" s="70" t="s">
        <v>474</v>
      </c>
      <c r="F120" s="200"/>
      <c r="G120" s="56"/>
      <c r="H120" s="56"/>
      <c r="I120" s="56">
        <f>I112*Data!H$16/1000</f>
        <v>9239.3930194090699</v>
      </c>
      <c r="J120" s="56">
        <f>J112*Data!I$16/1000</f>
        <v>10191.907763678046</v>
      </c>
      <c r="K120" s="56">
        <f>K112*Data!J$16/1000</f>
        <v>11049.171033520124</v>
      </c>
      <c r="L120" s="56">
        <f>L112*Data!K$16/1000</f>
        <v>12001.685777789102</v>
      </c>
      <c r="M120" s="56">
        <f>M112*Data!L$16/1000</f>
        <v>12954.200522058078</v>
      </c>
      <c r="N120" s="56">
        <f>N112*Data!M$16/1000</f>
        <v>13906.715266327054</v>
      </c>
      <c r="O120" s="56">
        <f>O112*Data!N$16/1000</f>
        <v>14763.97853616913</v>
      </c>
      <c r="P120" s="56">
        <f>P112*Data!O$16/1000</f>
        <v>15335.487382730518</v>
      </c>
      <c r="Q120" s="56">
        <f>Q112*Data!P$16/1000</f>
        <v>15906.996229291903</v>
      </c>
      <c r="R120" s="56">
        <f>R112*Data!Q$16/1000</f>
        <v>16573.756550280184</v>
      </c>
      <c r="S120" s="56">
        <f>S112*Data!R$16/1000</f>
        <v>17145.265396841573</v>
      </c>
      <c r="T120" s="56">
        <f>T112*Data!S$16/1000</f>
        <v>17716.774243402957</v>
      </c>
      <c r="U120" s="56">
        <f>U112*Data!T$16/1000</f>
        <v>0</v>
      </c>
      <c r="V120" s="56">
        <f>V112*Data!U$16/1000</f>
        <v>0</v>
      </c>
      <c r="W120" s="56">
        <f>W112*Data!V$16/1000</f>
        <v>0</v>
      </c>
      <c r="X120" s="56">
        <f>X112*Data!W$16/1000</f>
        <v>0</v>
      </c>
      <c r="Y120" s="56">
        <f>Y112*Data!X$16/1000</f>
        <v>0</v>
      </c>
      <c r="Z120" s="56">
        <f>Z112*Data!Y$16/1000</f>
        <v>0</v>
      </c>
      <c r="AA120" s="56">
        <f>AA112*Data!Z$16/1000</f>
        <v>0</v>
      </c>
      <c r="AB120" s="56">
        <f>AB112*Data!AA$16/1000</f>
        <v>0</v>
      </c>
      <c r="AC120" s="56">
        <f>AC112*Data!AB$16/1000</f>
        <v>0</v>
      </c>
      <c r="AD120" s="56">
        <f>AD112*Data!AC$16/1000</f>
        <v>0</v>
      </c>
      <c r="AE120" s="56">
        <f>AE112*Data!AD$16/1000</f>
        <v>0</v>
      </c>
      <c r="AF120" s="56">
        <f>AF112*Data!AE$16/1000</f>
        <v>0</v>
      </c>
      <c r="AG120" s="56">
        <f>AG112*Data!AF$16/1000</f>
        <v>0</v>
      </c>
      <c r="AH120" s="56">
        <f>AH112*Data!AG$16/1000</f>
        <v>0</v>
      </c>
      <c r="AI120" s="56">
        <f>AI112*Data!AH$16/1000</f>
        <v>0</v>
      </c>
      <c r="AJ120" s="56">
        <f>AJ112*Data!AI$16/1000</f>
        <v>0</v>
      </c>
      <c r="AK120" s="56">
        <f>AK112*Data!AJ$16/1000</f>
        <v>0</v>
      </c>
      <c r="AL120" s="56">
        <f>AL112*Data!AK$16/1000</f>
        <v>0</v>
      </c>
      <c r="AM120" s="56">
        <f>AM112*Data!AL$16/1000</f>
        <v>0</v>
      </c>
      <c r="AN120" s="56">
        <f>AN112*Data!AM$16/1000</f>
        <v>0</v>
      </c>
      <c r="AO120" s="56">
        <f>AO112*Data!AN$16/1000</f>
        <v>0</v>
      </c>
      <c r="AP120" s="56">
        <f>AP112*Data!AO$16/1000</f>
        <v>0</v>
      </c>
    </row>
    <row r="121" spans="1:42" outlineLevel="1" x14ac:dyDescent="0.25">
      <c r="A121" s="12"/>
      <c r="B121" s="13"/>
      <c r="C121" s="14" t="s">
        <v>285</v>
      </c>
      <c r="D121" s="14"/>
      <c r="E121" s="70" t="s">
        <v>474</v>
      </c>
      <c r="F121" s="200">
        <f>Data!$E$36/1000</f>
        <v>1.0822865168539326</v>
      </c>
      <c r="G121" s="56"/>
      <c r="H121" s="56"/>
      <c r="I121" s="56">
        <f>I113*$F121</f>
        <v>28.84102879309798</v>
      </c>
      <c r="J121" s="56">
        <f t="shared" ref="J121:AO121" si="22">J113*$F121</f>
        <v>28.84102879309798</v>
      </c>
      <c r="K121" s="56">
        <f t="shared" si="22"/>
        <v>28.84102879309798</v>
      </c>
      <c r="L121" s="56">
        <f t="shared" si="22"/>
        <v>28.84102879309798</v>
      </c>
      <c r="M121" s="56">
        <f t="shared" si="22"/>
        <v>28.84102879309798</v>
      </c>
      <c r="N121" s="56">
        <f t="shared" si="22"/>
        <v>28.84102879309798</v>
      </c>
      <c r="O121" s="56">
        <f t="shared" si="22"/>
        <v>28.84102879309798</v>
      </c>
      <c r="P121" s="56">
        <f t="shared" si="22"/>
        <v>28.84102879309798</v>
      </c>
      <c r="Q121" s="56">
        <f t="shared" si="22"/>
        <v>28.84102879309798</v>
      </c>
      <c r="R121" s="56">
        <f t="shared" si="22"/>
        <v>28.84102879309798</v>
      </c>
      <c r="S121" s="56">
        <f t="shared" si="22"/>
        <v>28.84102879309798</v>
      </c>
      <c r="T121" s="56">
        <f t="shared" si="22"/>
        <v>28.84102879309798</v>
      </c>
      <c r="U121" s="56">
        <f t="shared" si="22"/>
        <v>0</v>
      </c>
      <c r="V121" s="56">
        <f t="shared" si="22"/>
        <v>0</v>
      </c>
      <c r="W121" s="56">
        <f t="shared" si="22"/>
        <v>0</v>
      </c>
      <c r="X121" s="56">
        <f t="shared" si="22"/>
        <v>0</v>
      </c>
      <c r="Y121" s="56">
        <f t="shared" si="22"/>
        <v>0</v>
      </c>
      <c r="Z121" s="56">
        <f t="shared" si="22"/>
        <v>0</v>
      </c>
      <c r="AA121" s="56">
        <f t="shared" si="22"/>
        <v>0</v>
      </c>
      <c r="AB121" s="56">
        <f t="shared" si="22"/>
        <v>0</v>
      </c>
      <c r="AC121" s="56">
        <f t="shared" si="22"/>
        <v>0</v>
      </c>
      <c r="AD121" s="56">
        <f t="shared" si="22"/>
        <v>0</v>
      </c>
      <c r="AE121" s="56">
        <f t="shared" si="22"/>
        <v>0</v>
      </c>
      <c r="AF121" s="56">
        <f t="shared" si="22"/>
        <v>0</v>
      </c>
      <c r="AG121" s="56">
        <f t="shared" si="22"/>
        <v>0</v>
      </c>
      <c r="AH121" s="56">
        <f t="shared" si="22"/>
        <v>0</v>
      </c>
      <c r="AI121" s="56">
        <f t="shared" si="22"/>
        <v>0</v>
      </c>
      <c r="AJ121" s="56">
        <f t="shared" si="22"/>
        <v>0</v>
      </c>
      <c r="AK121" s="56">
        <f t="shared" si="22"/>
        <v>0</v>
      </c>
      <c r="AL121" s="56">
        <f t="shared" si="22"/>
        <v>0</v>
      </c>
      <c r="AM121" s="56">
        <f t="shared" si="22"/>
        <v>0</v>
      </c>
      <c r="AN121" s="56">
        <f t="shared" si="22"/>
        <v>0</v>
      </c>
      <c r="AO121" s="56">
        <f t="shared" si="22"/>
        <v>0</v>
      </c>
      <c r="AP121" s="56">
        <f>AP113*$F$737</f>
        <v>0</v>
      </c>
    </row>
    <row r="122" spans="1:42" outlineLevel="1" x14ac:dyDescent="0.25">
      <c r="A122" s="12"/>
      <c r="B122" s="13"/>
      <c r="C122" s="14" t="s">
        <v>220</v>
      </c>
      <c r="D122" s="14"/>
      <c r="E122" s="70" t="s">
        <v>474</v>
      </c>
      <c r="F122" s="200">
        <f>Data!$E$37/1000</f>
        <v>371.00188764044947</v>
      </c>
      <c r="G122" s="56"/>
      <c r="H122" s="56"/>
      <c r="I122" s="56">
        <f>I114*$F122</f>
        <v>359039.46272144729</v>
      </c>
      <c r="J122" s="56">
        <f t="shared" ref="J122:AO124" si="23">J114*$F122</f>
        <v>359039.46272144729</v>
      </c>
      <c r="K122" s="56">
        <f t="shared" si="23"/>
        <v>359039.46272144729</v>
      </c>
      <c r="L122" s="56">
        <f t="shared" si="23"/>
        <v>359039.46272144729</v>
      </c>
      <c r="M122" s="56">
        <f t="shared" si="23"/>
        <v>359039.46272144729</v>
      </c>
      <c r="N122" s="56">
        <f t="shared" si="23"/>
        <v>359039.46272144729</v>
      </c>
      <c r="O122" s="56">
        <f t="shared" si="23"/>
        <v>359039.46272144729</v>
      </c>
      <c r="P122" s="56">
        <f t="shared" si="23"/>
        <v>359039.46272144729</v>
      </c>
      <c r="Q122" s="56">
        <f t="shared" si="23"/>
        <v>359039.46272144729</v>
      </c>
      <c r="R122" s="56">
        <f t="shared" si="23"/>
        <v>359039.46272144729</v>
      </c>
      <c r="S122" s="56">
        <f t="shared" si="23"/>
        <v>359039.46272144729</v>
      </c>
      <c r="T122" s="56">
        <f t="shared" si="23"/>
        <v>359039.46272144729</v>
      </c>
      <c r="U122" s="56">
        <f t="shared" si="23"/>
        <v>0</v>
      </c>
      <c r="V122" s="56">
        <f t="shared" si="23"/>
        <v>0</v>
      </c>
      <c r="W122" s="56">
        <f t="shared" si="23"/>
        <v>0</v>
      </c>
      <c r="X122" s="56">
        <f t="shared" si="23"/>
        <v>0</v>
      </c>
      <c r="Y122" s="56">
        <f t="shared" si="23"/>
        <v>0</v>
      </c>
      <c r="Z122" s="56">
        <f t="shared" si="23"/>
        <v>0</v>
      </c>
      <c r="AA122" s="56">
        <f t="shared" si="23"/>
        <v>0</v>
      </c>
      <c r="AB122" s="56">
        <f t="shared" si="23"/>
        <v>0</v>
      </c>
      <c r="AC122" s="56">
        <f t="shared" si="23"/>
        <v>0</v>
      </c>
      <c r="AD122" s="56">
        <f t="shared" si="23"/>
        <v>0</v>
      </c>
      <c r="AE122" s="56">
        <f t="shared" si="23"/>
        <v>0</v>
      </c>
      <c r="AF122" s="56">
        <f t="shared" si="23"/>
        <v>0</v>
      </c>
      <c r="AG122" s="56">
        <f t="shared" si="23"/>
        <v>0</v>
      </c>
      <c r="AH122" s="56">
        <f t="shared" si="23"/>
        <v>0</v>
      </c>
      <c r="AI122" s="56">
        <f t="shared" si="23"/>
        <v>0</v>
      </c>
      <c r="AJ122" s="56">
        <f t="shared" si="23"/>
        <v>0</v>
      </c>
      <c r="AK122" s="56">
        <f t="shared" si="23"/>
        <v>0</v>
      </c>
      <c r="AL122" s="56">
        <f t="shared" si="23"/>
        <v>0</v>
      </c>
      <c r="AM122" s="56">
        <f t="shared" si="23"/>
        <v>0</v>
      </c>
      <c r="AN122" s="56">
        <f t="shared" si="23"/>
        <v>0</v>
      </c>
      <c r="AO122" s="56">
        <f t="shared" si="23"/>
        <v>0</v>
      </c>
      <c r="AP122" s="56">
        <f>AP114*$F$738</f>
        <v>0</v>
      </c>
    </row>
    <row r="123" spans="1:42" outlineLevel="1" x14ac:dyDescent="0.25">
      <c r="A123" s="12"/>
      <c r="B123" s="13"/>
      <c r="C123" s="14" t="s">
        <v>212</v>
      </c>
      <c r="D123" s="14"/>
      <c r="E123" s="70" t="s">
        <v>474</v>
      </c>
      <c r="F123" s="200">
        <f>Data!$E$39/1000</f>
        <v>0</v>
      </c>
      <c r="G123" s="56"/>
      <c r="H123" s="56"/>
      <c r="I123" s="56">
        <f t="shared" ref="I123:X124" si="24">I115*$F123</f>
        <v>0</v>
      </c>
      <c r="J123" s="56">
        <f t="shared" si="24"/>
        <v>0</v>
      </c>
      <c r="K123" s="56">
        <f t="shared" si="24"/>
        <v>0</v>
      </c>
      <c r="L123" s="56">
        <f t="shared" si="24"/>
        <v>0</v>
      </c>
      <c r="M123" s="56">
        <f t="shared" si="24"/>
        <v>0</v>
      </c>
      <c r="N123" s="56">
        <f t="shared" si="24"/>
        <v>0</v>
      </c>
      <c r="O123" s="56">
        <f t="shared" si="24"/>
        <v>0</v>
      </c>
      <c r="P123" s="56">
        <f t="shared" si="24"/>
        <v>0</v>
      </c>
      <c r="Q123" s="56">
        <f t="shared" si="24"/>
        <v>0</v>
      </c>
      <c r="R123" s="56">
        <f t="shared" si="24"/>
        <v>0</v>
      </c>
      <c r="S123" s="56">
        <f t="shared" si="24"/>
        <v>0</v>
      </c>
      <c r="T123" s="56">
        <f t="shared" si="24"/>
        <v>0</v>
      </c>
      <c r="U123" s="56">
        <f t="shared" si="24"/>
        <v>0</v>
      </c>
      <c r="V123" s="56">
        <f t="shared" si="24"/>
        <v>0</v>
      </c>
      <c r="W123" s="56">
        <f t="shared" si="24"/>
        <v>0</v>
      </c>
      <c r="X123" s="56">
        <f t="shared" si="24"/>
        <v>0</v>
      </c>
      <c r="Y123" s="56">
        <f t="shared" si="23"/>
        <v>0</v>
      </c>
      <c r="Z123" s="56">
        <f t="shared" si="23"/>
        <v>0</v>
      </c>
      <c r="AA123" s="56">
        <f t="shared" si="23"/>
        <v>0</v>
      </c>
      <c r="AB123" s="56">
        <f t="shared" si="23"/>
        <v>0</v>
      </c>
      <c r="AC123" s="56">
        <f t="shared" si="23"/>
        <v>0</v>
      </c>
      <c r="AD123" s="56">
        <f t="shared" si="23"/>
        <v>0</v>
      </c>
      <c r="AE123" s="56">
        <f t="shared" si="23"/>
        <v>0</v>
      </c>
      <c r="AF123" s="56">
        <f t="shared" si="23"/>
        <v>0</v>
      </c>
      <c r="AG123" s="56">
        <f t="shared" si="23"/>
        <v>0</v>
      </c>
      <c r="AH123" s="56">
        <f t="shared" si="23"/>
        <v>0</v>
      </c>
      <c r="AI123" s="56">
        <f t="shared" si="23"/>
        <v>0</v>
      </c>
      <c r="AJ123" s="56">
        <f t="shared" si="23"/>
        <v>0</v>
      </c>
      <c r="AK123" s="56">
        <f t="shared" si="23"/>
        <v>0</v>
      </c>
      <c r="AL123" s="56">
        <f t="shared" si="23"/>
        <v>0</v>
      </c>
      <c r="AM123" s="56">
        <f t="shared" si="23"/>
        <v>0</v>
      </c>
      <c r="AN123" s="56">
        <f t="shared" si="23"/>
        <v>0</v>
      </c>
      <c r="AO123" s="56">
        <f t="shared" si="23"/>
        <v>0</v>
      </c>
      <c r="AP123" s="56">
        <f>AP115*$F$739</f>
        <v>0</v>
      </c>
    </row>
    <row r="124" spans="1:42" outlineLevel="1" x14ac:dyDescent="0.25">
      <c r="A124" s="12"/>
      <c r="B124" s="13"/>
      <c r="C124" s="14" t="s">
        <v>485</v>
      </c>
      <c r="D124" s="14"/>
      <c r="E124" s="70" t="s">
        <v>474</v>
      </c>
      <c r="F124" s="200">
        <f>Data!$E$40/1000</f>
        <v>605.20914606741576</v>
      </c>
      <c r="G124" s="56"/>
      <c r="H124" s="56"/>
      <c r="I124" s="56">
        <f t="shared" si="24"/>
        <v>13368.677210483811</v>
      </c>
      <c r="J124" s="56">
        <f t="shared" si="23"/>
        <v>13368.677210483811</v>
      </c>
      <c r="K124" s="56">
        <f t="shared" si="23"/>
        <v>13368.677210483811</v>
      </c>
      <c r="L124" s="56">
        <f t="shared" si="23"/>
        <v>13368.677210483811</v>
      </c>
      <c r="M124" s="56">
        <f t="shared" si="23"/>
        <v>13368.677210483811</v>
      </c>
      <c r="N124" s="56">
        <f t="shared" si="23"/>
        <v>13368.677210483811</v>
      </c>
      <c r="O124" s="56">
        <f t="shared" si="23"/>
        <v>13368.677210483811</v>
      </c>
      <c r="P124" s="56">
        <f t="shared" si="23"/>
        <v>13368.677210483811</v>
      </c>
      <c r="Q124" s="56">
        <f t="shared" si="23"/>
        <v>13368.677210483811</v>
      </c>
      <c r="R124" s="56">
        <f t="shared" si="23"/>
        <v>13368.677210483811</v>
      </c>
      <c r="S124" s="56">
        <f t="shared" si="23"/>
        <v>13368.677210483811</v>
      </c>
      <c r="T124" s="56">
        <f t="shared" si="23"/>
        <v>13368.677210483811</v>
      </c>
      <c r="U124" s="56">
        <f t="shared" si="23"/>
        <v>0</v>
      </c>
      <c r="V124" s="56">
        <f t="shared" si="23"/>
        <v>0</v>
      </c>
      <c r="W124" s="56">
        <f t="shared" si="23"/>
        <v>0</v>
      </c>
      <c r="X124" s="56">
        <f t="shared" si="23"/>
        <v>0</v>
      </c>
      <c r="Y124" s="56">
        <f t="shared" si="23"/>
        <v>0</v>
      </c>
      <c r="Z124" s="56">
        <f t="shared" si="23"/>
        <v>0</v>
      </c>
      <c r="AA124" s="56">
        <f t="shared" si="23"/>
        <v>0</v>
      </c>
      <c r="AB124" s="56">
        <f t="shared" si="23"/>
        <v>0</v>
      </c>
      <c r="AC124" s="56">
        <f t="shared" si="23"/>
        <v>0</v>
      </c>
      <c r="AD124" s="56">
        <f t="shared" si="23"/>
        <v>0</v>
      </c>
      <c r="AE124" s="56">
        <f t="shared" si="23"/>
        <v>0</v>
      </c>
      <c r="AF124" s="56">
        <f t="shared" si="23"/>
        <v>0</v>
      </c>
      <c r="AG124" s="56">
        <f t="shared" si="23"/>
        <v>0</v>
      </c>
      <c r="AH124" s="56">
        <f t="shared" si="23"/>
        <v>0</v>
      </c>
      <c r="AI124" s="56">
        <f t="shared" si="23"/>
        <v>0</v>
      </c>
      <c r="AJ124" s="56">
        <f t="shared" si="23"/>
        <v>0</v>
      </c>
      <c r="AK124" s="56">
        <f t="shared" si="23"/>
        <v>0</v>
      </c>
      <c r="AL124" s="56">
        <f t="shared" si="23"/>
        <v>0</v>
      </c>
      <c r="AM124" s="56">
        <f t="shared" si="23"/>
        <v>0</v>
      </c>
      <c r="AN124" s="56">
        <f t="shared" si="23"/>
        <v>0</v>
      </c>
      <c r="AO124" s="56">
        <f t="shared" si="23"/>
        <v>0</v>
      </c>
      <c r="AP124" s="56">
        <f>AP116*$F$740</f>
        <v>0</v>
      </c>
    </row>
    <row r="125" spans="1:42" outlineLevel="1" x14ac:dyDescent="0.25">
      <c r="A125" s="12"/>
      <c r="B125" s="13"/>
      <c r="C125" s="14" t="s">
        <v>214</v>
      </c>
      <c r="D125" s="14"/>
      <c r="E125" s="70" t="s">
        <v>474</v>
      </c>
      <c r="F125" s="200">
        <f>Data!$E$41/1000</f>
        <v>0</v>
      </c>
      <c r="G125" s="56"/>
      <c r="H125" s="56"/>
      <c r="I125" s="56">
        <f>I117*$F125</f>
        <v>0</v>
      </c>
      <c r="J125" s="56">
        <f t="shared" ref="J125:AO125" si="25">J117*$F125</f>
        <v>0</v>
      </c>
      <c r="K125" s="56">
        <f t="shared" si="25"/>
        <v>0</v>
      </c>
      <c r="L125" s="56">
        <f t="shared" si="25"/>
        <v>0</v>
      </c>
      <c r="M125" s="56">
        <f t="shared" si="25"/>
        <v>0</v>
      </c>
      <c r="N125" s="56">
        <f t="shared" si="25"/>
        <v>0</v>
      </c>
      <c r="O125" s="56">
        <f t="shared" si="25"/>
        <v>0</v>
      </c>
      <c r="P125" s="56">
        <f t="shared" si="25"/>
        <v>0</v>
      </c>
      <c r="Q125" s="56">
        <f t="shared" si="25"/>
        <v>0</v>
      </c>
      <c r="R125" s="56">
        <f t="shared" si="25"/>
        <v>0</v>
      </c>
      <c r="S125" s="56">
        <f t="shared" si="25"/>
        <v>0</v>
      </c>
      <c r="T125" s="56">
        <f t="shared" si="25"/>
        <v>0</v>
      </c>
      <c r="U125" s="56">
        <f t="shared" si="25"/>
        <v>0</v>
      </c>
      <c r="V125" s="56">
        <f t="shared" si="25"/>
        <v>0</v>
      </c>
      <c r="W125" s="56">
        <f t="shared" si="25"/>
        <v>0</v>
      </c>
      <c r="X125" s="56">
        <f t="shared" si="25"/>
        <v>0</v>
      </c>
      <c r="Y125" s="56">
        <f t="shared" si="25"/>
        <v>0</v>
      </c>
      <c r="Z125" s="56">
        <f t="shared" si="25"/>
        <v>0</v>
      </c>
      <c r="AA125" s="56">
        <f t="shared" si="25"/>
        <v>0</v>
      </c>
      <c r="AB125" s="56">
        <f t="shared" si="25"/>
        <v>0</v>
      </c>
      <c r="AC125" s="56">
        <f t="shared" si="25"/>
        <v>0</v>
      </c>
      <c r="AD125" s="56">
        <f t="shared" si="25"/>
        <v>0</v>
      </c>
      <c r="AE125" s="56">
        <f t="shared" si="25"/>
        <v>0</v>
      </c>
      <c r="AF125" s="56">
        <f t="shared" si="25"/>
        <v>0</v>
      </c>
      <c r="AG125" s="56">
        <f t="shared" si="25"/>
        <v>0</v>
      </c>
      <c r="AH125" s="56">
        <f t="shared" si="25"/>
        <v>0</v>
      </c>
      <c r="AI125" s="56">
        <f t="shared" si="25"/>
        <v>0</v>
      </c>
      <c r="AJ125" s="56">
        <f t="shared" si="25"/>
        <v>0</v>
      </c>
      <c r="AK125" s="56">
        <f t="shared" si="25"/>
        <v>0</v>
      </c>
      <c r="AL125" s="56">
        <f t="shared" si="25"/>
        <v>0</v>
      </c>
      <c r="AM125" s="56">
        <f t="shared" si="25"/>
        <v>0</v>
      </c>
      <c r="AN125" s="56">
        <f t="shared" si="25"/>
        <v>0</v>
      </c>
      <c r="AO125" s="56">
        <f t="shared" si="25"/>
        <v>0</v>
      </c>
      <c r="AP125" s="56">
        <f>AP117*AM$741</f>
        <v>0</v>
      </c>
    </row>
    <row r="126" spans="1:42" ht="13.5" customHeight="1" outlineLevel="1" x14ac:dyDescent="0.25">
      <c r="A126" s="12"/>
      <c r="B126" s="13"/>
      <c r="C126" s="20" t="s">
        <v>536</v>
      </c>
      <c r="D126" s="14"/>
      <c r="E126" s="70" t="s">
        <v>474</v>
      </c>
      <c r="F126" s="16"/>
      <c r="G126" s="159"/>
      <c r="H126" s="56"/>
      <c r="I126" s="185">
        <f>SUM(I119:I125)</f>
        <v>381677.66929478035</v>
      </c>
      <c r="J126" s="185">
        <f t="shared" ref="J126:AO126" si="26">SUM(J119:J125)</f>
        <v>382630.18403904932</v>
      </c>
      <c r="K126" s="185">
        <f t="shared" si="26"/>
        <v>383487.44730889139</v>
      </c>
      <c r="L126" s="185">
        <f t="shared" si="26"/>
        <v>384439.96205316036</v>
      </c>
      <c r="M126" s="185">
        <f t="shared" si="26"/>
        <v>385392.47679742938</v>
      </c>
      <c r="N126" s="185">
        <f t="shared" si="26"/>
        <v>386344.99154169834</v>
      </c>
      <c r="O126" s="185">
        <f t="shared" si="26"/>
        <v>387202.25481154042</v>
      </c>
      <c r="P126" s="185">
        <f t="shared" si="26"/>
        <v>387773.76365810179</v>
      </c>
      <c r="Q126" s="185">
        <f t="shared" si="26"/>
        <v>388345.27250466315</v>
      </c>
      <c r="R126" s="185">
        <f t="shared" si="26"/>
        <v>389012.03282565146</v>
      </c>
      <c r="S126" s="185">
        <f t="shared" si="26"/>
        <v>389583.54167221283</v>
      </c>
      <c r="T126" s="185">
        <f t="shared" si="26"/>
        <v>390155.05051877425</v>
      </c>
      <c r="U126" s="185">
        <f t="shared" si="26"/>
        <v>0</v>
      </c>
      <c r="V126" s="185">
        <f t="shared" si="26"/>
        <v>0</v>
      </c>
      <c r="W126" s="185">
        <f t="shared" si="26"/>
        <v>0</v>
      </c>
      <c r="X126" s="185">
        <f t="shared" si="26"/>
        <v>0</v>
      </c>
      <c r="Y126" s="185">
        <f t="shared" si="26"/>
        <v>0</v>
      </c>
      <c r="Z126" s="185">
        <f t="shared" si="26"/>
        <v>0</v>
      </c>
      <c r="AA126" s="185">
        <f t="shared" si="26"/>
        <v>0</v>
      </c>
      <c r="AB126" s="185">
        <f t="shared" si="26"/>
        <v>0</v>
      </c>
      <c r="AC126" s="185">
        <f t="shared" si="26"/>
        <v>0</v>
      </c>
      <c r="AD126" s="185">
        <f t="shared" si="26"/>
        <v>0</v>
      </c>
      <c r="AE126" s="185">
        <f t="shared" si="26"/>
        <v>0</v>
      </c>
      <c r="AF126" s="185">
        <f t="shared" si="26"/>
        <v>0</v>
      </c>
      <c r="AG126" s="185">
        <f t="shared" si="26"/>
        <v>0</v>
      </c>
      <c r="AH126" s="185">
        <f t="shared" si="26"/>
        <v>0</v>
      </c>
      <c r="AI126" s="185">
        <f t="shared" si="26"/>
        <v>0</v>
      </c>
      <c r="AJ126" s="185">
        <f t="shared" si="26"/>
        <v>0</v>
      </c>
      <c r="AK126" s="185">
        <f t="shared" si="26"/>
        <v>0</v>
      </c>
      <c r="AL126" s="185">
        <f t="shared" si="26"/>
        <v>0</v>
      </c>
      <c r="AM126" s="185">
        <f t="shared" si="26"/>
        <v>0</v>
      </c>
      <c r="AN126" s="185">
        <f t="shared" si="26"/>
        <v>0</v>
      </c>
      <c r="AO126" s="185">
        <f t="shared" si="26"/>
        <v>0</v>
      </c>
      <c r="AP126" s="185">
        <f t="shared" ref="AP126" si="27">SUM(AP119:AP125)</f>
        <v>0</v>
      </c>
    </row>
    <row r="127" spans="1:42" outlineLevel="1" x14ac:dyDescent="0.25">
      <c r="A127" s="12"/>
      <c r="B127" s="13"/>
      <c r="C127" s="14"/>
      <c r="D127" s="14"/>
      <c r="E127" s="15"/>
      <c r="F127" s="16"/>
      <c r="G127" s="159"/>
      <c r="H127" s="56"/>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row>
    <row r="128" spans="1:42" outlineLevel="1" x14ac:dyDescent="0.25">
      <c r="A128" s="12"/>
      <c r="B128" s="13"/>
      <c r="C128" s="14" t="s">
        <v>487</v>
      </c>
      <c r="D128" s="14"/>
      <c r="E128" s="15" t="s">
        <v>474</v>
      </c>
      <c r="F128" s="48"/>
      <c r="G128" s="185"/>
      <c r="H128" s="185"/>
      <c r="I128" s="185">
        <f>I126*Data!H$9</f>
        <v>366997.75893728877</v>
      </c>
      <c r="J128" s="185">
        <f>J126*Data!I$9</f>
        <v>353763.11394142872</v>
      </c>
      <c r="K128" s="185">
        <f>K126*Data!J$9</f>
        <v>340918.94425360876</v>
      </c>
      <c r="L128" s="185">
        <f>L126*Data!K$9</f>
        <v>328620.89076235017</v>
      </c>
      <c r="M128" s="185">
        <f>M126*Data!L$9</f>
        <v>316764.52342093165</v>
      </c>
      <c r="N128" s="185">
        <f>N126*Data!M$9</f>
        <v>305334.0587584945</v>
      </c>
      <c r="O128" s="185">
        <f>O126*Data!N$9</f>
        <v>294241.89074329392</v>
      </c>
      <c r="P128" s="185">
        <f>P126*Data!O$9</f>
        <v>283342.49086172919</v>
      </c>
      <c r="Q128" s="185">
        <f>Q126*Data!P$9</f>
        <v>272846.23728652264</v>
      </c>
      <c r="R128" s="185">
        <f>R126*Data!Q$9</f>
        <v>262802.59061909548</v>
      </c>
      <c r="S128" s="185">
        <f>S126*Data!R$9</f>
        <v>253066.03992115322</v>
      </c>
      <c r="T128" s="185">
        <f>T126*Data!S$9</f>
        <v>243689.69343278767</v>
      </c>
      <c r="U128" s="185">
        <f>U126*Data!T$9</f>
        <v>0</v>
      </c>
      <c r="V128" s="185">
        <f>V126*Data!U$9</f>
        <v>0</v>
      </c>
      <c r="W128" s="185">
        <f>W126*Data!V$9</f>
        <v>0</v>
      </c>
      <c r="X128" s="185">
        <f>X126*Data!W$9</f>
        <v>0</v>
      </c>
      <c r="Y128" s="185">
        <f>Y126*Data!X$9</f>
        <v>0</v>
      </c>
      <c r="Z128" s="185">
        <f>Z126*Data!Y$9</f>
        <v>0</v>
      </c>
      <c r="AA128" s="185">
        <f>AA126*Data!Z$9</f>
        <v>0</v>
      </c>
      <c r="AB128" s="185">
        <f>AB126*Data!AA$9</f>
        <v>0</v>
      </c>
      <c r="AC128" s="185">
        <f>AC126*Data!AB$9</f>
        <v>0</v>
      </c>
      <c r="AD128" s="185">
        <f>AD126*Data!AC$9</f>
        <v>0</v>
      </c>
      <c r="AE128" s="185">
        <f>AE126*Data!AD$9</f>
        <v>0</v>
      </c>
      <c r="AF128" s="185">
        <f>AF126*Data!AE$9</f>
        <v>0</v>
      </c>
      <c r="AG128" s="185">
        <f>AG126*Data!AF$9</f>
        <v>0</v>
      </c>
      <c r="AH128" s="185">
        <f>AH126*Data!AG$9</f>
        <v>0</v>
      </c>
      <c r="AI128" s="185">
        <f>AI126*Data!AH$9</f>
        <v>0</v>
      </c>
      <c r="AJ128" s="185">
        <f>AJ126*Data!AI$9</f>
        <v>0</v>
      </c>
      <c r="AK128" s="185">
        <f>AK126*Data!AJ$9</f>
        <v>0</v>
      </c>
      <c r="AL128" s="185">
        <f>AL126*Data!AK$9</f>
        <v>0</v>
      </c>
      <c r="AM128" s="185">
        <f>AM126*Data!AL$9</f>
        <v>0</v>
      </c>
      <c r="AN128" s="185">
        <f>AN126*Data!AM$9</f>
        <v>0</v>
      </c>
      <c r="AO128" s="185">
        <f>AO126*Data!AN$9</f>
        <v>0</v>
      </c>
      <c r="AP128" s="185">
        <f>AP126*Data!AO$9</f>
        <v>0</v>
      </c>
    </row>
    <row r="129" spans="1:42" outlineLevel="1" x14ac:dyDescent="0.25">
      <c r="A129" s="12"/>
      <c r="B129" s="13"/>
      <c r="C129" s="14" t="s">
        <v>488</v>
      </c>
      <c r="D129" s="13"/>
      <c r="E129" s="15" t="s">
        <v>142</v>
      </c>
      <c r="F129" s="16"/>
      <c r="G129" s="159">
        <f>SUM(H128:AP128)</f>
        <v>3622388.2329386845</v>
      </c>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row>
    <row r="130" spans="1:42" outlineLevel="1" x14ac:dyDescent="0.25">
      <c r="A130" s="12"/>
      <c r="B130" s="13"/>
      <c r="C130" s="20" t="s">
        <v>488</v>
      </c>
      <c r="D130" s="19"/>
      <c r="E130" s="15" t="s">
        <v>261</v>
      </c>
      <c r="F130" s="16"/>
      <c r="G130" s="183">
        <f>G129/(SUM(H109:AE109))</f>
        <v>3.2250607486989713</v>
      </c>
      <c r="H130" s="14"/>
      <c r="I130" s="159"/>
      <c r="J130" s="159"/>
      <c r="K130" s="159"/>
      <c r="L130" s="159"/>
      <c r="M130" s="159"/>
      <c r="N130" s="159"/>
      <c r="O130" s="159"/>
      <c r="P130" s="159"/>
      <c r="Q130" s="159"/>
      <c r="R130" s="159"/>
      <c r="S130" s="159"/>
      <c r="T130" s="159"/>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row>
    <row r="131" spans="1:42" outlineLevel="1" x14ac:dyDescent="0.25">
      <c r="A131" s="12"/>
      <c r="B131" s="13"/>
      <c r="C131" s="14"/>
      <c r="D131" s="14"/>
      <c r="E131" s="15"/>
      <c r="F131" s="16"/>
      <c r="G131" s="14"/>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17"/>
    </row>
    <row r="132" spans="1:42" ht="18.75" outlineLevel="1" x14ac:dyDescent="0.3">
      <c r="A132" s="12"/>
      <c r="B132" s="13"/>
      <c r="C132" s="205" t="s">
        <v>524</v>
      </c>
      <c r="D132" s="14"/>
      <c r="E132" s="15" t="s">
        <v>261</v>
      </c>
      <c r="F132" s="16"/>
      <c r="G132" s="204">
        <f>G74+G81+G104-G130</f>
        <v>-2.0431385988760793</v>
      </c>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17"/>
    </row>
    <row r="133" spans="1:42" outlineLevel="1" x14ac:dyDescent="0.25">
      <c r="A133" s="12"/>
      <c r="B133" s="13"/>
      <c r="C133" s="14"/>
      <c r="D133" s="14"/>
      <c r="E133" s="15"/>
      <c r="F133" s="16"/>
      <c r="G133" s="14"/>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17"/>
    </row>
    <row r="134" spans="1:42" outlineLevel="1" x14ac:dyDescent="0.25">
      <c r="A134" s="23"/>
      <c r="B134" s="23"/>
      <c r="C134" s="24" t="s">
        <v>525</v>
      </c>
      <c r="D134" s="24"/>
      <c r="E134" s="25"/>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7"/>
    </row>
    <row r="135" spans="1:42" outlineLevel="1" x14ac:dyDescent="0.25">
      <c r="A135" s="12"/>
      <c r="B135" s="13"/>
      <c r="C135" s="13"/>
      <c r="D135" s="14"/>
      <c r="E135" s="15"/>
      <c r="F135" s="16"/>
      <c r="G135" s="14"/>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17"/>
    </row>
    <row r="136" spans="1:42" outlineLevel="1" x14ac:dyDescent="0.25">
      <c r="A136" s="12"/>
      <c r="B136" s="13"/>
      <c r="C136" s="37" t="s">
        <v>537</v>
      </c>
      <c r="D136" s="37"/>
      <c r="E136" s="38"/>
      <c r="F136" s="39"/>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17"/>
    </row>
    <row r="137" spans="1:42" outlineLevel="1" x14ac:dyDescent="0.25">
      <c r="A137" s="12"/>
      <c r="B137" s="13"/>
      <c r="C137" s="96" t="s">
        <v>526</v>
      </c>
      <c r="D137" s="14"/>
      <c r="E137" s="15" t="s">
        <v>142</v>
      </c>
      <c r="F137" s="16"/>
      <c r="G137" s="141">
        <f>G73</f>
        <v>1303513.6135969155</v>
      </c>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17"/>
    </row>
    <row r="138" spans="1:42" outlineLevel="1" x14ac:dyDescent="0.25">
      <c r="A138" s="12"/>
      <c r="B138" s="13"/>
      <c r="C138" s="96" t="s">
        <v>527</v>
      </c>
      <c r="D138" s="14"/>
      <c r="E138" s="15" t="s">
        <v>474</v>
      </c>
      <c r="F138" s="16"/>
      <c r="G138" s="151">
        <f>G137/Dashboard!$I$32</f>
        <v>108626.13446640963</v>
      </c>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17"/>
    </row>
    <row r="139" spans="1:42" outlineLevel="1" x14ac:dyDescent="0.25">
      <c r="A139" s="12"/>
      <c r="B139" s="13"/>
      <c r="C139" s="96" t="s">
        <v>528</v>
      </c>
      <c r="D139" s="14"/>
      <c r="E139" s="15" t="s">
        <v>529</v>
      </c>
      <c r="F139" s="16"/>
      <c r="G139" s="151">
        <f>SUM(I86:AB86)</f>
        <v>179354.99105802376</v>
      </c>
      <c r="H139" s="14"/>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17"/>
    </row>
    <row r="140" spans="1:42" outlineLevel="1" x14ac:dyDescent="0.25">
      <c r="A140" s="12"/>
      <c r="B140" s="13"/>
      <c r="C140" s="96" t="s">
        <v>530</v>
      </c>
      <c r="D140" s="14"/>
      <c r="E140" s="15" t="s">
        <v>531</v>
      </c>
      <c r="F140" s="16"/>
      <c r="G140" s="151">
        <f>G139/Dashboard!$I$32</f>
        <v>14946.249254835313</v>
      </c>
      <c r="H140" s="14"/>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17"/>
    </row>
    <row r="141" spans="1:42" outlineLevel="1" x14ac:dyDescent="0.25">
      <c r="A141" s="12"/>
      <c r="B141" s="13"/>
      <c r="C141" s="96" t="s">
        <v>552</v>
      </c>
      <c r="D141" s="14"/>
      <c r="E141" s="15" t="s">
        <v>531</v>
      </c>
      <c r="F141" s="16"/>
      <c r="G141" s="151">
        <f>SUM(I112:AP112)/Dashboard!$I$32</f>
        <v>95251.474426897606</v>
      </c>
      <c r="H141" s="14"/>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17"/>
    </row>
    <row r="142" spans="1:42" outlineLevel="1" x14ac:dyDescent="0.25">
      <c r="A142" s="12"/>
      <c r="B142" s="13"/>
      <c r="C142" s="14"/>
      <c r="D142" s="14"/>
      <c r="E142" s="15"/>
      <c r="F142" s="16"/>
      <c r="G142" s="14"/>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29"/>
    </row>
    <row r="143" spans="1:42" outlineLevel="1" x14ac:dyDescent="0.25">
      <c r="A143" s="12"/>
      <c r="B143" s="13"/>
      <c r="C143" s="37" t="s">
        <v>553</v>
      </c>
      <c r="D143" s="37"/>
      <c r="E143" s="38"/>
      <c r="F143" s="39"/>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17"/>
    </row>
    <row r="144" spans="1:42" outlineLevel="1" x14ac:dyDescent="0.25">
      <c r="A144" s="12"/>
      <c r="B144" s="13"/>
      <c r="C144" s="14" t="s">
        <v>539</v>
      </c>
      <c r="D144" s="14"/>
      <c r="E144" s="15" t="s">
        <v>142</v>
      </c>
      <c r="F144" s="16"/>
      <c r="G144" s="177">
        <f>G138-'Diesel (BAU)'!$G$91</f>
        <v>-47029.072758037713</v>
      </c>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17"/>
    </row>
    <row r="145" spans="1:42" outlineLevel="1" x14ac:dyDescent="0.25">
      <c r="A145" s="12"/>
      <c r="B145" s="13"/>
      <c r="C145" s="14" t="s">
        <v>540</v>
      </c>
      <c r="D145" s="44"/>
      <c r="E145" s="15" t="s">
        <v>529</v>
      </c>
      <c r="F145" s="16"/>
      <c r="G145" s="177">
        <f>('Diesel (BAU)'!$G$93-G140)+G141</f>
        <v>175556.69959895994</v>
      </c>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17"/>
    </row>
    <row r="146" spans="1:42" ht="18.75" outlineLevel="1" x14ac:dyDescent="0.3">
      <c r="A146" s="12"/>
      <c r="B146" s="13"/>
      <c r="C146" s="221" t="s">
        <v>542</v>
      </c>
      <c r="D146" s="45"/>
      <c r="E146" s="15"/>
      <c r="F146" s="16"/>
      <c r="G146" s="220">
        <f>G144/G145</f>
        <v>-0.26788537757585146</v>
      </c>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29"/>
    </row>
    <row r="147" spans="1:42" ht="18.75" outlineLevel="1" x14ac:dyDescent="0.3">
      <c r="A147" s="12"/>
      <c r="B147" s="13"/>
      <c r="C147" s="120"/>
      <c r="D147" s="45"/>
      <c r="E147" s="15"/>
      <c r="F147" s="16"/>
      <c r="G147" s="22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29"/>
    </row>
    <row r="148" spans="1:42" x14ac:dyDescent="0.25">
      <c r="A148" s="89"/>
      <c r="B148" s="89"/>
      <c r="C148" s="90" t="s">
        <v>173</v>
      </c>
      <c r="D148" s="91"/>
      <c r="E148" s="92"/>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3"/>
    </row>
    <row r="149" spans="1:42" x14ac:dyDescent="0.25">
      <c r="A149" s="23"/>
      <c r="B149" s="23"/>
      <c r="C149" s="24" t="s">
        <v>554</v>
      </c>
      <c r="D149" s="24"/>
      <c r="E149" s="25"/>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7"/>
    </row>
    <row r="150" spans="1:42" x14ac:dyDescent="0.25">
      <c r="A150" s="13"/>
      <c r="B150" s="13"/>
      <c r="C150" s="30"/>
      <c r="D150" s="30"/>
      <c r="E150" s="31"/>
      <c r="F150" s="16"/>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3"/>
    </row>
    <row r="151" spans="1:42" x14ac:dyDescent="0.25">
      <c r="A151" s="12"/>
      <c r="B151" s="13"/>
      <c r="C151" s="14"/>
      <c r="D151" s="14"/>
      <c r="E151" s="15"/>
      <c r="F151" s="16"/>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7"/>
    </row>
    <row r="152" spans="1:42" x14ac:dyDescent="0.25">
      <c r="A152" s="12"/>
      <c r="B152" s="13"/>
      <c r="C152" s="37" t="s">
        <v>506</v>
      </c>
      <c r="D152" s="37"/>
      <c r="E152" s="38"/>
      <c r="F152" s="39"/>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17"/>
    </row>
    <row r="153" spans="1:42" x14ac:dyDescent="0.25">
      <c r="A153" s="12"/>
      <c r="B153" s="13"/>
      <c r="C153" s="136" t="s">
        <v>507</v>
      </c>
      <c r="D153" s="41"/>
      <c r="E153" s="15" t="s">
        <v>465</v>
      </c>
      <c r="F153" s="16"/>
      <c r="G153" s="14"/>
      <c r="H153" s="141"/>
      <c r="I153" s="141">
        <f>Route!I18</f>
        <v>51480</v>
      </c>
      <c r="J153" s="141">
        <f>Route!J18</f>
        <v>51480</v>
      </c>
      <c r="K153" s="141">
        <f>Route!K18</f>
        <v>51480</v>
      </c>
      <c r="L153" s="141">
        <f>Route!L18</f>
        <v>51480</v>
      </c>
      <c r="M153" s="141">
        <f>Route!M18</f>
        <v>51480</v>
      </c>
      <c r="N153" s="141">
        <f>Route!N18</f>
        <v>51480</v>
      </c>
      <c r="O153" s="141">
        <f>Route!O18</f>
        <v>51480</v>
      </c>
      <c r="P153" s="141">
        <f>Route!P18</f>
        <v>51480</v>
      </c>
      <c r="Q153" s="141">
        <f>Route!Q18</f>
        <v>51480</v>
      </c>
      <c r="R153" s="141">
        <f>Route!R18</f>
        <v>51480</v>
      </c>
      <c r="S153" s="141">
        <f>Route!S18</f>
        <v>51480</v>
      </c>
      <c r="T153" s="141">
        <f>Route!T18</f>
        <v>51480</v>
      </c>
      <c r="U153" s="141">
        <f>Route!U18</f>
        <v>51480</v>
      </c>
      <c r="V153" s="141">
        <f>Route!V18</f>
        <v>51480</v>
      </c>
      <c r="W153" s="141">
        <f>Route!W18</f>
        <v>51480</v>
      </c>
      <c r="X153" s="141">
        <f>Route!X18</f>
        <v>51480</v>
      </c>
      <c r="Y153" s="141">
        <f>Route!Y18</f>
        <v>51480</v>
      </c>
      <c r="Z153" s="141">
        <f>Route!Z18</f>
        <v>51480</v>
      </c>
      <c r="AA153" s="141">
        <f>Route!AA18</f>
        <v>51480</v>
      </c>
      <c r="AB153" s="141">
        <f>Route!AB18</f>
        <v>51480</v>
      </c>
      <c r="AC153" s="141">
        <f>Route!AC18</f>
        <v>51480</v>
      </c>
      <c r="AD153" s="141">
        <f>Route!AD18</f>
        <v>51480</v>
      </c>
      <c r="AE153" s="141">
        <f>Route!AE18</f>
        <v>51480</v>
      </c>
      <c r="AF153" s="141">
        <f>Route!AF18</f>
        <v>51480</v>
      </c>
      <c r="AG153" s="141">
        <f>Route!AG18</f>
        <v>51480</v>
      </c>
      <c r="AH153" s="141">
        <f>Route!AH18</f>
        <v>51480</v>
      </c>
      <c r="AI153" s="141">
        <f>Route!AI18</f>
        <v>51480</v>
      </c>
      <c r="AJ153" s="141">
        <f>Route!AJ18</f>
        <v>51480</v>
      </c>
      <c r="AK153" s="141">
        <f>Route!AK18</f>
        <v>51480</v>
      </c>
      <c r="AL153" s="141">
        <f>Route!AL18</f>
        <v>51480</v>
      </c>
      <c r="AM153" s="141">
        <f>Route!AM18</f>
        <v>51480</v>
      </c>
      <c r="AN153" s="141">
        <f>Route!AN18</f>
        <v>51480</v>
      </c>
      <c r="AO153" s="141">
        <f>Route!AO18</f>
        <v>51480</v>
      </c>
      <c r="AP153" s="17"/>
    </row>
    <row r="154" spans="1:42" x14ac:dyDescent="0.25">
      <c r="A154" s="12"/>
      <c r="B154" s="13"/>
      <c r="C154" s="136" t="s">
        <v>534</v>
      </c>
      <c r="D154" s="41"/>
      <c r="E154" s="15" t="s">
        <v>465</v>
      </c>
      <c r="F154" s="16"/>
      <c r="G154" s="14"/>
      <c r="H154" s="141"/>
      <c r="I154" s="159">
        <f>IF(COUNT($I$3:I3)&lt;=(Dashboard!$I$32),I153,0)</f>
        <v>51480</v>
      </c>
      <c r="J154" s="159">
        <f>IF(COUNT($I$3:J3)&lt;=(Dashboard!$I$32),J153,0)</f>
        <v>51480</v>
      </c>
      <c r="K154" s="159">
        <f>IF(COUNT($I$3:K3)&lt;=(Dashboard!$I$32),K153,0)</f>
        <v>51480</v>
      </c>
      <c r="L154" s="159">
        <f>IF(COUNT($I$3:L3)&lt;=(Dashboard!$I$32),L153,0)</f>
        <v>51480</v>
      </c>
      <c r="M154" s="159">
        <f>IF(COUNT($I$3:M3)&lt;=(Dashboard!$I$32),M153,0)</f>
        <v>51480</v>
      </c>
      <c r="N154" s="159">
        <f>IF(COUNT($I$3:N3)&lt;=(Dashboard!$I$32),N153,0)</f>
        <v>51480</v>
      </c>
      <c r="O154" s="159">
        <f>IF(COUNT($I$3:O3)&lt;=(Dashboard!$I$32),O153,0)</f>
        <v>51480</v>
      </c>
      <c r="P154" s="159">
        <f>IF(COUNT($I$3:P3)&lt;=(Dashboard!$I$32),P153,0)</f>
        <v>51480</v>
      </c>
      <c r="Q154" s="159">
        <f>IF(COUNT($I$3:Q3)&lt;=(Dashboard!$I$32),Q153,0)</f>
        <v>51480</v>
      </c>
      <c r="R154" s="159">
        <f>IF(COUNT($I$3:R3)&lt;=(Dashboard!$I$32),R153,0)</f>
        <v>51480</v>
      </c>
      <c r="S154" s="159">
        <f>IF(COUNT($I$3:S3)&lt;=(Dashboard!$I$32),S153,0)</f>
        <v>51480</v>
      </c>
      <c r="T154" s="159">
        <f>IF(COUNT($I$3:T3)&lt;=(Dashboard!$I$32),T153,0)</f>
        <v>51480</v>
      </c>
      <c r="U154" s="159">
        <f>IF(COUNT($I$3:U3)&lt;=(Dashboard!$I$32),U153,0)</f>
        <v>0</v>
      </c>
      <c r="V154" s="159">
        <f>IF(COUNT($I$3:V3)&lt;=(Dashboard!$I$32),V153,0)</f>
        <v>0</v>
      </c>
      <c r="W154" s="159">
        <f>IF(COUNT($I$3:W3)&lt;=(Dashboard!$I$32),W153,0)</f>
        <v>0</v>
      </c>
      <c r="X154" s="159">
        <f>IF(COUNT($I$3:X3)&lt;=(Dashboard!$I$32),X153,0)</f>
        <v>0</v>
      </c>
      <c r="Y154" s="159">
        <f>IF(COUNT($I$3:Y3)&lt;=(Dashboard!$I$32),Y153,0)</f>
        <v>0</v>
      </c>
      <c r="Z154" s="159">
        <f>IF(COUNT($I$3:Z3)&lt;=(Dashboard!$I$32),Z153,0)</f>
        <v>0</v>
      </c>
      <c r="AA154" s="159">
        <f>IF(COUNT($I$3:AA3)&lt;=(Dashboard!$I$32),AA153,0)</f>
        <v>0</v>
      </c>
      <c r="AB154" s="159">
        <f>IF(COUNT($I$3:AB3)&lt;=(Dashboard!$I$32),AB153,0)</f>
        <v>0</v>
      </c>
      <c r="AC154" s="159">
        <f>IF(COUNT($I$3:AC3)&lt;=(Dashboard!$I$32),AC153,0)</f>
        <v>0</v>
      </c>
      <c r="AD154" s="159">
        <f>IF(COUNT($I$3:AD3)&lt;=(Dashboard!$I$32),AD153,0)</f>
        <v>0</v>
      </c>
      <c r="AE154" s="159">
        <f>IF(COUNT($I$3:AE3)&lt;=(Dashboard!$I$32),AE153,0)</f>
        <v>0</v>
      </c>
      <c r="AF154" s="159">
        <f>IF(COUNT($I$3:AF3)&lt;=(Dashboard!$I$32),AF153,0)</f>
        <v>0</v>
      </c>
      <c r="AG154" s="159">
        <f>IF(COUNT($I$3:AG3)&lt;=(Dashboard!$I$32),AG153,0)</f>
        <v>0</v>
      </c>
      <c r="AH154" s="159">
        <f>IF(COUNT($I$3:AH3)&lt;=(Dashboard!$I$32),AH153,0)</f>
        <v>0</v>
      </c>
      <c r="AI154" s="159">
        <f>IF(COUNT($I$3:AI3)&lt;=(Dashboard!$I$32),AI153,0)</f>
        <v>0</v>
      </c>
      <c r="AJ154" s="159">
        <f>IF(COUNT($I$3:AJ3)&lt;=(Dashboard!$I$32),AJ153,0)</f>
        <v>0</v>
      </c>
      <c r="AK154" s="159">
        <f>IF(COUNT($I$3:AK3)&lt;=(Dashboard!$I$32),AK153,0)</f>
        <v>0</v>
      </c>
      <c r="AL154" s="159">
        <f>IF(COUNT($I$3:AL3)&lt;=(Dashboard!$I$32),AL153,0)</f>
        <v>0</v>
      </c>
      <c r="AM154" s="159">
        <f>IF(COUNT($I$3:AM3)&lt;=(Dashboard!$I$32),AM153,0)</f>
        <v>0</v>
      </c>
      <c r="AN154" s="159">
        <f>IF(COUNT($I$3:AN3)&lt;=(Dashboard!$I$32),AN153,0)</f>
        <v>0</v>
      </c>
      <c r="AO154" s="159">
        <f>IF(COUNT($I$3:AO3)&lt;=(Dashboard!$I$32),AO153,0)</f>
        <v>0</v>
      </c>
      <c r="AP154" s="17"/>
    </row>
    <row r="155" spans="1:42" x14ac:dyDescent="0.25">
      <c r="A155" s="12"/>
      <c r="B155" s="13"/>
      <c r="C155" s="136"/>
      <c r="D155" s="41"/>
      <c r="E155" s="15"/>
      <c r="F155" s="174"/>
      <c r="G155" s="14"/>
      <c r="I155" s="162"/>
      <c r="J155" s="56"/>
      <c r="K155" s="56"/>
      <c r="L155" s="56"/>
      <c r="M155" s="56"/>
      <c r="N155" s="56"/>
      <c r="O155" s="56"/>
      <c r="P155" s="56"/>
      <c r="Q155" s="56"/>
      <c r="R155" s="56"/>
      <c r="S155" s="56"/>
      <c r="T155" s="56"/>
      <c r="U155" s="56"/>
      <c r="V155" s="56"/>
      <c r="W155" s="56"/>
      <c r="X155" s="56"/>
      <c r="Y155" s="56"/>
      <c r="Z155" s="56"/>
      <c r="AA155" s="56"/>
      <c r="AB155" s="56"/>
      <c r="AC155" s="14"/>
      <c r="AD155" s="14"/>
      <c r="AE155" s="14"/>
      <c r="AF155" s="14"/>
      <c r="AG155" s="14"/>
      <c r="AH155" s="14"/>
      <c r="AI155" s="14"/>
      <c r="AJ155" s="14"/>
      <c r="AK155" s="14"/>
      <c r="AL155" s="14"/>
      <c r="AM155" s="14"/>
      <c r="AN155" s="14"/>
      <c r="AO155" s="14"/>
      <c r="AP155" s="17"/>
    </row>
    <row r="156" spans="1:42" x14ac:dyDescent="0.25">
      <c r="A156" s="12"/>
      <c r="B156" s="13"/>
      <c r="C156" s="37" t="s">
        <v>302</v>
      </c>
      <c r="D156" s="37"/>
      <c r="E156" s="38"/>
      <c r="F156" s="39"/>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17"/>
    </row>
    <row r="157" spans="1:42" x14ac:dyDescent="0.25">
      <c r="A157" s="12"/>
      <c r="B157" s="13"/>
      <c r="C157" s="136" t="s">
        <v>544</v>
      </c>
      <c r="D157" s="41"/>
      <c r="E157" s="15"/>
      <c r="F157" s="16"/>
      <c r="G157" s="14"/>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
      <c r="AD157" s="14"/>
      <c r="AE157" s="14"/>
      <c r="AF157" s="14"/>
      <c r="AG157" s="14"/>
      <c r="AH157" s="14"/>
      <c r="AI157" s="14"/>
      <c r="AJ157" s="14"/>
      <c r="AK157" s="14"/>
      <c r="AL157" s="14"/>
      <c r="AM157" s="14"/>
      <c r="AN157" s="14"/>
      <c r="AO157" s="14"/>
      <c r="AP157" s="17"/>
    </row>
    <row r="158" spans="1:42" x14ac:dyDescent="0.25">
      <c r="A158" s="12"/>
      <c r="B158" s="13"/>
      <c r="C158" s="96" t="s">
        <v>120</v>
      </c>
      <c r="D158" s="41"/>
      <c r="E158" s="15"/>
      <c r="F158" s="16"/>
      <c r="G158" s="14"/>
      <c r="H158" s="150">
        <f>Data!$E$309</f>
        <v>156000</v>
      </c>
      <c r="I158" s="159">
        <f>$H$158*(1-Data!$E$312)</f>
        <v>150025.20000000001</v>
      </c>
      <c r="J158" s="159">
        <f>I158*(1-Data!$E$312)</f>
        <v>144279.23484000002</v>
      </c>
      <c r="K158" s="159">
        <f>J158*(1-Data!$E$312)</f>
        <v>138753.34014562803</v>
      </c>
      <c r="L158" s="159">
        <f>K158*(1-Data!$E$312)</f>
        <v>133439.08721805047</v>
      </c>
      <c r="M158" s="159">
        <f>L158*(1-Data!$E$312)</f>
        <v>128328.37017759914</v>
      </c>
      <c r="N158" s="159">
        <f>M158*(1-Data!$E$312)</f>
        <v>123413.39359979708</v>
      </c>
      <c r="O158" s="159">
        <f>N158*(1-Data!$E$312)</f>
        <v>118686.66062492486</v>
      </c>
      <c r="P158" s="159">
        <f>O158*(1-Data!$E$312)</f>
        <v>114140.96152299024</v>
      </c>
      <c r="Q158" s="159">
        <f>P158*(1-Data!$E$312)</f>
        <v>109769.36269665971</v>
      </c>
      <c r="R158" s="159">
        <f>Q158*(1-Data!$E$312)</f>
        <v>105565.19610537765</v>
      </c>
      <c r="S158" s="159">
        <f>R158*(1-Data!$E$312)</f>
        <v>101522.04909454168</v>
      </c>
      <c r="T158" s="159">
        <f>S158*(1-Data!$E$312)</f>
        <v>97633.754614220743</v>
      </c>
      <c r="U158" s="159">
        <f>T158*(1-Data!$E$312)</f>
        <v>93894.381812496082</v>
      </c>
      <c r="V158" s="159">
        <f>U158*(1-Data!$E$312)</f>
        <v>90298.226989077477</v>
      </c>
      <c r="W158" s="159">
        <f>V158*(1-Data!$E$312)</f>
        <v>86839.804895395806</v>
      </c>
      <c r="X158" s="159">
        <f>W158*(1-Data!$E$312)</f>
        <v>83513.840367902143</v>
      </c>
      <c r="Y158" s="159">
        <f>X158*(1-Data!$E$312)</f>
        <v>80315.260281811497</v>
      </c>
      <c r="Z158" s="159">
        <f>Y158*(1-Data!$E$312)</f>
        <v>77239.185813018121</v>
      </c>
      <c r="AA158" s="159">
        <f>Z158*(1-Data!$E$312)</f>
        <v>74280.92499637953</v>
      </c>
      <c r="AB158" s="159">
        <f>AA158*(1-Data!$E$312)</f>
        <v>71435.965569018197</v>
      </c>
      <c r="AC158" s="159">
        <f>AB158*(1-Data!$E$312)</f>
        <v>68699.968087724803</v>
      </c>
      <c r="AD158" s="159"/>
      <c r="AE158" s="159"/>
      <c r="AF158" s="159"/>
      <c r="AG158" s="159"/>
      <c r="AH158" s="159"/>
      <c r="AI158" s="159"/>
      <c r="AJ158" s="159"/>
      <c r="AK158" s="159"/>
      <c r="AL158" s="159"/>
      <c r="AM158" s="159"/>
      <c r="AN158" s="159"/>
      <c r="AO158" s="159"/>
      <c r="AP158" s="17"/>
    </row>
    <row r="159" spans="1:42" x14ac:dyDescent="0.25">
      <c r="A159" s="12"/>
      <c r="B159" s="13"/>
      <c r="C159" s="96" t="s">
        <v>124</v>
      </c>
      <c r="D159" s="41"/>
      <c r="E159" s="15"/>
      <c r="F159" s="16"/>
      <c r="G159" s="14"/>
      <c r="H159" s="150">
        <f>Data!$E$310</f>
        <v>180000</v>
      </c>
      <c r="I159" s="159">
        <f>$H$159*(1-Data!$E$312)</f>
        <v>173106</v>
      </c>
      <c r="J159" s="159">
        <f>I159*(1-Data!$E$312)</f>
        <v>166476.04019999999</v>
      </c>
      <c r="K159" s="159">
        <f>J159*(1-Data!$E$312)</f>
        <v>160100.00786034</v>
      </c>
      <c r="L159" s="159">
        <f>K159*(1-Data!$E$312)</f>
        <v>153968.17755928898</v>
      </c>
      <c r="M159" s="159">
        <f>L159*(1-Data!$E$312)</f>
        <v>148071.19635876821</v>
      </c>
      <c r="N159" s="159">
        <f>M159*(1-Data!$E$312)</f>
        <v>142400.0695382274</v>
      </c>
      <c r="O159" s="159">
        <f>N159*(1-Data!$E$312)</f>
        <v>136946.14687491328</v>
      </c>
      <c r="P159" s="159">
        <f>O159*(1-Data!$E$312)</f>
        <v>131701.10944960409</v>
      </c>
      <c r="Q159" s="159">
        <f>P159*(1-Data!$E$312)</f>
        <v>126656.95695768425</v>
      </c>
      <c r="R159" s="159">
        <f>Q159*(1-Data!$E$312)</f>
        <v>121805.99550620494</v>
      </c>
      <c r="S159" s="159">
        <f>R159*(1-Data!$E$312)</f>
        <v>117140.82587831729</v>
      </c>
      <c r="T159" s="159">
        <f>S159*(1-Data!$E$312)</f>
        <v>112654.33224717774</v>
      </c>
      <c r="U159" s="159">
        <f>T159*(1-Data!$E$312)</f>
        <v>108339.67132211082</v>
      </c>
      <c r="V159" s="159">
        <f>U159*(1-Data!$E$312)</f>
        <v>104190.26191047397</v>
      </c>
      <c r="W159" s="159">
        <f>V159*(1-Data!$E$312)</f>
        <v>100199.77487930281</v>
      </c>
      <c r="X159" s="159">
        <f>W159*(1-Data!$E$312)</f>
        <v>96362.123501425522</v>
      </c>
      <c r="Y159" s="159">
        <f>X159*(1-Data!$E$312)</f>
        <v>92671.454171320918</v>
      </c>
      <c r="Z159" s="159">
        <f>Y159*(1-Data!$E$312)</f>
        <v>89122.137476559321</v>
      </c>
      <c r="AA159" s="159">
        <f>Z159*(1-Data!$E$312)</f>
        <v>85708.759611207104</v>
      </c>
      <c r="AB159" s="159">
        <f>AA159*(1-Data!$E$312)</f>
        <v>82426.114118097874</v>
      </c>
      <c r="AC159" s="159">
        <f>AB159*(1-Data!$E$312)</f>
        <v>79269.193947374719</v>
      </c>
      <c r="AD159" s="159"/>
      <c r="AE159" s="159"/>
      <c r="AF159" s="159"/>
      <c r="AG159" s="159"/>
      <c r="AH159" s="159"/>
      <c r="AI159" s="159"/>
      <c r="AJ159" s="159"/>
      <c r="AK159" s="159"/>
      <c r="AL159" s="159"/>
      <c r="AM159" s="159"/>
      <c r="AN159" s="159"/>
      <c r="AO159" s="159"/>
      <c r="AP159" s="17"/>
    </row>
    <row r="160" spans="1:42" x14ac:dyDescent="0.25">
      <c r="A160" s="12"/>
      <c r="B160" s="13"/>
      <c r="C160" s="96" t="s">
        <v>126</v>
      </c>
      <c r="D160" s="41"/>
      <c r="E160" s="15"/>
      <c r="F160" s="16"/>
      <c r="G160" s="14"/>
      <c r="H160" s="150">
        <f>Data!$E$311</f>
        <v>235000</v>
      </c>
      <c r="I160" s="159">
        <f>$H$160*(1-Data!$E$312)</f>
        <v>225999.5</v>
      </c>
      <c r="J160" s="159">
        <f>I160*(1-Data!$E$312)</f>
        <v>217343.71914999999</v>
      </c>
      <c r="K160" s="159">
        <f>J160*(1-Data!$E$312)</f>
        <v>209019.454706555</v>
      </c>
      <c r="L160" s="159">
        <f>K160*(1-Data!$E$312)</f>
        <v>201014.00959129393</v>
      </c>
      <c r="M160" s="159">
        <f>L160*(1-Data!$E$312)</f>
        <v>193315.17302394737</v>
      </c>
      <c r="N160" s="159">
        <f>M160*(1-Data!$E$312)</f>
        <v>185911.20189713017</v>
      </c>
      <c r="O160" s="159">
        <f>N160*(1-Data!$E$312)</f>
        <v>178790.80286447008</v>
      </c>
      <c r="P160" s="159">
        <f>O160*(1-Data!$E$312)</f>
        <v>171943.11511476088</v>
      </c>
      <c r="Q160" s="159">
        <f>P160*(1-Data!$E$312)</f>
        <v>165357.69380586554</v>
      </c>
      <c r="R160" s="159">
        <f>Q160*(1-Data!$E$312)</f>
        <v>159024.49413310087</v>
      </c>
      <c r="S160" s="159">
        <f>R160*(1-Data!$E$312)</f>
        <v>152933.85600780312</v>
      </c>
      <c r="T160" s="159">
        <f>S160*(1-Data!$E$312)</f>
        <v>147076.48932270426</v>
      </c>
      <c r="U160" s="159">
        <f>T160*(1-Data!$E$312)</f>
        <v>141443.45978164469</v>
      </c>
      <c r="V160" s="159">
        <f>U160*(1-Data!$E$312)</f>
        <v>136026.17527200771</v>
      </c>
      <c r="W160" s="159">
        <f>V160*(1-Data!$E$312)</f>
        <v>130816.37275908981</v>
      </c>
      <c r="X160" s="159">
        <f>W160*(1-Data!$E$312)</f>
        <v>125806.10568241666</v>
      </c>
      <c r="Y160" s="159">
        <f>X160*(1-Data!$E$312)</f>
        <v>120987.7318347801</v>
      </c>
      <c r="Z160" s="159">
        <f>Y160*(1-Data!$E$312)</f>
        <v>116353.90170550803</v>
      </c>
      <c r="AA160" s="159">
        <f>Z160*(1-Data!$E$312)</f>
        <v>111897.54727018707</v>
      </c>
      <c r="AB160" s="159">
        <f>AA160*(1-Data!$E$312)</f>
        <v>107611.87120973891</v>
      </c>
      <c r="AC160" s="159">
        <f>AB160*(1-Data!$E$312)</f>
        <v>103490.3365424059</v>
      </c>
      <c r="AD160" s="159"/>
      <c r="AE160" s="159"/>
      <c r="AF160" s="159"/>
      <c r="AG160" s="159"/>
      <c r="AH160" s="159"/>
      <c r="AI160" s="159"/>
      <c r="AJ160" s="159"/>
      <c r="AK160" s="159"/>
      <c r="AL160" s="159"/>
      <c r="AM160" s="159"/>
      <c r="AN160" s="159"/>
      <c r="AO160" s="159"/>
      <c r="AP160" s="17"/>
    </row>
    <row r="161" spans="1:42" outlineLevel="1" x14ac:dyDescent="0.25">
      <c r="A161" s="23"/>
      <c r="B161" s="23"/>
      <c r="C161" s="24" t="s">
        <v>505</v>
      </c>
      <c r="D161" s="24"/>
      <c r="E161" s="25"/>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7"/>
    </row>
    <row r="162" spans="1:42" outlineLevel="1" x14ac:dyDescent="0.25">
      <c r="A162" s="12"/>
      <c r="B162" s="13"/>
      <c r="C162" s="37" t="s">
        <v>508</v>
      </c>
      <c r="D162" s="37"/>
      <c r="E162" s="38"/>
      <c r="F162" s="39"/>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17"/>
    </row>
    <row r="163" spans="1:42" outlineLevel="1" x14ac:dyDescent="0.25">
      <c r="A163" s="12"/>
      <c r="B163" s="13"/>
      <c r="C163" s="95" t="s">
        <v>254</v>
      </c>
      <c r="D163" s="14"/>
      <c r="E163" s="15"/>
      <c r="F163" s="16"/>
      <c r="G163" s="14"/>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29"/>
    </row>
    <row r="164" spans="1:42" outlineLevel="1" x14ac:dyDescent="0.25">
      <c r="A164" s="12"/>
      <c r="B164" s="13"/>
      <c r="C164" s="96" t="s">
        <v>120</v>
      </c>
      <c r="D164" s="14"/>
      <c r="E164" s="15" t="s">
        <v>142</v>
      </c>
      <c r="F164" s="158" t="str">
        <f>Dashboard!$I$53</f>
        <v>3 Axle rigid</v>
      </c>
      <c r="G164" s="14"/>
      <c r="H164" s="150">
        <f>IF(C164=F164,Data!$E$236,0)</f>
        <v>0</v>
      </c>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29"/>
    </row>
    <row r="165" spans="1:42" outlineLevel="1" x14ac:dyDescent="0.25">
      <c r="A165" s="12"/>
      <c r="B165" s="13"/>
      <c r="C165" s="96" t="s">
        <v>124</v>
      </c>
      <c r="D165" s="14"/>
      <c r="E165" s="15" t="s">
        <v>142</v>
      </c>
      <c r="F165" s="158" t="str">
        <f>Dashboard!$I$53</f>
        <v>3 Axle rigid</v>
      </c>
      <c r="G165" s="14"/>
      <c r="H165" s="150">
        <f>IF(C165=F165,Data!$E$237,0)</f>
        <v>398500</v>
      </c>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29"/>
    </row>
    <row r="166" spans="1:42" outlineLevel="1" x14ac:dyDescent="0.25">
      <c r="A166" s="12"/>
      <c r="B166" s="13"/>
      <c r="C166" s="96" t="s">
        <v>126</v>
      </c>
      <c r="D166" s="14"/>
      <c r="E166" s="15" t="s">
        <v>142</v>
      </c>
      <c r="F166" s="158" t="str">
        <f>Dashboard!$I$53</f>
        <v>3 Axle rigid</v>
      </c>
      <c r="G166" s="14"/>
      <c r="H166" s="150">
        <f>IF(C166=F166,Data!$E$238,0)</f>
        <v>0</v>
      </c>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29"/>
    </row>
    <row r="167" spans="1:42" outlineLevel="1" x14ac:dyDescent="0.25">
      <c r="A167" s="12"/>
      <c r="B167" s="13"/>
      <c r="C167" s="96"/>
      <c r="D167" s="14"/>
      <c r="E167" s="15"/>
      <c r="F167" s="158"/>
      <c r="G167" s="14"/>
      <c r="H167" s="150"/>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29"/>
    </row>
    <row r="168" spans="1:42" outlineLevel="1" x14ac:dyDescent="0.25">
      <c r="A168" s="12"/>
      <c r="B168" s="13"/>
      <c r="C168" s="95" t="s">
        <v>545</v>
      </c>
      <c r="D168" s="14"/>
      <c r="E168" s="15"/>
      <c r="F168" s="158"/>
      <c r="G168" s="14"/>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29"/>
    </row>
    <row r="169" spans="1:42" outlineLevel="1" x14ac:dyDescent="0.25">
      <c r="A169" s="12"/>
      <c r="B169" s="13"/>
      <c r="C169" s="96" t="s">
        <v>120</v>
      </c>
      <c r="D169" s="14"/>
      <c r="E169" s="15" t="s">
        <v>142</v>
      </c>
      <c r="F169" s="158" t="str">
        <f>Dashboard!$I$53</f>
        <v>3 Axle rigid</v>
      </c>
      <c r="G169" s="14"/>
      <c r="H169" s="151"/>
      <c r="I169" s="151"/>
      <c r="J169" s="151"/>
      <c r="K169" s="151"/>
      <c r="L169" s="151"/>
      <c r="M169" s="151"/>
      <c r="N169" s="151"/>
      <c r="O169" s="151"/>
      <c r="P169" s="151"/>
      <c r="Q169" s="151">
        <f>IF(Dashboard!$I$32&gt;Data!$E$242, IF($F$169=$C$169,Q158,0),0)</f>
        <v>0</v>
      </c>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29"/>
    </row>
    <row r="170" spans="1:42" outlineLevel="1" x14ac:dyDescent="0.25">
      <c r="A170" s="12"/>
      <c r="B170" s="13"/>
      <c r="C170" s="96" t="s">
        <v>124</v>
      </c>
      <c r="D170" s="14"/>
      <c r="E170" s="15" t="s">
        <v>142</v>
      </c>
      <c r="F170" s="158" t="str">
        <f>Dashboard!$I$53</f>
        <v>3 Axle rigid</v>
      </c>
      <c r="G170" s="14"/>
      <c r="H170" s="151"/>
      <c r="I170" s="151"/>
      <c r="J170" s="151"/>
      <c r="K170" s="151"/>
      <c r="L170" s="151"/>
      <c r="M170" s="151"/>
      <c r="N170" s="151"/>
      <c r="O170" s="151"/>
      <c r="P170" s="151"/>
      <c r="Q170" s="151">
        <f>IF(Dashboard!$I$32&gt;Data!$E$242, IF($F$170=$C$170,Q159,0),0)</f>
        <v>0</v>
      </c>
      <c r="R170" s="151"/>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29"/>
    </row>
    <row r="171" spans="1:42" outlineLevel="1" x14ac:dyDescent="0.25">
      <c r="A171" s="12"/>
      <c r="B171" s="13"/>
      <c r="C171" s="96" t="s">
        <v>126</v>
      </c>
      <c r="D171" s="14"/>
      <c r="E171" s="15" t="s">
        <v>142</v>
      </c>
      <c r="F171" s="158" t="str">
        <f>Dashboard!$I$53</f>
        <v>3 Axle rigid</v>
      </c>
      <c r="G171" s="14"/>
      <c r="H171" s="151"/>
      <c r="I171" s="151"/>
      <c r="J171" s="151"/>
      <c r="K171" s="151"/>
      <c r="L171" s="151"/>
      <c r="M171" s="151"/>
      <c r="N171" s="151"/>
      <c r="O171" s="151"/>
      <c r="P171" s="151"/>
      <c r="Q171" s="151">
        <f>IF(Dashboard!$I$32&gt;Data!$E$242, IF($F$171=$C$171,Q160,0),0)</f>
        <v>0</v>
      </c>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29"/>
    </row>
    <row r="172" spans="1:42" outlineLevel="1" x14ac:dyDescent="0.25">
      <c r="A172" s="12"/>
      <c r="B172" s="13"/>
      <c r="C172" s="96"/>
      <c r="D172" s="14"/>
      <c r="E172" s="15"/>
      <c r="F172" s="158"/>
      <c r="G172" s="14"/>
      <c r="H172" s="150"/>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29"/>
    </row>
    <row r="173" spans="1:42" outlineLevel="1" x14ac:dyDescent="0.25">
      <c r="A173" s="12"/>
      <c r="B173" s="13"/>
      <c r="C173" s="20" t="s">
        <v>306</v>
      </c>
      <c r="D173" s="14"/>
      <c r="E173" s="15"/>
      <c r="F173" s="16"/>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7"/>
    </row>
    <row r="174" spans="1:42" outlineLevel="1" x14ac:dyDescent="0.25">
      <c r="A174" s="12"/>
      <c r="B174" s="13"/>
      <c r="C174" s="14" t="s">
        <v>546</v>
      </c>
      <c r="D174" s="14"/>
      <c r="E174" s="15" t="s">
        <v>142</v>
      </c>
      <c r="F174" s="16"/>
      <c r="G174" s="14"/>
      <c r="H174" s="150">
        <f>Data!$E$252</f>
        <v>62335</v>
      </c>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7"/>
    </row>
    <row r="175" spans="1:42" outlineLevel="1" x14ac:dyDescent="0.25">
      <c r="A175" s="12"/>
      <c r="B175" s="13"/>
      <c r="C175" s="14" t="s">
        <v>547</v>
      </c>
      <c r="D175" s="14"/>
      <c r="E175" s="15" t="s">
        <v>142</v>
      </c>
      <c r="F175" s="16"/>
      <c r="G175" s="14"/>
      <c r="H175" s="150">
        <f>Data!$E$253</f>
        <v>70444.868888888886</v>
      </c>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7"/>
    </row>
    <row r="176" spans="1:42" outlineLevel="1" x14ac:dyDescent="0.25">
      <c r="A176" s="12"/>
      <c r="B176" s="13"/>
      <c r="C176" s="136" t="s">
        <v>310</v>
      </c>
      <c r="D176" s="14"/>
      <c r="E176" s="15" t="s">
        <v>142</v>
      </c>
      <c r="F176" s="158">
        <f>Dashboard!$I$54</f>
        <v>0</v>
      </c>
      <c r="G176" s="14"/>
      <c r="H176" s="177">
        <f>(Data!$E$254*Repowered!F176)/Dashboard!$I$51</f>
        <v>0</v>
      </c>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7"/>
    </row>
    <row r="177" spans="1:42" outlineLevel="1" x14ac:dyDescent="0.25">
      <c r="A177" s="12"/>
      <c r="B177" s="13"/>
      <c r="C177" s="14" t="s">
        <v>311</v>
      </c>
      <c r="D177" s="14"/>
      <c r="E177" s="15" t="s">
        <v>142</v>
      </c>
      <c r="F177" s="16"/>
      <c r="G177" s="14"/>
      <c r="H177" s="177">
        <f>(Data!$E$255*F176)/Dashboard!$I$51</f>
        <v>0</v>
      </c>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7"/>
    </row>
    <row r="178" spans="1:42" outlineLevel="1" x14ac:dyDescent="0.25">
      <c r="A178" s="12"/>
      <c r="B178" s="13"/>
      <c r="C178" s="45"/>
      <c r="D178" s="45"/>
      <c r="E178" s="15"/>
      <c r="F178" s="16"/>
      <c r="G178" s="14"/>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9"/>
    </row>
    <row r="179" spans="1:42" outlineLevel="1" x14ac:dyDescent="0.25">
      <c r="A179" s="12"/>
      <c r="B179" s="13"/>
      <c r="C179" s="19" t="s">
        <v>510</v>
      </c>
      <c r="D179" s="45"/>
      <c r="E179" s="15"/>
      <c r="F179" s="16"/>
      <c r="G179" s="14"/>
      <c r="H179" s="182">
        <f>SUM(H164:H178)</f>
        <v>531279.86888888886</v>
      </c>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9"/>
    </row>
    <row r="180" spans="1:42" s="140" customFormat="1" outlineLevel="1" x14ac:dyDescent="0.25">
      <c r="A180" s="78"/>
      <c r="B180" s="19"/>
      <c r="C180" s="95" t="s">
        <v>511</v>
      </c>
      <c r="D180" s="20"/>
      <c r="E180" s="21"/>
      <c r="F180" s="48"/>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P180" s="370"/>
    </row>
    <row r="181" spans="1:42" s="140" customFormat="1" outlineLevel="1" x14ac:dyDescent="0.25">
      <c r="A181" s="78"/>
      <c r="B181" s="19"/>
      <c r="C181" s="414" t="s">
        <v>511</v>
      </c>
      <c r="D181" s="415" t="s">
        <v>548</v>
      </c>
      <c r="E181" s="416" t="s">
        <v>304</v>
      </c>
      <c r="F181" s="48"/>
      <c r="G181" s="20"/>
      <c r="H181" s="14"/>
      <c r="I181" s="369"/>
      <c r="J181" s="369"/>
      <c r="K181" s="369"/>
      <c r="L181" s="369"/>
      <c r="M181" s="369"/>
      <c r="N181" s="369"/>
      <c r="O181" s="369"/>
      <c r="P181" s="369"/>
      <c r="Q181" s="369"/>
      <c r="R181" s="369"/>
      <c r="S181" s="369"/>
      <c r="T181" s="369"/>
      <c r="U181" s="369"/>
      <c r="V181" s="369"/>
      <c r="W181" s="369"/>
      <c r="X181" s="369"/>
      <c r="Y181" s="369"/>
      <c r="Z181" s="369"/>
      <c r="AA181" s="369"/>
      <c r="AB181" s="369"/>
      <c r="AC181" s="369"/>
      <c r="AD181" s="369"/>
      <c r="AE181" s="369"/>
      <c r="AF181" s="369"/>
      <c r="AG181" s="369"/>
      <c r="AH181" s="369"/>
      <c r="AI181" s="369"/>
      <c r="AJ181" s="369"/>
      <c r="AK181" s="369"/>
      <c r="AL181" s="369"/>
      <c r="AM181" s="369"/>
      <c r="AN181" s="369"/>
      <c r="AO181" s="369"/>
      <c r="AP181" s="370"/>
    </row>
    <row r="182" spans="1:42" s="140" customFormat="1" ht="14.25" customHeight="1" outlineLevel="1" x14ac:dyDescent="0.25">
      <c r="A182" s="78"/>
      <c r="B182" s="19"/>
      <c r="C182" s="414" t="s">
        <v>549</v>
      </c>
      <c r="D182" s="417">
        <f>H179</f>
        <v>531279.86888888886</v>
      </c>
      <c r="E182" s="418">
        <f>Dashboard!$I$32</f>
        <v>12</v>
      </c>
      <c r="F182" s="48"/>
      <c r="G182" s="20"/>
      <c r="H182" s="14"/>
      <c r="I182" s="244">
        <f>IF(I154&gt;0,-PMT(Data!$E$10,$E$182,$D$182,0,0),0)</f>
        <v>56609.024334474394</v>
      </c>
      <c r="J182" s="244">
        <f>IF(J154&gt;0,-PMT(Data!$E$10,$E$182,$D$182,0,0),0)</f>
        <v>56609.024334474394</v>
      </c>
      <c r="K182" s="244">
        <f>IF(K154&gt;0,-PMT(Data!$E$10,$E$182,$D$182,0,0),0)</f>
        <v>56609.024334474394</v>
      </c>
      <c r="L182" s="244">
        <f>IF(L154&gt;0,-PMT(Data!$E$10,$E$182,$D$182,0,0),0)</f>
        <v>56609.024334474394</v>
      </c>
      <c r="M182" s="244">
        <f>IF(M154&gt;0,-PMT(Data!$E$10,$E$182,$D$182,0,0),0)</f>
        <v>56609.024334474394</v>
      </c>
      <c r="N182" s="244">
        <f>IF(N154&gt;0,-PMT(Data!$E$10,$E$182,$D$182,0,0),0)</f>
        <v>56609.024334474394</v>
      </c>
      <c r="O182" s="244">
        <f>IF(O154&gt;0,-PMT(Data!$E$10,$E$182,$D$182,0,0),0)</f>
        <v>56609.024334474394</v>
      </c>
      <c r="P182" s="244">
        <f>IF(P154&gt;0,-PMT(Data!$E$10,$E$182,$D$182,0,0),0)</f>
        <v>56609.024334474394</v>
      </c>
      <c r="Q182" s="244">
        <f>IF(Q154&gt;0,-PMT(Data!$E$10,$E$182,$D$182,0,0),0)</f>
        <v>56609.024334474394</v>
      </c>
      <c r="R182" s="244">
        <f>IF(R154&gt;0,-PMT(Data!$E$10,$E$182,$D$182,0,0),0)</f>
        <v>56609.024334474394</v>
      </c>
      <c r="S182" s="244">
        <f>IF(S154&gt;0,-PMT(Data!$E$10,$E$182,$D$182,0,0),0)</f>
        <v>56609.024334474394</v>
      </c>
      <c r="T182" s="244">
        <f>IF(T154&gt;0,-PMT(Data!$E$10,$E$182,$D$182,0,0),0)</f>
        <v>56609.024334474394</v>
      </c>
      <c r="U182" s="244">
        <f>IF(U154&gt;0,-PMT(Data!$E$10,$E$182,$D$182,0,0),0)</f>
        <v>0</v>
      </c>
      <c r="V182" s="244">
        <f>IF(V154&gt;0,-PMT(Data!$E$10,$E$182,$D$182,0,0),0)</f>
        <v>0</v>
      </c>
      <c r="W182" s="244">
        <f>IF(W154&gt;0,-PMT(Data!$E$10,$E$182,$D$182,0,0),0)</f>
        <v>0</v>
      </c>
      <c r="X182" s="244">
        <f>IF(X154&gt;0,-PMT(Data!$E$10,$E$182,$D$182,0,0),0)</f>
        <v>0</v>
      </c>
      <c r="Y182" s="244">
        <f>IF(Y154&gt;0,-PMT(Data!$E$10,$E$182,$D$182,0,0),0)</f>
        <v>0</v>
      </c>
      <c r="Z182" s="244">
        <f>IF(Z154&gt;0,-PMT(Data!$E$10,$E$182,$D$182,0,0),0)</f>
        <v>0</v>
      </c>
      <c r="AA182" s="244">
        <f>IF(AA154&gt;0,-PMT(Data!$E$10,$E$182,$D$182,0,0),0)</f>
        <v>0</v>
      </c>
      <c r="AB182" s="244">
        <f>IF(AB154&gt;0,-PMT(Data!$E$10,$E$182,$D$182,0,0),0)</f>
        <v>0</v>
      </c>
      <c r="AC182" s="244">
        <f>IF(AC154&gt;0,-PMT(Data!$E$10,$E$182,$D$182,0,0),0)</f>
        <v>0</v>
      </c>
      <c r="AD182" s="244">
        <f>IF(AD154&gt;0,-PMT(Data!$E$10,$E$182,$D$182,0,0),0)</f>
        <v>0</v>
      </c>
      <c r="AE182" s="244">
        <f>IF(AE154&gt;0,-PMT(Data!$E$10,Dashboard!$I$31,$H$179,0,0),0)</f>
        <v>0</v>
      </c>
      <c r="AF182" s="244">
        <f>IF(AF154&gt;0,-PMT(Data!$E$10,Dashboard!$I$31,$H$179,0,0),0)</f>
        <v>0</v>
      </c>
      <c r="AG182" s="244">
        <f>IF(AG154&gt;0,-PMT(Data!$E$10,Dashboard!$I$31,$H$179,0,0),0)</f>
        <v>0</v>
      </c>
      <c r="AH182" s="244">
        <f>IF(AH154&gt;0,-PMT(Data!$E$10,Dashboard!$I$31,$H$179,0,0),0)</f>
        <v>0</v>
      </c>
      <c r="AI182" s="244">
        <f>IF(AI154&gt;0,-PMT(Data!$E$10,Dashboard!$I$31,$H$179,0,0),0)</f>
        <v>0</v>
      </c>
      <c r="AJ182" s="244">
        <f>IF(AJ154&gt;0,-PMT(Data!$E$10,Dashboard!$I$31,$H$179,0,0),0)</f>
        <v>0</v>
      </c>
      <c r="AK182" s="244">
        <f>IF(AK154&gt;0,-PMT(Data!$E$10,Dashboard!$I$31,$H$179,0,0),0)</f>
        <v>0</v>
      </c>
      <c r="AL182" s="244">
        <f>IF(AL154&gt;0,-PMT(Data!$E$10,Dashboard!$I$31,$H$179,0,0),0)</f>
        <v>0</v>
      </c>
      <c r="AM182" s="244">
        <f>IF(AM154&gt;0,-PMT(Data!$E$10,Dashboard!$I$31,$H$179,0,0),0)</f>
        <v>0</v>
      </c>
      <c r="AN182" s="244">
        <f>IF(AN154&gt;0,-PMT(Data!$E$10,Dashboard!$I$31,$H$179,0,0),0)</f>
        <v>0</v>
      </c>
      <c r="AO182" s="244">
        <f>IF(AO154&gt;0,-PMT(Data!$E$10,Dashboard!$I$31,$H$179,0,0),0)</f>
        <v>0</v>
      </c>
      <c r="AP182" s="370"/>
    </row>
    <row r="183" spans="1:42" s="140" customFormat="1" outlineLevel="1" x14ac:dyDescent="0.25">
      <c r="A183" s="78"/>
      <c r="B183" s="19"/>
      <c r="C183" s="414" t="s">
        <v>550</v>
      </c>
      <c r="D183" s="417">
        <f>SUM(Q169:Q171)</f>
        <v>0</v>
      </c>
      <c r="E183" s="418">
        <f>IF(SUM(Q169:Q171)&gt;0,(E182-Data!$E$241),0)</f>
        <v>0</v>
      </c>
      <c r="F183" s="48"/>
      <c r="G183" s="20"/>
      <c r="H183" s="14"/>
      <c r="I183"/>
      <c r="J183" s="369"/>
      <c r="K183" s="369"/>
      <c r="L183" s="369"/>
      <c r="M183" s="369"/>
      <c r="N183" s="369"/>
      <c r="O183" s="369"/>
      <c r="P183" s="369"/>
      <c r="Q183"/>
      <c r="R183" s="369">
        <f>IFERROR(IF(R182&gt;0,-PMT(Data!$E$10,$E$41,$D$41,0,0),0),)</f>
        <v>0</v>
      </c>
      <c r="S183" s="369">
        <f>IFERROR(IF(S182&gt;0,-PMT(Data!$E$10,$E$41,$D$41,0,0),0),)</f>
        <v>0</v>
      </c>
      <c r="T183" s="369">
        <f>IFERROR(IF(T182&gt;0,-PMT(Data!$E$10,$E$41,$D$41,0,0),0),)</f>
        <v>0</v>
      </c>
      <c r="U183" s="369">
        <f>IFERROR(IF(U182&gt;0,-PMT(Data!$E$10,$E$41,$D$41,0,0),0),)</f>
        <v>0</v>
      </c>
      <c r="V183" s="369">
        <f>IFERROR(IF(V182&gt;0,-PMT(Data!$E$10,$E$41,$D$41,0,0),0),)</f>
        <v>0</v>
      </c>
      <c r="W183" s="369">
        <f>IFERROR(IF(W182&gt;0,-PMT(Data!$E$10,$E$41,$D$41,0,0),0),)</f>
        <v>0</v>
      </c>
      <c r="X183" s="369">
        <f>IFERROR(IF(X182&gt;0,-PMT(Data!$E$10,$E$41,$D$41,0,0),0),)</f>
        <v>0</v>
      </c>
      <c r="Y183" s="369">
        <f>IFERROR(IF(Y182&gt;0,-PMT(Data!$E$10,$E$41,$D$41,0,0),0),)</f>
        <v>0</v>
      </c>
      <c r="Z183" s="369">
        <f>IFERROR(IF(Z182&gt;0,-PMT(Data!$E$10,$E$41,$D$41,0,0),0),)</f>
        <v>0</v>
      </c>
      <c r="AA183" s="369">
        <f>IFERROR(IF(AA182&gt;0,-PMT(Data!$E$10,$E$41,$D$41,0,0),0),)</f>
        <v>0</v>
      </c>
      <c r="AB183" s="369">
        <f>IFERROR(IF(AB182&gt;0,-PMT(Data!$E$10,$E$41,$D$41,0,0),0),)</f>
        <v>0</v>
      </c>
      <c r="AC183" s="369">
        <f>IFERROR(IF(AC182&gt;0,-PMT(Data!$E$10,$E$41,$D$41,0,0),0),)</f>
        <v>0</v>
      </c>
      <c r="AD183" s="369">
        <f>IFERROR(IF(AD182&gt;0,-PMT(Data!$E$10,$E$41,$D$41,0,0),0),)</f>
        <v>0</v>
      </c>
      <c r="AE183" s="369">
        <f>IFERROR(IF(#REF!&gt;0,-PMT(Data!$E$10,$E$41,$D$41,0,0),0),)</f>
        <v>0</v>
      </c>
      <c r="AF183" s="369"/>
      <c r="AG183" s="369"/>
      <c r="AH183" s="369"/>
      <c r="AI183" s="369"/>
      <c r="AJ183" s="369"/>
      <c r="AK183" s="369"/>
      <c r="AL183" s="369"/>
      <c r="AM183" s="369"/>
      <c r="AN183" s="369"/>
      <c r="AO183" s="369"/>
      <c r="AP183" s="370"/>
    </row>
    <row r="184" spans="1:42" s="140" customFormat="1" outlineLevel="1" x14ac:dyDescent="0.25">
      <c r="A184" s="78"/>
      <c r="B184" s="19"/>
      <c r="C184" s="95"/>
      <c r="D184" s="20"/>
      <c r="E184" s="21"/>
      <c r="F184" s="48"/>
      <c r="G184" s="20"/>
      <c r="H184" s="20"/>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c r="AH184" s="244"/>
      <c r="AI184" s="244"/>
      <c r="AJ184" s="244"/>
      <c r="AK184" s="244"/>
      <c r="AL184" s="244"/>
      <c r="AM184" s="244"/>
      <c r="AN184" s="244"/>
      <c r="AO184" s="244"/>
      <c r="AP184" s="370"/>
    </row>
    <row r="185" spans="1:42" outlineLevel="1" x14ac:dyDescent="0.25">
      <c r="A185" s="12"/>
      <c r="B185" s="13"/>
      <c r="C185" s="19" t="s">
        <v>510</v>
      </c>
      <c r="D185" s="45"/>
      <c r="E185" s="15"/>
      <c r="F185" s="16"/>
      <c r="G185" s="14"/>
      <c r="H185" s="20"/>
      <c r="I185" s="413">
        <f>I182+I183</f>
        <v>56609.024334474394</v>
      </c>
      <c r="J185" s="413">
        <f t="shared" ref="J185:AG185" si="28">J182+J183</f>
        <v>56609.024334474394</v>
      </c>
      <c r="K185" s="413">
        <f t="shared" si="28"/>
        <v>56609.024334474394</v>
      </c>
      <c r="L185" s="413">
        <f t="shared" si="28"/>
        <v>56609.024334474394</v>
      </c>
      <c r="M185" s="413">
        <f t="shared" si="28"/>
        <v>56609.024334474394</v>
      </c>
      <c r="N185" s="413">
        <f t="shared" si="28"/>
        <v>56609.024334474394</v>
      </c>
      <c r="O185" s="413">
        <f t="shared" si="28"/>
        <v>56609.024334474394</v>
      </c>
      <c r="P185" s="413">
        <f t="shared" si="28"/>
        <v>56609.024334474394</v>
      </c>
      <c r="Q185" s="413">
        <f t="shared" si="28"/>
        <v>56609.024334474394</v>
      </c>
      <c r="R185" s="413">
        <f t="shared" si="28"/>
        <v>56609.024334474394</v>
      </c>
      <c r="S185" s="413">
        <f t="shared" si="28"/>
        <v>56609.024334474394</v>
      </c>
      <c r="T185" s="413">
        <f t="shared" si="28"/>
        <v>56609.024334474394</v>
      </c>
      <c r="U185" s="413">
        <f t="shared" si="28"/>
        <v>0</v>
      </c>
      <c r="V185" s="413">
        <f t="shared" si="28"/>
        <v>0</v>
      </c>
      <c r="W185" s="413">
        <f t="shared" si="28"/>
        <v>0</v>
      </c>
      <c r="X185" s="413">
        <f t="shared" si="28"/>
        <v>0</v>
      </c>
      <c r="Y185" s="413">
        <f t="shared" si="28"/>
        <v>0</v>
      </c>
      <c r="Z185" s="413">
        <f t="shared" si="28"/>
        <v>0</v>
      </c>
      <c r="AA185" s="413">
        <f t="shared" si="28"/>
        <v>0</v>
      </c>
      <c r="AB185" s="413">
        <f t="shared" si="28"/>
        <v>0</v>
      </c>
      <c r="AC185" s="413">
        <f t="shared" si="28"/>
        <v>0</v>
      </c>
      <c r="AD185" s="413">
        <f t="shared" si="28"/>
        <v>0</v>
      </c>
      <c r="AE185" s="413">
        <f t="shared" si="28"/>
        <v>0</v>
      </c>
      <c r="AF185" s="413">
        <f t="shared" si="28"/>
        <v>0</v>
      </c>
      <c r="AG185" s="413">
        <f t="shared" si="28"/>
        <v>0</v>
      </c>
      <c r="AH185" s="28"/>
      <c r="AI185" s="28"/>
      <c r="AJ185" s="28"/>
      <c r="AK185" s="28"/>
      <c r="AL185" s="28"/>
      <c r="AM185" s="28"/>
      <c r="AN185" s="28"/>
      <c r="AO185" s="28"/>
      <c r="AP185" s="29"/>
    </row>
    <row r="186" spans="1:42" outlineLevel="1" x14ac:dyDescent="0.25">
      <c r="A186" s="12"/>
      <c r="B186" s="13"/>
      <c r="C186" s="19"/>
      <c r="D186" s="45"/>
      <c r="E186" s="15"/>
      <c r="F186" s="16"/>
      <c r="G186" s="14"/>
      <c r="H186" s="20"/>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28"/>
      <c r="AI186" s="28"/>
      <c r="AJ186" s="28"/>
      <c r="AK186" s="28"/>
      <c r="AL186" s="28"/>
      <c r="AM186" s="28"/>
      <c r="AN186" s="28"/>
      <c r="AO186" s="28"/>
      <c r="AP186" s="29"/>
    </row>
    <row r="187" spans="1:42" outlineLevel="1" x14ac:dyDescent="0.25">
      <c r="A187" s="12"/>
      <c r="B187" s="13"/>
      <c r="C187" s="37" t="s">
        <v>472</v>
      </c>
      <c r="D187" s="37"/>
      <c r="E187" s="38"/>
      <c r="F187" s="39"/>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17"/>
    </row>
    <row r="188" spans="1:42" outlineLevel="1" x14ac:dyDescent="0.25">
      <c r="A188" s="12"/>
      <c r="B188" s="13"/>
      <c r="C188" s="44" t="s">
        <v>258</v>
      </c>
      <c r="D188" s="44"/>
      <c r="E188" s="15"/>
      <c r="F188" s="16"/>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7"/>
    </row>
    <row r="189" spans="1:42" outlineLevel="1" x14ac:dyDescent="0.25">
      <c r="A189" s="12"/>
      <c r="B189" s="13"/>
      <c r="C189" s="45" t="s">
        <v>120</v>
      </c>
      <c r="D189" s="45"/>
      <c r="E189" s="15" t="s">
        <v>474</v>
      </c>
      <c r="F189" s="158" t="str">
        <f>Dashboard!$I$53</f>
        <v>3 Axle rigid</v>
      </c>
      <c r="G189" s="14"/>
      <c r="H189" s="177"/>
      <c r="I189" s="177">
        <f>IF($C$189=$F$189,Data!$E$260*I$154,0)</f>
        <v>0</v>
      </c>
      <c r="J189" s="177">
        <f>IF($C$189=$F$189,Data!$E$260*J$154,0)</f>
        <v>0</v>
      </c>
      <c r="K189" s="177">
        <f>IF($C$189=$F$189,Data!$E$260*K$154,0)</f>
        <v>0</v>
      </c>
      <c r="L189" s="177">
        <f>IF($C$189=$F$189,Data!$E$260*L$154,0)</f>
        <v>0</v>
      </c>
      <c r="M189" s="177">
        <f>IF($C$189=$F$189,Data!$E$260*M$154,0)</f>
        <v>0</v>
      </c>
      <c r="N189" s="177">
        <f>IF($C$189=$F$189,Data!$E$260*N$154,0)</f>
        <v>0</v>
      </c>
      <c r="O189" s="177">
        <f>IF($C$189=$F$189,Data!$E$260*O$154,0)</f>
        <v>0</v>
      </c>
      <c r="P189" s="177">
        <f>IF($C$189=$F$189,Data!$E$260*P$154,0)</f>
        <v>0</v>
      </c>
      <c r="Q189" s="177">
        <f>IF($C$189=$F$189,Data!$E$260*Q$154,0)</f>
        <v>0</v>
      </c>
      <c r="R189" s="177">
        <f>IF($C$189=$F$189,Data!$E$260*R$154,0)</f>
        <v>0</v>
      </c>
      <c r="S189" s="177">
        <f>IF($C$189=$F$189,Data!$E$260*S$154,0)</f>
        <v>0</v>
      </c>
      <c r="T189" s="177">
        <f>IF($C$189=$F$189,Data!$E$260*T$154,0)</f>
        <v>0</v>
      </c>
      <c r="U189" s="177">
        <f>IF($C$189=$F$189,Data!$E$260*U$154,0)</f>
        <v>0</v>
      </c>
      <c r="V189" s="177">
        <f>IF($C$189=$F$189,Data!$E$260*V$154,0)</f>
        <v>0</v>
      </c>
      <c r="W189" s="177">
        <f>IF($C$189=$F$189,Data!$E$260*W$154,0)</f>
        <v>0</v>
      </c>
      <c r="X189" s="177">
        <f>IF($C$189=$F$189,Data!$E$260*X$154,0)</f>
        <v>0</v>
      </c>
      <c r="Y189" s="177">
        <f>IF($C$189=$F$189,Data!$E$260*Y$154,0)</f>
        <v>0</v>
      </c>
      <c r="Z189" s="177">
        <f>IF($C$189=$F$189,Data!$E$260*Z$154,0)</f>
        <v>0</v>
      </c>
      <c r="AA189" s="177">
        <f>IF($C$189=$F$189,Data!$E$260*AA$154,0)</f>
        <v>0</v>
      </c>
      <c r="AB189" s="177">
        <f>IF($C$189=$F$189,Data!$E$260*AB$154,0)</f>
        <v>0</v>
      </c>
      <c r="AC189" s="177">
        <f>IF($C$189=$F$189,Data!$E$260*AC$154,0)</f>
        <v>0</v>
      </c>
      <c r="AD189" s="177">
        <f>IF($C$189=$F$189,Data!$E$260*AD$154,0)</f>
        <v>0</v>
      </c>
      <c r="AE189" s="177">
        <f>IF($C$189=$F$189,Data!$E$260*AE$154,0)</f>
        <v>0</v>
      </c>
      <c r="AF189" s="177">
        <f>IF($C$189=$F$189,Data!$E$260*AF$154,0)</f>
        <v>0</v>
      </c>
      <c r="AG189" s="177">
        <f>IF($C$189=$F$189,Data!$E$260*AG$154,0)</f>
        <v>0</v>
      </c>
      <c r="AH189" s="177">
        <f>IF($C$189=$F$189,Data!$E$260*AH$154,0)</f>
        <v>0</v>
      </c>
      <c r="AI189" s="177">
        <f>IF($C$189=$F$189,Data!$E$260*AI$154,0)</f>
        <v>0</v>
      </c>
      <c r="AJ189" s="177">
        <f>IF($C$189=$F$189,Data!$E$260*AJ$154,0)</f>
        <v>0</v>
      </c>
      <c r="AK189" s="177">
        <f>IF($C$189=$F$189,Data!$E$260*AK$154,0)</f>
        <v>0</v>
      </c>
      <c r="AL189" s="177">
        <f>IF($C$189=$F$189,Data!$E$260*AL$154,0)</f>
        <v>0</v>
      </c>
      <c r="AM189" s="177">
        <f>IF($C$189=$F$189,Data!$E$260*AM$154,0)</f>
        <v>0</v>
      </c>
      <c r="AN189" s="177">
        <f>IF($C$189=$F$189,Data!$E$260*AN$154,0)</f>
        <v>0</v>
      </c>
      <c r="AO189" s="177">
        <f>IF($C$189=$F$189,Data!$E$260*AO$154,0)</f>
        <v>0</v>
      </c>
      <c r="AP189" s="29"/>
    </row>
    <row r="190" spans="1:42" outlineLevel="1" x14ac:dyDescent="0.25">
      <c r="A190" s="12"/>
      <c r="B190" s="13"/>
      <c r="C190" s="45" t="s">
        <v>124</v>
      </c>
      <c r="D190" s="45"/>
      <c r="E190" s="15" t="s">
        <v>474</v>
      </c>
      <c r="F190" s="158" t="str">
        <f>Dashboard!$I$53</f>
        <v>3 Axle rigid</v>
      </c>
      <c r="G190" s="14"/>
      <c r="H190" s="177"/>
      <c r="I190" s="177">
        <f>IF($C$190=$F$190,Data!$E$261*I$154,0)</f>
        <v>25096.499999999996</v>
      </c>
      <c r="J190" s="177">
        <f>IF($C$190=$F$190,Data!$E$261*J$154,0)</f>
        <v>25096.499999999996</v>
      </c>
      <c r="K190" s="177">
        <f>IF($C$190=$F$190,Data!$E$261*K$154,0)</f>
        <v>25096.499999999996</v>
      </c>
      <c r="L190" s="177">
        <f>IF($C$190=$F$190,Data!$E$261*L$154,0)</f>
        <v>25096.499999999996</v>
      </c>
      <c r="M190" s="177">
        <f>IF($C$190=$F$190,Data!$E$261*M$154,0)</f>
        <v>25096.499999999996</v>
      </c>
      <c r="N190" s="177">
        <f>IF($C$190=$F$190,Data!$E$261*N$154,0)</f>
        <v>25096.499999999996</v>
      </c>
      <c r="O190" s="177">
        <f>IF($C$190=$F$190,Data!$E$261*O$154,0)</f>
        <v>25096.499999999996</v>
      </c>
      <c r="P190" s="177">
        <f>IF($C$190=$F$190,Data!$E$261*P$154,0)</f>
        <v>25096.499999999996</v>
      </c>
      <c r="Q190" s="177">
        <f>IF($C$190=$F$190,Data!$E$261*Q$154,0)</f>
        <v>25096.499999999996</v>
      </c>
      <c r="R190" s="177">
        <f>IF($C$190=$F$190,Data!$E$261*R$154,0)</f>
        <v>25096.499999999996</v>
      </c>
      <c r="S190" s="177">
        <f>IF($C$190=$F$190,Data!$E$261*S$154,0)</f>
        <v>25096.499999999996</v>
      </c>
      <c r="T190" s="177">
        <f>IF($C$190=$F$190,Data!$E$261*T$154,0)</f>
        <v>25096.499999999996</v>
      </c>
      <c r="U190" s="177">
        <f>IF($C$190=$F$190,Data!$E$261*U$154,0)</f>
        <v>0</v>
      </c>
      <c r="V190" s="177">
        <f>IF($C$190=$F$190,Data!$E$261*V$154,0)</f>
        <v>0</v>
      </c>
      <c r="W190" s="177">
        <f>IF($C$190=$F$190,Data!$E$261*W$154,0)</f>
        <v>0</v>
      </c>
      <c r="X190" s="177">
        <f>IF($C$190=$F$190,Data!$E$261*X$154,0)</f>
        <v>0</v>
      </c>
      <c r="Y190" s="177">
        <f>IF($C$190=$F$190,Data!$E$261*Y$154,0)</f>
        <v>0</v>
      </c>
      <c r="Z190" s="177">
        <f>IF($C$190=$F$190,Data!$E$261*Z$154,0)</f>
        <v>0</v>
      </c>
      <c r="AA190" s="177">
        <f>IF($C$190=$F$190,Data!$E$261*AA$154,0)</f>
        <v>0</v>
      </c>
      <c r="AB190" s="177">
        <f>IF($C$190=$F$190,Data!$E$261*AB$154,0)</f>
        <v>0</v>
      </c>
      <c r="AC190" s="177">
        <f>IF($C$190=$F$190,Data!$E$261*AC$154,0)</f>
        <v>0</v>
      </c>
      <c r="AD190" s="177">
        <f>IF($C$190=$F$190,Data!$E$261*AD$154,0)</f>
        <v>0</v>
      </c>
      <c r="AE190" s="177">
        <f>IF($C$190=$F$190,Data!$E$261*AE$154,0)</f>
        <v>0</v>
      </c>
      <c r="AF190" s="177">
        <f>IF($C$190=$F$190,Data!$E$261*AF$154,0)</f>
        <v>0</v>
      </c>
      <c r="AG190" s="177">
        <f>IF($C$190=$F$190,Data!$E$261*AG$154,0)</f>
        <v>0</v>
      </c>
      <c r="AH190" s="177">
        <f>IF($C$190=$F$190,Data!$E$261*AH$154,0)</f>
        <v>0</v>
      </c>
      <c r="AI190" s="177">
        <f>IF($C$190=$F$190,Data!$E$261*AI$154,0)</f>
        <v>0</v>
      </c>
      <c r="AJ190" s="177">
        <f>IF($C$190=$F$190,Data!$E$261*AJ$154,0)</f>
        <v>0</v>
      </c>
      <c r="AK190" s="177">
        <f>IF($C$190=$F$190,Data!$E$261*AK$154,0)</f>
        <v>0</v>
      </c>
      <c r="AL190" s="177">
        <f>IF($C$190=$F$190,Data!$E$261*AL$154,0)</f>
        <v>0</v>
      </c>
      <c r="AM190" s="177">
        <f>IF($C$190=$F$190,Data!$E$261*AM$154,0)</f>
        <v>0</v>
      </c>
      <c r="AN190" s="177">
        <f>IF($C$190=$F$190,Data!$E$261*AN$154,0)</f>
        <v>0</v>
      </c>
      <c r="AO190" s="177">
        <f>IF($C$190=$F$190,Data!$E$261*AO$154,0)</f>
        <v>0</v>
      </c>
      <c r="AP190" s="29"/>
    </row>
    <row r="191" spans="1:42" outlineLevel="1" x14ac:dyDescent="0.25">
      <c r="A191" s="12"/>
      <c r="B191" s="13"/>
      <c r="C191" s="45" t="s">
        <v>126</v>
      </c>
      <c r="D191" s="45"/>
      <c r="E191" s="15" t="s">
        <v>474</v>
      </c>
      <c r="F191" s="158" t="str">
        <f>Dashboard!$I$53</f>
        <v>3 Axle rigid</v>
      </c>
      <c r="G191" s="14"/>
      <c r="H191" s="177"/>
      <c r="I191" s="177">
        <f>IF($C$191=$F$191,Data!$E$262*I$154,0)</f>
        <v>0</v>
      </c>
      <c r="J191" s="177">
        <f>IF($C$191=$F$191,Data!$E$262*J$154,0)</f>
        <v>0</v>
      </c>
      <c r="K191" s="177">
        <f>IF($C$191=$F$191,Data!$E$262*K$154,0)</f>
        <v>0</v>
      </c>
      <c r="L191" s="177">
        <f>IF($C$191=$F$191,Data!$E$262*L$154,0)</f>
        <v>0</v>
      </c>
      <c r="M191" s="177">
        <f>IF($C$191=$F$191,Data!$E$262*M$154,0)</f>
        <v>0</v>
      </c>
      <c r="N191" s="177">
        <f>IF($C$191=$F$191,Data!$E$262*N$154,0)</f>
        <v>0</v>
      </c>
      <c r="O191" s="177">
        <f>IF($C$191=$F$191,Data!$E$262*O$154,0)</f>
        <v>0</v>
      </c>
      <c r="P191" s="177">
        <f>IF($C$191=$F$191,Data!$E$262*P$154,0)</f>
        <v>0</v>
      </c>
      <c r="Q191" s="177">
        <f>IF($C$191=$F$191,Data!$E$262*Q$154,0)</f>
        <v>0</v>
      </c>
      <c r="R191" s="177">
        <f>IF($C$191=$F$191,Data!$E$262*R$154,0)</f>
        <v>0</v>
      </c>
      <c r="S191" s="177">
        <f>IF($C$191=$F$191,Data!$E$262*S$154,0)</f>
        <v>0</v>
      </c>
      <c r="T191" s="177">
        <f>IF($C$191=$F$191,Data!$E$262*T$154,0)</f>
        <v>0</v>
      </c>
      <c r="U191" s="177">
        <f>IF($C$191=$F$191,Data!$E$262*U$154,0)</f>
        <v>0</v>
      </c>
      <c r="V191" s="177">
        <f>IF($C$191=$F$191,Data!$E$262*V$154,0)</f>
        <v>0</v>
      </c>
      <c r="W191" s="177">
        <f>IF($C$191=$F$191,Data!$E$262*W$154,0)</f>
        <v>0</v>
      </c>
      <c r="X191" s="177">
        <f>IF($C$191=$F$191,Data!$E$262*X$154,0)</f>
        <v>0</v>
      </c>
      <c r="Y191" s="177">
        <f>IF($C$191=$F$191,Data!$E$262*Y$154,0)</f>
        <v>0</v>
      </c>
      <c r="Z191" s="177">
        <f>IF($C$191=$F$191,Data!$E$262*Z$154,0)</f>
        <v>0</v>
      </c>
      <c r="AA191" s="177">
        <f>IF($C$191=$F$191,Data!$E$262*AA$154,0)</f>
        <v>0</v>
      </c>
      <c r="AB191" s="177">
        <f>IF($C$191=$F$191,Data!$E$262*AB$154,0)</f>
        <v>0</v>
      </c>
      <c r="AC191" s="177">
        <f>IF($C$191=$F$191,Data!$E$262*AC$154,0)</f>
        <v>0</v>
      </c>
      <c r="AD191" s="177">
        <f>IF($C$191=$F$191,Data!$E$262*AD$154,0)</f>
        <v>0</v>
      </c>
      <c r="AE191" s="177">
        <f>IF($C$191=$F$191,Data!$E$262*AE$154,0)</f>
        <v>0</v>
      </c>
      <c r="AF191" s="177">
        <f>IF($C$191=$F$191,Data!$E$262*AF$154,0)</f>
        <v>0</v>
      </c>
      <c r="AG191" s="177">
        <f>IF($C$191=$F$191,Data!$E$262*AG$154,0)</f>
        <v>0</v>
      </c>
      <c r="AH191" s="177">
        <f>IF($C$191=$F$191,Data!$E$262*AH$154,0)</f>
        <v>0</v>
      </c>
      <c r="AI191" s="177">
        <f>IF($C$191=$F$191,Data!$E$262*AI$154,0)</f>
        <v>0</v>
      </c>
      <c r="AJ191" s="177">
        <f>IF($C$191=$F$191,Data!$E$262*AJ$154,0)</f>
        <v>0</v>
      </c>
      <c r="AK191" s="177">
        <f>IF($C$191=$F$191,Data!$E$262*AK$154,0)</f>
        <v>0</v>
      </c>
      <c r="AL191" s="177">
        <f>IF($C$191=$F$191,Data!$E$262*AL$154,0)</f>
        <v>0</v>
      </c>
      <c r="AM191" s="177">
        <f>IF($C$191=$F$191,Data!$E$262*AM$154,0)</f>
        <v>0</v>
      </c>
      <c r="AN191" s="177">
        <f>IF($C$191=$F$191,Data!$E$262*AN$154,0)</f>
        <v>0</v>
      </c>
      <c r="AO191" s="177">
        <f>IF($C$191=$F$191,Data!$E$262*AO$154,0)</f>
        <v>0</v>
      </c>
      <c r="AP191" s="29"/>
    </row>
    <row r="192" spans="1:42" outlineLevel="1" x14ac:dyDescent="0.25">
      <c r="A192" s="12"/>
      <c r="B192" s="13"/>
      <c r="C192" s="45"/>
      <c r="D192" s="45"/>
      <c r="E192" s="15"/>
      <c r="F192" s="16"/>
      <c r="G192" s="14"/>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9"/>
    </row>
    <row r="193" spans="1:42" outlineLevel="1" x14ac:dyDescent="0.25">
      <c r="A193" s="12"/>
      <c r="B193" s="13"/>
      <c r="C193" s="44" t="s">
        <v>532</v>
      </c>
      <c r="D193" s="45"/>
      <c r="E193" s="15"/>
      <c r="F193" s="16"/>
      <c r="G193" s="14"/>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9"/>
    </row>
    <row r="194" spans="1:42" outlineLevel="1" x14ac:dyDescent="0.25">
      <c r="A194" s="12"/>
      <c r="B194" s="13"/>
      <c r="C194" s="45" t="s">
        <v>408</v>
      </c>
      <c r="D194" s="45"/>
      <c r="E194" s="15" t="s">
        <v>318</v>
      </c>
      <c r="F194" s="16"/>
      <c r="G194" s="14"/>
      <c r="H194" s="28"/>
      <c r="I194" s="28">
        <f>IF(I154&gt;0,Data!$E$265,0)</f>
        <v>0</v>
      </c>
      <c r="J194" s="28">
        <f>IF(J154&gt;0,Data!$E$265,0)</f>
        <v>0</v>
      </c>
      <c r="K194" s="28">
        <f>IF(K154&gt;0,Data!$E$265,0)</f>
        <v>0</v>
      </c>
      <c r="L194" s="28">
        <f>IF(L154&gt;0,Data!$E$265,0)</f>
        <v>0</v>
      </c>
      <c r="M194" s="28">
        <f>IF(M154&gt;0,Data!$E$265,0)</f>
        <v>0</v>
      </c>
      <c r="N194" s="28">
        <f>IF(N154&gt;0,Data!$E$265,0)</f>
        <v>0</v>
      </c>
      <c r="O194" s="28">
        <f>IF(O154&gt;0,Data!$E$265,0)</f>
        <v>0</v>
      </c>
      <c r="P194" s="28">
        <f>IF(P154&gt;0,Data!$E$265,0)</f>
        <v>0</v>
      </c>
      <c r="Q194" s="28">
        <f>IF(Q154&gt;0,Data!$E$265,0)</f>
        <v>0</v>
      </c>
      <c r="R194" s="28">
        <f>IF(R154&gt;0,Data!$E$265,0)</f>
        <v>0</v>
      </c>
      <c r="S194" s="28">
        <f>IF(S154&gt;0,Data!$E$265,0)</f>
        <v>0</v>
      </c>
      <c r="T194" s="28">
        <f>IF(T154&gt;0,Data!$E$265,0)</f>
        <v>0</v>
      </c>
      <c r="U194" s="28">
        <f>IF(U154&gt;0,Data!$E$265,0)</f>
        <v>0</v>
      </c>
      <c r="V194" s="28">
        <f>IF(V154&gt;0,Data!$E$265,0)</f>
        <v>0</v>
      </c>
      <c r="W194" s="28">
        <f>IF(W154&gt;0,Data!$E$265,0)</f>
        <v>0</v>
      </c>
      <c r="X194" s="28">
        <f>IF(X154&gt;0,Data!$E$265,0)</f>
        <v>0</v>
      </c>
      <c r="Y194" s="28">
        <f>IF(Y154&gt;0,Data!$E$265,0)</f>
        <v>0</v>
      </c>
      <c r="Z194" s="28">
        <f>IF(Z154&gt;0,Data!$E$265,0)</f>
        <v>0</v>
      </c>
      <c r="AA194" s="28">
        <f>IF(AA154&gt;0,Data!$E$265,0)</f>
        <v>0</v>
      </c>
      <c r="AB194" s="28">
        <f>IF(AB154&gt;0,Data!$E$265,0)</f>
        <v>0</v>
      </c>
      <c r="AC194" s="28">
        <f>IF(AC154&gt;0,Data!$E$265,0)</f>
        <v>0</v>
      </c>
      <c r="AD194" s="28">
        <f>IF(AD154&gt;0,Data!$E$265,0)</f>
        <v>0</v>
      </c>
      <c r="AE194" s="28">
        <f>IF(AE154&gt;0,Data!$E$265,0)</f>
        <v>0</v>
      </c>
      <c r="AF194" s="28">
        <f>IF(AF154&gt;0,Data!$E$265,0)</f>
        <v>0</v>
      </c>
      <c r="AG194" s="28">
        <f>IF(AG154&gt;0,Data!$E$265,0)</f>
        <v>0</v>
      </c>
      <c r="AH194" s="28">
        <f>IF(AH154&gt;0,Data!$E$265,0)</f>
        <v>0</v>
      </c>
      <c r="AI194" s="28">
        <f>IF(AI154&gt;0,Data!$E$265,0)</f>
        <v>0</v>
      </c>
      <c r="AJ194" s="28">
        <f>IF(AJ154&gt;0,Data!$E$265,0)</f>
        <v>0</v>
      </c>
      <c r="AK194" s="28">
        <f>IF(AK154&gt;0,Data!$E$265,0)</f>
        <v>0</v>
      </c>
      <c r="AL194" s="28">
        <f>IF(AL154&gt;0,Data!$E$265,0)</f>
        <v>0</v>
      </c>
      <c r="AM194" s="28">
        <f>IF(AM154&gt;0,Data!$E$265,0)</f>
        <v>0</v>
      </c>
      <c r="AN194" s="28">
        <f>IF(AN154&gt;0,Data!$E$265,0)</f>
        <v>0</v>
      </c>
      <c r="AO194" s="28">
        <f>IF(AO154&gt;0,Data!$E$265,0)</f>
        <v>0</v>
      </c>
      <c r="AP194" s="29"/>
    </row>
    <row r="195" spans="1:42" outlineLevel="1" x14ac:dyDescent="0.25">
      <c r="A195" s="12"/>
      <c r="B195" s="13"/>
      <c r="C195" s="45" t="s">
        <v>415</v>
      </c>
      <c r="D195" s="45"/>
      <c r="E195" s="15" t="s">
        <v>318</v>
      </c>
      <c r="F195" s="16"/>
      <c r="G195" s="14"/>
      <c r="H195" s="28"/>
      <c r="I195" s="28">
        <f>IF(I154&gt;0,(Data!$E$266*$F$176)/Dashboard!$I$51,0)</f>
        <v>0</v>
      </c>
      <c r="J195" s="28">
        <f>IF(J154&gt;0,(Data!$E$266*$F$176)/Dashboard!$I$51,0)</f>
        <v>0</v>
      </c>
      <c r="K195" s="28">
        <f>IF(K154&gt;0,(Data!$E$266*$F$176)/Dashboard!$I$51,0)</f>
        <v>0</v>
      </c>
      <c r="L195" s="28">
        <f>IF(L154&gt;0,(Data!$E$266*$F$176)/Dashboard!$I$51,0)</f>
        <v>0</v>
      </c>
      <c r="M195" s="28">
        <f>IF(M154&gt;0,(Data!$E$266*$F$176)/Dashboard!$I$51,0)</f>
        <v>0</v>
      </c>
      <c r="N195" s="28">
        <f>IF(N154&gt;0,(Data!$E$266*$F$176)/Dashboard!$I$51,0)</f>
        <v>0</v>
      </c>
      <c r="O195" s="28">
        <f>IF(O154&gt;0,(Data!$E$266*$F$176)/Dashboard!$I$51,0)</f>
        <v>0</v>
      </c>
      <c r="P195" s="28">
        <f>IF(P154&gt;0,(Data!$E$266*$F$176)/Dashboard!$I$51,0)</f>
        <v>0</v>
      </c>
      <c r="Q195" s="28">
        <f>IF(Q154&gt;0,(Data!$E$266*$F$176)/Dashboard!$I$51,0)</f>
        <v>0</v>
      </c>
      <c r="R195" s="28">
        <f>IF(R154&gt;0,(Data!$E$266*$F$176)/Dashboard!$I$51,0)</f>
        <v>0</v>
      </c>
      <c r="S195" s="28">
        <f>IF(S154&gt;0,(Data!$E$266*$F$176)/Dashboard!$I$51,0)</f>
        <v>0</v>
      </c>
      <c r="T195" s="28">
        <f>IF(T154&gt;0,(Data!$E$266*$F$176)/Dashboard!$I$51,0)</f>
        <v>0</v>
      </c>
      <c r="U195" s="28">
        <f>IF(U154&gt;0,(Data!$E$266*$F$176)/Dashboard!$I$51,0)</f>
        <v>0</v>
      </c>
      <c r="V195" s="28">
        <f>IF(V154&gt;0,(Data!$E$266*$F$176)/Dashboard!$I$51,0)</f>
        <v>0</v>
      </c>
      <c r="W195" s="28">
        <f>IF(W154&gt;0,(Data!$E$266*$F$176)/Dashboard!$I$51,0)</f>
        <v>0</v>
      </c>
      <c r="X195" s="28">
        <f>IF(X154&gt;0,(Data!$E$266*$F$176)/Dashboard!$I$51,0)</f>
        <v>0</v>
      </c>
      <c r="Y195" s="28">
        <f>IF(Y154&gt;0,(Data!$E$266*$F$176)/Dashboard!$I$51,0)</f>
        <v>0</v>
      </c>
      <c r="Z195" s="28">
        <f>IF(Z154&gt;0,(Data!$E$266*$F$176)/Dashboard!$I$51,0)</f>
        <v>0</v>
      </c>
      <c r="AA195" s="28">
        <f>IF(AA154&gt;0,(Data!$E$266*$F$176)/Dashboard!$I$51,0)</f>
        <v>0</v>
      </c>
      <c r="AB195" s="28">
        <f>IF(AB154&gt;0,(Data!$E$266*$F$176)/Dashboard!$I$51,0)</f>
        <v>0</v>
      </c>
      <c r="AC195" s="28">
        <f>IF(AC154&gt;0,(Data!$E$266*$F$176)/Dashboard!$I$51,0)</f>
        <v>0</v>
      </c>
      <c r="AD195" s="28">
        <f>IF(AD154&gt;0,(Data!$E$266*$F$176)/Dashboard!$I$51,0)</f>
        <v>0</v>
      </c>
      <c r="AE195" s="28">
        <f>IF(AE154&gt;0,(Data!$E$266*$F$176)/Dashboard!$I$51,0)</f>
        <v>0</v>
      </c>
      <c r="AF195" s="28">
        <f>IF(AF154&gt;0,(Data!$E$266*$F$176)/Dashboard!$I$51,0)</f>
        <v>0</v>
      </c>
      <c r="AG195" s="28">
        <f>IF(AG154&gt;0,(Data!$E$266*$F$176)/Dashboard!$I$51,0)</f>
        <v>0</v>
      </c>
      <c r="AH195" s="28">
        <f>IF(AH154&gt;0,(Data!$E$266*$F$176)/Dashboard!$I$51,0)</f>
        <v>0</v>
      </c>
      <c r="AI195" s="28">
        <f>IF(AI154&gt;0,(Data!$E$266*$F$176)/Dashboard!$I$51,0)</f>
        <v>0</v>
      </c>
      <c r="AJ195" s="28">
        <f>IF(AJ154&gt;0,(Data!$E$266*$F$176)/Dashboard!$I$51,0)</f>
        <v>0</v>
      </c>
      <c r="AK195" s="28">
        <f>IF(AK154&gt;0,(Data!$E$266*$F$176)/Dashboard!$I$51,0)</f>
        <v>0</v>
      </c>
      <c r="AL195" s="28">
        <f>IF(AL154&gt;0,(Data!$E$266*$F$176)/Dashboard!$I$51,0)</f>
        <v>0</v>
      </c>
      <c r="AM195" s="28">
        <f>IF(AM154&gt;0,(Data!$E$266*$F$176)/Dashboard!$I$51,0)</f>
        <v>0</v>
      </c>
      <c r="AN195" s="28">
        <f>IF(AN154&gt;0,(Data!$E$266*$F$176)/Dashboard!$I$51,0)</f>
        <v>0</v>
      </c>
      <c r="AO195" s="28">
        <f>IF(AO154&gt;0,(Data!$E$266*$F$176)/Dashboard!$I$51,0)</f>
        <v>0</v>
      </c>
      <c r="AP195" s="29"/>
    </row>
    <row r="196" spans="1:42" outlineLevel="1" x14ac:dyDescent="0.25">
      <c r="A196" s="12"/>
      <c r="B196" s="13"/>
      <c r="C196" s="45"/>
      <c r="D196" s="45"/>
      <c r="E196" s="15"/>
      <c r="F196" s="16"/>
      <c r="G196" s="14"/>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9"/>
    </row>
    <row r="197" spans="1:42" s="167" customFormat="1" outlineLevel="1" x14ac:dyDescent="0.25">
      <c r="A197" s="96"/>
      <c r="B197" s="96"/>
      <c r="C197" s="513" t="s">
        <v>260</v>
      </c>
      <c r="D197" s="96"/>
      <c r="E197" s="112" t="s">
        <v>318</v>
      </c>
      <c r="F197" s="164"/>
      <c r="G197" s="96"/>
      <c r="H197" s="151"/>
      <c r="I197" s="151"/>
      <c r="J197" s="151"/>
      <c r="K197" s="151">
        <f>IF(K154&gt;0,Data!$E$268*K$154,)</f>
        <v>18553.392</v>
      </c>
      <c r="L197" s="151">
        <f>IF(L154&gt;0,Data!$E$268*L$154,)</f>
        <v>18553.392</v>
      </c>
      <c r="M197" s="151">
        <f>IF(M154&gt;0,Data!$E$268*M$154,)</f>
        <v>18553.392</v>
      </c>
      <c r="N197" s="151">
        <f>IF(N154&gt;0,Data!$E$268*N$154,)</f>
        <v>18553.392</v>
      </c>
      <c r="O197" s="151">
        <f>IF(O154&gt;0,Data!$E$268*O$154,)</f>
        <v>18553.392</v>
      </c>
      <c r="P197" s="151">
        <f>IF(P154&gt;0,Data!$E$268*P$154,)</f>
        <v>18553.392</v>
      </c>
      <c r="Q197" s="151">
        <f>IF(Q154&gt;0,Data!$E$268*Q$154,)</f>
        <v>18553.392</v>
      </c>
      <c r="R197" s="151">
        <f>IF(R154&gt;0,Data!$E$268*R$154,)</f>
        <v>18553.392</v>
      </c>
      <c r="S197" s="151">
        <f>IF(S154&gt;0,Data!$E$268*S$154,)</f>
        <v>18553.392</v>
      </c>
      <c r="T197" s="151">
        <f>IF(T154&gt;0,Data!$E$268*T$154,)</f>
        <v>18553.392</v>
      </c>
      <c r="U197" s="151">
        <f>IF(U154&gt;0,Data!$E$268*U$154,)</f>
        <v>0</v>
      </c>
      <c r="V197" s="151">
        <f>IF(V154&gt;0,Data!$E$268*V$154,)</f>
        <v>0</v>
      </c>
      <c r="W197" s="151">
        <f>IF(W154&gt;0,Data!$E$268*W$154,)</f>
        <v>0</v>
      </c>
      <c r="X197" s="151">
        <f>IF(X154&gt;0,Data!$E$268*X$154,)</f>
        <v>0</v>
      </c>
      <c r="Y197" s="151">
        <f>IF(Y154&gt;0,Data!$E$268*Y$154,)</f>
        <v>0</v>
      </c>
      <c r="Z197" s="151">
        <f>IF(Z154&gt;0,Data!$E$268*Z$154,)</f>
        <v>0</v>
      </c>
      <c r="AA197" s="151">
        <f>IF(AA154&gt;0,Data!$E$268*AA$154,)</f>
        <v>0</v>
      </c>
      <c r="AB197" s="151">
        <f>IF(AB154&gt;0,Data!$E$268*AB$154,)</f>
        <v>0</v>
      </c>
      <c r="AC197" s="151">
        <f>IF(AC154&gt;0,Data!$E$268*AC$154,)</f>
        <v>0</v>
      </c>
      <c r="AD197" s="151">
        <f>IF(AD154&gt;0,Data!$E$268*AD$154,)</f>
        <v>0</v>
      </c>
      <c r="AE197" s="151">
        <f>IF(AE154&gt;0,Data!$E$268*AE$154,)</f>
        <v>0</v>
      </c>
      <c r="AF197" s="151">
        <f>IF(AF154&gt;0,Data!$E$268*AF$154,)</f>
        <v>0</v>
      </c>
      <c r="AG197" s="151">
        <f>IF(AG154&gt;0,Data!$E$268*AG$154,)</f>
        <v>0</v>
      </c>
      <c r="AH197" s="151">
        <f>IF(AH154&gt;0,Data!$E$268*AH$154,)</f>
        <v>0</v>
      </c>
      <c r="AI197" s="151">
        <f>IF(AI154&gt;0,Data!$E$268*AI$154,)</f>
        <v>0</v>
      </c>
      <c r="AJ197" s="151">
        <f>IF(AJ154&gt;0,Data!$E$268*AJ$154,)</f>
        <v>0</v>
      </c>
      <c r="AK197" s="151">
        <f>IF(AK154&gt;0,Data!$E$268*AK$154,)</f>
        <v>0</v>
      </c>
      <c r="AL197" s="151">
        <f>IF(AL154&gt;0,Data!$E$268*AL$154,)</f>
        <v>0</v>
      </c>
      <c r="AM197" s="151">
        <f>IF(AM154&gt;0,Data!$E$268*AM$154,)</f>
        <v>0</v>
      </c>
      <c r="AN197" s="151">
        <f>IF(AN154&gt;0,Data!$E$268*AN$154,)</f>
        <v>0</v>
      </c>
      <c r="AO197" s="151">
        <f>IF(AO154&gt;0,Data!$E$268*AO$154,)</f>
        <v>0</v>
      </c>
      <c r="AP197" s="514"/>
    </row>
    <row r="198" spans="1:42" outlineLevel="1" x14ac:dyDescent="0.25">
      <c r="A198" s="12"/>
      <c r="B198" s="13"/>
      <c r="C198" s="44"/>
      <c r="D198" s="44"/>
      <c r="E198" s="15"/>
      <c r="F198" s="16"/>
      <c r="G198" s="14"/>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17"/>
    </row>
    <row r="199" spans="1:42" outlineLevel="1" x14ac:dyDescent="0.25">
      <c r="A199" s="12"/>
      <c r="B199" s="13"/>
      <c r="C199" s="44" t="s">
        <v>398</v>
      </c>
      <c r="D199" s="45"/>
      <c r="E199" s="15"/>
      <c r="F199" s="16"/>
      <c r="G199" s="14"/>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9"/>
    </row>
    <row r="200" spans="1:42" outlineLevel="1" x14ac:dyDescent="0.25">
      <c r="A200" s="12"/>
      <c r="B200" s="13"/>
      <c r="C200" s="45" t="s">
        <v>127</v>
      </c>
      <c r="D200" s="45"/>
      <c r="E200" s="15" t="s">
        <v>475</v>
      </c>
      <c r="F200" s="158" t="str">
        <f>Dashboard!$I$52</f>
        <v>Hilly (Gradient  6%)</v>
      </c>
      <c r="G200" s="14"/>
      <c r="H200" s="62"/>
      <c r="I200" s="181" cm="1">
        <f t="array" ref="I200">INDEX('Control panel'!$F$17:$F$19,MATCH($F$200,'Control panel'!$C$17:$C$19,0),0)</f>
        <v>0.15</v>
      </c>
      <c r="J200" s="181" cm="1">
        <f t="array" ref="J200">INDEX('Control panel'!$F$17:$F$19,MATCH($F$200,'Control panel'!$C$17:$C$19,0),0)</f>
        <v>0.15</v>
      </c>
      <c r="K200" s="181" cm="1">
        <f t="array" ref="K200">INDEX('Control panel'!$F$17:$F$19,MATCH($F$200,'Control panel'!$C$17:$C$19,0),0)</f>
        <v>0.15</v>
      </c>
      <c r="L200" s="181" cm="1">
        <f t="array" ref="L200">INDEX('Control panel'!$F$17:$F$19,MATCH($F$200,'Control panel'!$C$17:$C$19,0),0)</f>
        <v>0.15</v>
      </c>
      <c r="M200" s="181" cm="1">
        <f t="array" ref="M200">INDEX('Control panel'!$F$17:$F$19,MATCH($F$200,'Control panel'!$C$17:$C$19,0),0)</f>
        <v>0.15</v>
      </c>
      <c r="N200" s="181" cm="1">
        <f t="array" ref="N200">INDEX('Control panel'!$F$17:$F$19,MATCH($F$200,'Control panel'!$C$17:$C$19,0),0)</f>
        <v>0.15</v>
      </c>
      <c r="O200" s="181" cm="1">
        <f t="array" ref="O200">INDEX('Control panel'!$F$17:$F$19,MATCH($F$200,'Control panel'!$C$17:$C$19,0),0)</f>
        <v>0.15</v>
      </c>
      <c r="P200" s="181" cm="1">
        <f t="array" ref="P200">INDEX('Control panel'!$F$17:$F$19,MATCH($F$200,'Control panel'!$C$17:$C$19,0),0)</f>
        <v>0.15</v>
      </c>
      <c r="Q200" s="181" cm="1">
        <f t="array" ref="Q200">INDEX('Control panel'!$F$17:$F$19,MATCH($F$200,'Control panel'!$C$17:$C$19,0),0)</f>
        <v>0.15</v>
      </c>
      <c r="R200" s="181" cm="1">
        <f t="array" ref="R200">INDEX('Control panel'!$F$17:$F$19,MATCH($F$200,'Control panel'!$C$17:$C$19,0),0)</f>
        <v>0.15</v>
      </c>
      <c r="S200" s="181" cm="1">
        <f t="array" ref="S200">INDEX('Control panel'!$F$17:$F$19,MATCH($F$200,'Control panel'!$C$17:$C$19,0),0)</f>
        <v>0.15</v>
      </c>
      <c r="T200" s="181" cm="1">
        <f t="array" ref="T200">INDEX('Control panel'!$F$17:$F$19,MATCH($F$200,'Control panel'!$C$17:$C$19,0),0)</f>
        <v>0.15</v>
      </c>
      <c r="U200" s="181" cm="1">
        <f t="array" ref="U200">INDEX('Control panel'!$F$17:$F$19,MATCH($F$200,'Control panel'!$C$17:$C$19,0),0)</f>
        <v>0.15</v>
      </c>
      <c r="V200" s="181" cm="1">
        <f t="array" ref="V200">INDEX('Control panel'!$F$17:$F$19,MATCH($F$200,'Control panel'!$C$17:$C$19,0),0)</f>
        <v>0.15</v>
      </c>
      <c r="W200" s="181" cm="1">
        <f t="array" ref="W200">INDEX('Control panel'!$F$17:$F$19,MATCH($F$200,'Control panel'!$C$17:$C$19,0),0)</f>
        <v>0.15</v>
      </c>
      <c r="X200" s="181" cm="1">
        <f t="array" ref="X200">INDEX('Control panel'!$F$17:$F$19,MATCH($F$200,'Control panel'!$C$17:$C$19,0),0)</f>
        <v>0.15</v>
      </c>
      <c r="Y200" s="181" cm="1">
        <f t="array" ref="Y200">INDEX('Control panel'!$F$17:$F$19,MATCH($F$200,'Control panel'!$C$17:$C$19,0),0)</f>
        <v>0.15</v>
      </c>
      <c r="Z200" s="181" cm="1">
        <f t="array" ref="Z200">INDEX('Control panel'!$F$17:$F$19,MATCH($F$200,'Control panel'!$C$17:$C$19,0),0)</f>
        <v>0.15</v>
      </c>
      <c r="AA200" s="181" cm="1">
        <f t="array" ref="AA200">INDEX('Control panel'!$F$17:$F$19,MATCH($F$200,'Control panel'!$C$17:$C$19,0),0)</f>
        <v>0.15</v>
      </c>
      <c r="AB200" s="181" cm="1">
        <f t="array" ref="AB200">INDEX('Control panel'!$F$17:$F$19,MATCH($F$200,'Control panel'!$C$17:$C$19,0),0)</f>
        <v>0.15</v>
      </c>
      <c r="AC200" s="181" cm="1">
        <f t="array" ref="AC200">INDEX('Control panel'!$F$17:$F$19,MATCH($F$200,'Control panel'!$C$17:$C$19,0),0)</f>
        <v>0.15</v>
      </c>
      <c r="AD200" s="181" cm="1">
        <f t="array" ref="AD200">INDEX('Control panel'!$F$17:$F$19,MATCH($F$200,'Control panel'!$C$17:$C$19,0),0)</f>
        <v>0.15</v>
      </c>
      <c r="AE200" s="181" cm="1">
        <f t="array" ref="AE200">INDEX('Control panel'!$F$17:$F$19,MATCH($F$200,'Control panel'!$C$17:$C$19,0),0)</f>
        <v>0.15</v>
      </c>
      <c r="AF200" s="181" cm="1">
        <f t="array" ref="AF200">INDEX('Control panel'!$F$17:$F$19,MATCH($F$200,'Control panel'!$C$17:$C$19,0),0)</f>
        <v>0.15</v>
      </c>
      <c r="AG200" s="181" cm="1">
        <f t="array" ref="AG200">INDEX('Control panel'!$F$17:$F$19,MATCH($F$200,'Control panel'!$C$17:$C$19,0),0)</f>
        <v>0.15</v>
      </c>
      <c r="AH200" s="181" cm="1">
        <f t="array" ref="AH200">INDEX('Control panel'!$F$17:$F$19,MATCH($F$200,'Control panel'!$C$17:$C$19,0),0)</f>
        <v>0.15</v>
      </c>
      <c r="AI200" s="181" cm="1">
        <f t="array" ref="AI200">INDEX('Control panel'!$F$17:$F$19,MATCH($F$200,'Control panel'!$C$17:$C$19,0),0)</f>
        <v>0.15</v>
      </c>
      <c r="AJ200" s="181" cm="1">
        <f t="array" ref="AJ200">INDEX('Control panel'!$F$17:$F$19,MATCH($F$200,'Control panel'!$C$17:$C$19,0),0)</f>
        <v>0.15</v>
      </c>
      <c r="AK200" s="181" cm="1">
        <f t="array" ref="AK200">INDEX('Control panel'!$F$17:$F$19,MATCH($F$200,'Control panel'!$C$17:$C$19,0),0)</f>
        <v>0.15</v>
      </c>
      <c r="AL200" s="181" cm="1">
        <f t="array" ref="AL200">INDEX('Control panel'!$F$17:$F$19,MATCH($F$200,'Control panel'!$C$17:$C$19,0),0)</f>
        <v>0.15</v>
      </c>
      <c r="AM200" s="181" cm="1">
        <f t="array" ref="AM200">INDEX('Control panel'!$F$17:$F$19,MATCH($F$200,'Control panel'!$C$17:$C$19,0),0)</f>
        <v>0.15</v>
      </c>
      <c r="AN200" s="181" cm="1">
        <f t="array" ref="AN200">INDEX('Control panel'!$F$17:$F$19,MATCH($F$200,'Control panel'!$C$17:$C$19,0),0)</f>
        <v>0.15</v>
      </c>
      <c r="AO200" s="181" cm="1">
        <f t="array" ref="AO200">INDEX('Control panel'!$F$17:$F$19,MATCH($F$200,'Control panel'!$C$17:$C$19,0),0)</f>
        <v>0.15</v>
      </c>
      <c r="AP200" s="29"/>
    </row>
    <row r="201" spans="1:42" outlineLevel="1" x14ac:dyDescent="0.25">
      <c r="A201" s="12"/>
      <c r="B201" s="13"/>
      <c r="C201" s="45" t="s">
        <v>120</v>
      </c>
      <c r="D201" s="45"/>
      <c r="E201" s="15" t="s">
        <v>318</v>
      </c>
      <c r="F201" s="158" t="str">
        <f>Dashboard!$I$53</f>
        <v>3 Axle rigid</v>
      </c>
      <c r="G201" s="14"/>
      <c r="H201" s="62"/>
      <c r="I201" s="177">
        <f>IF($C$201=$F$201,I$154*Data!$E$275*Data!H$76,0)*(1+I200)*(1+Data!$E$92)</f>
        <v>0</v>
      </c>
      <c r="J201" s="177">
        <f>IF($C$201=$F$201,J$154*Data!$E$275*Data!I$76,0)*(1+J200)*(1+Data!$E$92)</f>
        <v>0</v>
      </c>
      <c r="K201" s="177">
        <f>IF($C$201=$F$201,K$154*Data!$E$275*Data!J$76,0)*(1+K200)*(1+Data!$E$92)</f>
        <v>0</v>
      </c>
      <c r="L201" s="177">
        <f>IF($C$201=$F$201,L$154*Data!$E$275*Data!K$76,0)*(1+L200)*(1+Data!$E$92)</f>
        <v>0</v>
      </c>
      <c r="M201" s="177">
        <f>IF($C$201=$F$201,M$154*Data!$E$275*Data!L$76,0)*(1+M200)*(1+Data!$E$92)</f>
        <v>0</v>
      </c>
      <c r="N201" s="177">
        <f>IF($C$201=$F$201,N$154*Data!$E$275*Data!M$76,0)*(1+N200)*(1+Data!$E$92)</f>
        <v>0</v>
      </c>
      <c r="O201" s="177">
        <f>IF($C$201=$F$201,O$154*Data!$E$275*Data!N$76,0)*(1+O200)*(1+Data!$E$92)</f>
        <v>0</v>
      </c>
      <c r="P201" s="177">
        <f>IF($C$201=$F$201,P$154*Data!$E$275*Data!O$76,0)*(1+P200)*(1+Data!$E$92)</f>
        <v>0</v>
      </c>
      <c r="Q201" s="177">
        <f>IF($C$201=$F$201,Q$154*Data!$E$275*Data!P$76,0)*(1+Q200)*(1+Data!$E$92)</f>
        <v>0</v>
      </c>
      <c r="R201" s="177">
        <f>IF($C$201=$F$201,R$154*Data!$E$275*Data!Q$76,0)*(1+R200)*(1+Data!$E$92)</f>
        <v>0</v>
      </c>
      <c r="S201" s="177">
        <f>IF($C$201=$F$201,S$154*Data!$E$275*Data!R$76,0)*(1+S200)*(1+Data!$E$92)</f>
        <v>0</v>
      </c>
      <c r="T201" s="177">
        <f>IF($C$201=$F$201,T$154*Data!$E$275*Data!S$76,0)*(1+T200)*(1+Data!$E$92)</f>
        <v>0</v>
      </c>
      <c r="U201" s="177">
        <f>IF($C$201=$F$201,U$154*Data!$E$275*Data!T$76,0)*(1+U200)*(1+Data!$E$92)</f>
        <v>0</v>
      </c>
      <c r="V201" s="177">
        <f>IF($C$201=$F$201,V$154*Data!$E$275*Data!U$76,0)*(1+V200)*(1+Data!$E$92)</f>
        <v>0</v>
      </c>
      <c r="W201" s="177">
        <f>IF($C$201=$F$201,W$154*Data!$E$275*Data!V$76,0)*(1+W200)*(1+Data!$E$92)</f>
        <v>0</v>
      </c>
      <c r="X201" s="177">
        <f>IF($C$201=$F$201,X$154*Data!$E$275*Data!W$76,0)*(1+X200)*(1+Data!$E$92)</f>
        <v>0</v>
      </c>
      <c r="Y201" s="177">
        <f>IF($C$201=$F$201,Y$154*Data!$E$275*Data!X$76,0)*(1+Y200)*(1+Data!$E$92)</f>
        <v>0</v>
      </c>
      <c r="Z201" s="177">
        <f>IF($C$201=$F$201,Z$154*Data!$E$275*Data!Y$76,0)*(1+Z200)*(1+Data!$E$92)</f>
        <v>0</v>
      </c>
      <c r="AA201" s="177">
        <f>IF($C$201=$F$201,AA$154*Data!$E$275*Data!Z$76,0)*(1+AA200)*(1+Data!$E$92)</f>
        <v>0</v>
      </c>
      <c r="AB201" s="177">
        <f>IF($C$201=$F$201,AB$154*Data!$E$275*Data!AA$76,0)*(1+AB200)*(1+Data!$E$92)</f>
        <v>0</v>
      </c>
      <c r="AC201" s="177">
        <f>IF($C$201=$F$201,AC$154*Data!$E$275*Data!AB$76,0)*(1+AC200)*(1+Data!$E$92)</f>
        <v>0</v>
      </c>
      <c r="AD201" s="177">
        <f>IF($C$201=$F$201,AD$154*Data!$E$275*Data!AC$76,0)*(1+AD200)*(1+Data!$E$92)</f>
        <v>0</v>
      </c>
      <c r="AE201" s="177">
        <f>IF($C$201=$F$201,AE$154*Data!$E$275*Data!AD$76,0)*(1+AE200)*(1+Data!$E$92)</f>
        <v>0</v>
      </c>
      <c r="AF201" s="177">
        <f>IF($C$201=$F$201,AF$154*Data!$E$275*Data!AE$76,0)*(1+AF200)*(1+Data!$E$92)</f>
        <v>0</v>
      </c>
      <c r="AG201" s="177">
        <f>IF($C$201=$F$201,AG$154*Data!$E$275*Data!AF$76,0)*(1+AG200)*(1+Data!$E$92)</f>
        <v>0</v>
      </c>
      <c r="AH201" s="177">
        <f>IF($C$201=$F$201,AH$154*Data!$E$275*Data!AG$76,0)*(1+AH200)*(1+Data!$E$92)</f>
        <v>0</v>
      </c>
      <c r="AI201" s="177">
        <f>IF($C$201=$F$201,AI$154*Data!$E$275*Data!AH$76,0)*(1+AI200)*(1+Data!$E$92)</f>
        <v>0</v>
      </c>
      <c r="AJ201" s="177">
        <f>IF($C$201=$F$201,AJ$154*Data!$E$275*Data!AI$76,0)*(1+AJ200)*(1+Data!$E$92)</f>
        <v>0</v>
      </c>
      <c r="AK201" s="177">
        <f>IF($C$201=$F$201,AK$154*Data!$E$275*Data!AJ$76,0)*(1+AK200)*(1+Data!$E$92)</f>
        <v>0</v>
      </c>
      <c r="AL201" s="177">
        <f>IF($C$201=$F$201,AL$154*Data!$E$275*Data!AK$76,0)*(1+AL200)*(1+Data!$E$92)</f>
        <v>0</v>
      </c>
      <c r="AM201" s="177">
        <f>IF($C$201=$F$201,AM$154*Data!$E$275*Data!AL$76,0)*(1+AM200)*(1+Data!$E$92)</f>
        <v>0</v>
      </c>
      <c r="AN201" s="177">
        <f>IF($C$201=$F$201,AN$154*Data!$E$275*Data!AM$76,0)*(1+AN200)*(1+Data!$E$92)</f>
        <v>0</v>
      </c>
      <c r="AO201" s="177">
        <f>IF($C$201=$F$201,AO$154*Data!$E$275*Data!AN$76,0)*(1+AO200)*(1+Data!$E$92)</f>
        <v>0</v>
      </c>
      <c r="AP201" s="29"/>
    </row>
    <row r="202" spans="1:42" outlineLevel="1" x14ac:dyDescent="0.25">
      <c r="A202" s="12"/>
      <c r="B202" s="13"/>
      <c r="C202" s="45" t="s">
        <v>124</v>
      </c>
      <c r="D202" s="45"/>
      <c r="E202" s="15" t="s">
        <v>318</v>
      </c>
      <c r="F202" s="158" t="str">
        <f>Dashboard!$I$53</f>
        <v>3 Axle rigid</v>
      </c>
      <c r="G202" s="14"/>
      <c r="H202" s="62"/>
      <c r="I202" s="177">
        <f>IF($C$202=$F$202,I$154*Data!$E$276*Data!H$76,0)*(1+I200)*(1+Data!$E$92)</f>
        <v>6925.6135068094427</v>
      </c>
      <c r="J202" s="177">
        <f>IF($C$202=$F$202,J$154*Data!$E$276*Data!I$76,0)*(1+J200)*(1+Data!$E$92)</f>
        <v>6903.7483930787866</v>
      </c>
      <c r="K202" s="177">
        <f>IF($C$202=$F$202,K$154*Data!$E$276*Data!J$76,0)*(1+K200)*(1+Data!$E$92)</f>
        <v>6862.3991822256676</v>
      </c>
      <c r="L202" s="177">
        <f>IF($C$202=$F$202,L$154*Data!$E$276*Data!K$76,0)*(1+L200)*(1+Data!$E$92)</f>
        <v>6812.0228226357222</v>
      </c>
      <c r="M202" s="177">
        <f>IF($C$202=$F$202,M$154*Data!$E$276*Data!L$76,0)*(1+M200)*(1+Data!$E$92)</f>
        <v>6756.029465513082</v>
      </c>
      <c r="N202" s="177">
        <f>IF($C$202=$F$202,N$154*Data!$E$276*Data!M$76,0)*(1+N200)*(1+Data!$E$92)</f>
        <v>6698.6870492081052</v>
      </c>
      <c r="O202" s="177">
        <f>IF($C$202=$F$202,O$154*Data!$E$276*Data!N$76,0)*(1+O200)*(1+Data!$E$92)</f>
        <v>6641.7641655344041</v>
      </c>
      <c r="P202" s="177">
        <f>IF($C$202=$F$202,P$154*Data!$E$276*Data!O$76,0)*(1+P200)*(1+Data!$E$92)</f>
        <v>6582.8326749945236</v>
      </c>
      <c r="Q202" s="177">
        <f>IF($C$202=$F$202,Q$154*Data!$E$276*Data!P$76,0)*(1+Q200)*(1+Data!$E$92)</f>
        <v>6551.5044578733214</v>
      </c>
      <c r="R202" s="177">
        <f>IF($C$202=$F$202,R$154*Data!$E$276*Data!Q$76,0)*(1+R200)*(1+Data!$E$92)</f>
        <v>6520.6980108894222</v>
      </c>
      <c r="S202" s="177">
        <f>IF($C$202=$F$202,S$154*Data!$E$276*Data!R$76,0)*(1+S200)*(1+Data!$E$92)</f>
        <v>6490.237220451434</v>
      </c>
      <c r="T202" s="177">
        <f>IF($C$202=$F$202,T$154*Data!$E$276*Data!S$76,0)*(1+T200)*(1+Data!$E$92)</f>
        <v>6460.5885555906652</v>
      </c>
      <c r="U202" s="177">
        <f>IF($C$202=$F$202,U$154*Data!$E$276*Data!T$76,0)*(1+U200)*(1+Data!$E$92)</f>
        <v>0</v>
      </c>
      <c r="V202" s="177">
        <f>IF($C$202=$F$202,V$154*Data!$E$276*Data!U$76,0)*(1+V200)*(1+Data!$E$92)</f>
        <v>0</v>
      </c>
      <c r="W202" s="177">
        <f>IF($C$202=$F$202,W$154*Data!$E$276*Data!V$76,0)*(1+W200)*(1+Data!$E$92)</f>
        <v>0</v>
      </c>
      <c r="X202" s="177">
        <f>IF($C$202=$F$202,X$154*Data!$E$276*Data!W$76,0)*(1+X200)*(1+Data!$E$92)</f>
        <v>0</v>
      </c>
      <c r="Y202" s="177">
        <f>IF($C$202=$F$202,Y$154*Data!$E$276*Data!X$76,0)*(1+Y200)*(1+Data!$E$92)</f>
        <v>0</v>
      </c>
      <c r="Z202" s="177">
        <f>IF($C$202=$F$202,Z$154*Data!$E$276*Data!Y$76,0)*(1+Z200)*(1+Data!$E$92)</f>
        <v>0</v>
      </c>
      <c r="AA202" s="177">
        <f>IF($C$202=$F$202,AA$154*Data!$E$276*Data!Z$76,0)*(1+AA200)*(1+Data!$E$92)</f>
        <v>0</v>
      </c>
      <c r="AB202" s="177">
        <f>IF($C$202=$F$202,AB$154*Data!$E$276*Data!AA$76,0)*(1+AB200)*(1+Data!$E$92)</f>
        <v>0</v>
      </c>
      <c r="AC202" s="177">
        <f>IF($C$202=$F$202,AC$154*Data!$E$276*Data!AB$76,0)*(1+AC200)*(1+Data!$E$92)</f>
        <v>0</v>
      </c>
      <c r="AD202" s="177">
        <f>IF($C$202=$F$202,AD$154*Data!$E$276*Data!AC$76,0)*(1+AD200)*(1+Data!$E$92)</f>
        <v>0</v>
      </c>
      <c r="AE202" s="177">
        <f>IF($C$202=$F$202,AE$154*Data!$E$276*Data!AD$76,0)*(1+AE200)*(1+Data!$E$92)</f>
        <v>0</v>
      </c>
      <c r="AF202" s="177">
        <f>IF($C$202=$F$202,AF$154*Data!$E$276*Data!AE$76,0)*(1+AF200)*(1+Data!$E$92)</f>
        <v>0</v>
      </c>
      <c r="AG202" s="177">
        <f>IF($C$202=$F$202,AG$154*Data!$E$276*Data!AF$76,0)*(1+AG200)*(1+Data!$E$92)</f>
        <v>0</v>
      </c>
      <c r="AH202" s="177">
        <f>IF($C$202=$F$202,AH$154*Data!$E$276*Data!AG$76,0)*(1+AH200)*(1+Data!$E$92)</f>
        <v>0</v>
      </c>
      <c r="AI202" s="177">
        <f>IF($C$202=$F$202,AI$154*Data!$E$276*Data!AH$76,0)*(1+AI200)*(1+Data!$E$92)</f>
        <v>0</v>
      </c>
      <c r="AJ202" s="177">
        <f>IF($C$202=$F$202,AJ$154*Data!$E$276*Data!AI$76,0)*(1+AJ200)*(1+Data!$E$92)</f>
        <v>0</v>
      </c>
      <c r="AK202" s="177">
        <f>IF($C$202=$F$202,AK$154*Data!$E$276*Data!AJ$76,0)*(1+AK200)*(1+Data!$E$92)</f>
        <v>0</v>
      </c>
      <c r="AL202" s="177">
        <f>IF($C$202=$F$202,AL$154*Data!$E$276*Data!AK$76,0)*(1+AL200)*(1+Data!$E$92)</f>
        <v>0</v>
      </c>
      <c r="AM202" s="177">
        <f>IF($C$202=$F$202,AM$154*Data!$E$276*Data!AL$76,0)*(1+AM200)*(1+Data!$E$92)</f>
        <v>0</v>
      </c>
      <c r="AN202" s="177">
        <f>IF($C$202=$F$202,AN$154*Data!$E$276*Data!AM$76,0)*(1+AN200)*(1+Data!$E$92)</f>
        <v>0</v>
      </c>
      <c r="AO202" s="177">
        <f>IF($C$202=$F$202,AO$154*Data!$E$276*Data!AN$76,0)*(1+AO200)*(1+Data!$E$92)</f>
        <v>0</v>
      </c>
      <c r="AP202" s="29"/>
    </row>
    <row r="203" spans="1:42" outlineLevel="1" x14ac:dyDescent="0.25">
      <c r="A203" s="12"/>
      <c r="B203" s="13"/>
      <c r="C203" s="45" t="s">
        <v>126</v>
      </c>
      <c r="D203" s="45"/>
      <c r="E203" s="15" t="s">
        <v>318</v>
      </c>
      <c r="F203" s="158" t="str">
        <f>Dashboard!$I$53</f>
        <v>3 Axle rigid</v>
      </c>
      <c r="G203" s="14"/>
      <c r="H203" s="62"/>
      <c r="I203" s="177">
        <f>IF($C$203=$F$203,I$154*Data!$E$277*Data!H$76,0)*(1+I200)*(1+Data!$E$92)</f>
        <v>0</v>
      </c>
      <c r="J203" s="177">
        <f>IF($C$203=$F$203,J$154*Data!$E$277*Data!I$76,0)*(1+J200)*(1+Data!$E$92)</f>
        <v>0</v>
      </c>
      <c r="K203" s="177">
        <f>IF($C$203=$F$203,K$154*Data!$E$277*Data!J$76,0)*(1+K200)*(1+Data!$E$92)</f>
        <v>0</v>
      </c>
      <c r="L203" s="177">
        <f>IF($C$203=$F$203,L$154*Data!$E$277*Data!K$76,0)*(1+L200)*(1+Data!$E$92)</f>
        <v>0</v>
      </c>
      <c r="M203" s="177">
        <f>IF($C$203=$F$203,M$154*Data!$E$277*Data!L$76,0)*(1+M200)*(1+Data!$E$92)</f>
        <v>0</v>
      </c>
      <c r="N203" s="177">
        <f>IF($C$203=$F$203,N$154*Data!$E$277*Data!M$76,0)*(1+N200)*(1+Data!$E$92)</f>
        <v>0</v>
      </c>
      <c r="O203" s="177">
        <f>IF($C$203=$F$203,O$154*Data!$E$277*Data!N$76,0)*(1+O200)*(1+Data!$E$92)</f>
        <v>0</v>
      </c>
      <c r="P203" s="177">
        <f>IF($C$203=$F$203,P$154*Data!$E$277*Data!O$76,0)*(1+P200)*(1+Data!$E$92)</f>
        <v>0</v>
      </c>
      <c r="Q203" s="177">
        <f>IF($C$203=$F$203,Q$154*Data!$E$277*Data!P$76,0)*(1+Q200)*(1+Data!$E$92)</f>
        <v>0</v>
      </c>
      <c r="R203" s="177">
        <f>IF($C$203=$F$203,R$154*Data!$E$277*Data!Q$76,0)*(1+R200)*(1+Data!$E$92)</f>
        <v>0</v>
      </c>
      <c r="S203" s="177">
        <f>IF($C$203=$F$203,S$154*Data!$E$277*Data!R$76,0)*(1+S200)*(1+Data!$E$92)</f>
        <v>0</v>
      </c>
      <c r="T203" s="177">
        <f>IF($C$203=$F$203,T$154*Data!$E$277*Data!S$76,0)*(1+T200)*(1+Data!$E$92)</f>
        <v>0</v>
      </c>
      <c r="U203" s="177">
        <f>IF($C$203=$F$203,U$154*Data!$E$277*Data!T$76,0)*(1+U200)*(1+Data!$E$92)</f>
        <v>0</v>
      </c>
      <c r="V203" s="177">
        <f>IF($C$203=$F$203,V$154*Data!$E$277*Data!U$76,0)*(1+V200)*(1+Data!$E$92)</f>
        <v>0</v>
      </c>
      <c r="W203" s="177">
        <f>IF($C$203=$F$203,W$154*Data!$E$277*Data!V$76,0)*(1+W200)*(1+Data!$E$92)</f>
        <v>0</v>
      </c>
      <c r="X203" s="177">
        <f>IF($C$203=$F$203,X$154*Data!$E$277*Data!W$76,0)*(1+X200)*(1+Data!$E$92)</f>
        <v>0</v>
      </c>
      <c r="Y203" s="177">
        <f>IF($C$203=$F$203,Y$154*Data!$E$277*Data!X$76,0)*(1+Y200)*(1+Data!$E$92)</f>
        <v>0</v>
      </c>
      <c r="Z203" s="177">
        <f>IF($C$203=$F$203,Z$154*Data!$E$277*Data!Y$76,0)*(1+Z200)*(1+Data!$E$92)</f>
        <v>0</v>
      </c>
      <c r="AA203" s="177">
        <f>IF($C$203=$F$203,AA$154*Data!$E$277*Data!Z$76,0)*(1+AA200)*(1+Data!$E$92)</f>
        <v>0</v>
      </c>
      <c r="AB203" s="177">
        <f>IF($C$203=$F$203,AB$154*Data!$E$277*Data!AA$76,0)*(1+AB200)*(1+Data!$E$92)</f>
        <v>0</v>
      </c>
      <c r="AC203" s="177">
        <f>IF($C$203=$F$203,AC$154*Data!$E$277*Data!AB$76,0)*(1+AC200)*(1+Data!$E$92)</f>
        <v>0</v>
      </c>
      <c r="AD203" s="177">
        <f>IF($C$203=$F$203,AD$154*Data!$E$277*Data!AC$76,0)*(1+AD200)*(1+Data!$E$92)</f>
        <v>0</v>
      </c>
      <c r="AE203" s="177">
        <f>IF($C$203=$F$203,AE$154*Data!$E$277*Data!AD$76,0)*(1+AE200)*(1+Data!$E$92)</f>
        <v>0</v>
      </c>
      <c r="AF203" s="177">
        <f>IF($C$203=$F$203,AF$154*Data!$E$277*Data!AE$76,0)*(1+AF200)*(1+Data!$E$92)</f>
        <v>0</v>
      </c>
      <c r="AG203" s="177">
        <f>IF($C$203=$F$203,AG$154*Data!$E$277*Data!AF$76,0)*(1+AG200)*(1+Data!$E$92)</f>
        <v>0</v>
      </c>
      <c r="AH203" s="177">
        <f>IF($C$203=$F$203,AH$154*Data!$E$277*Data!AG$76,0)*(1+AH200)*(1+Data!$E$92)</f>
        <v>0</v>
      </c>
      <c r="AI203" s="177">
        <f>IF($C$203=$F$203,AI$154*Data!$E$277*Data!AH$76,0)*(1+AI200)*(1+Data!$E$92)</f>
        <v>0</v>
      </c>
      <c r="AJ203" s="177">
        <f>IF($C$203=$F$203,AJ$154*Data!$E$277*Data!AI$76,0)*(1+AJ200)*(1+Data!$E$92)</f>
        <v>0</v>
      </c>
      <c r="AK203" s="177">
        <f>IF($C$203=$F$203,AK$154*Data!$E$277*Data!AJ$76,0)*(1+AK200)*(1+Data!$E$92)</f>
        <v>0</v>
      </c>
      <c r="AL203" s="177">
        <f>IF($C$203=$F$203,AL$154*Data!$E$277*Data!AK$76,0)*(1+AL200)*(1+Data!$E$92)</f>
        <v>0</v>
      </c>
      <c r="AM203" s="177">
        <f>IF($C$203=$F$203,AM$154*Data!$E$277*Data!AL$76,0)*(1+AM200)*(1+Data!$E$92)</f>
        <v>0</v>
      </c>
      <c r="AN203" s="177">
        <f>IF($C$203=$F$203,AN$154*Data!$E$277*Data!AM$76,0)*(1+AN200)*(1+Data!$E$92)</f>
        <v>0</v>
      </c>
      <c r="AO203" s="177">
        <f>IF($C$203=$F$203,AO$154*Data!$E$277*Data!AN$76,0)*(1+AO200)*(1+Data!$E$92)</f>
        <v>0</v>
      </c>
      <c r="AP203" s="17"/>
    </row>
    <row r="204" spans="1:42" outlineLevel="1" x14ac:dyDescent="0.25">
      <c r="A204" s="12"/>
      <c r="B204" s="13"/>
      <c r="C204" s="44"/>
      <c r="D204" s="44"/>
      <c r="E204" s="15"/>
      <c r="F204" s="16"/>
      <c r="G204" s="14"/>
      <c r="H204" s="46"/>
      <c r="I204" s="96"/>
      <c r="J204" s="96"/>
      <c r="K204" s="96"/>
      <c r="L204" s="96"/>
      <c r="M204" s="96"/>
      <c r="N204" s="96"/>
      <c r="O204" s="96"/>
      <c r="P204" s="96"/>
      <c r="Q204" s="96"/>
      <c r="R204" s="96"/>
      <c r="S204" s="96"/>
      <c r="T204" s="96"/>
      <c r="U204" s="96"/>
      <c r="V204" s="96"/>
      <c r="W204" s="96"/>
      <c r="X204" s="96"/>
      <c r="Y204" s="96"/>
      <c r="Z204" s="96"/>
      <c r="AA204" s="96"/>
      <c r="AB204" s="96"/>
      <c r="AC204" s="46"/>
      <c r="AD204" s="46"/>
      <c r="AE204" s="46"/>
      <c r="AF204" s="46"/>
      <c r="AG204" s="46"/>
      <c r="AH204" s="46"/>
      <c r="AI204" s="46"/>
      <c r="AJ204" s="46"/>
      <c r="AK204" s="46"/>
      <c r="AL204" s="46"/>
      <c r="AM204" s="46"/>
      <c r="AN204" s="46"/>
      <c r="AO204" s="46"/>
      <c r="AP204" s="17"/>
    </row>
    <row r="205" spans="1:42" outlineLevel="1" x14ac:dyDescent="0.25">
      <c r="A205" s="12"/>
      <c r="B205" s="13"/>
      <c r="C205" s="19" t="s">
        <v>512</v>
      </c>
      <c r="D205" s="45"/>
      <c r="E205" s="15"/>
      <c r="F205" s="158"/>
      <c r="G205" s="14"/>
      <c r="H205" s="28"/>
      <c r="I205" s="182">
        <f>SUM(I189:I191)+I195+I194+I197+SUM(I201:I203)</f>
        <v>32022.113506809437</v>
      </c>
      <c r="J205" s="182">
        <f t="shared" ref="J205:AO205" si="29">SUM(J189:J191)+J195+J194+J197+SUM(J201:J203)</f>
        <v>32000.248393078782</v>
      </c>
      <c r="K205" s="182">
        <f t="shared" si="29"/>
        <v>50512.291182225657</v>
      </c>
      <c r="L205" s="182">
        <f t="shared" si="29"/>
        <v>50461.914822635714</v>
      </c>
      <c r="M205" s="182">
        <f t="shared" si="29"/>
        <v>50405.921465513078</v>
      </c>
      <c r="N205" s="182">
        <f t="shared" si="29"/>
        <v>50348.5790492081</v>
      </c>
      <c r="O205" s="182">
        <f t="shared" si="29"/>
        <v>50291.656165534398</v>
      </c>
      <c r="P205" s="182">
        <f t="shared" si="29"/>
        <v>50232.724674994519</v>
      </c>
      <c r="Q205" s="182">
        <f t="shared" si="29"/>
        <v>50201.396457873314</v>
      </c>
      <c r="R205" s="182">
        <f t="shared" si="29"/>
        <v>50170.590010889413</v>
      </c>
      <c r="S205" s="182">
        <f t="shared" si="29"/>
        <v>50140.129220451425</v>
      </c>
      <c r="T205" s="182">
        <f t="shared" si="29"/>
        <v>50110.480555590657</v>
      </c>
      <c r="U205" s="182">
        <f t="shared" si="29"/>
        <v>0</v>
      </c>
      <c r="V205" s="182">
        <f t="shared" si="29"/>
        <v>0</v>
      </c>
      <c r="W205" s="182">
        <f t="shared" si="29"/>
        <v>0</v>
      </c>
      <c r="X205" s="182">
        <f t="shared" si="29"/>
        <v>0</v>
      </c>
      <c r="Y205" s="182">
        <f t="shared" si="29"/>
        <v>0</v>
      </c>
      <c r="Z205" s="182">
        <f t="shared" si="29"/>
        <v>0</v>
      </c>
      <c r="AA205" s="182">
        <f t="shared" si="29"/>
        <v>0</v>
      </c>
      <c r="AB205" s="182">
        <f t="shared" si="29"/>
        <v>0</v>
      </c>
      <c r="AC205" s="182">
        <f t="shared" si="29"/>
        <v>0</v>
      </c>
      <c r="AD205" s="182">
        <f t="shared" si="29"/>
        <v>0</v>
      </c>
      <c r="AE205" s="182">
        <f t="shared" si="29"/>
        <v>0</v>
      </c>
      <c r="AF205" s="182">
        <f t="shared" si="29"/>
        <v>0</v>
      </c>
      <c r="AG205" s="182">
        <f t="shared" si="29"/>
        <v>0</v>
      </c>
      <c r="AH205" s="182">
        <f t="shared" si="29"/>
        <v>0</v>
      </c>
      <c r="AI205" s="182">
        <f t="shared" si="29"/>
        <v>0</v>
      </c>
      <c r="AJ205" s="182">
        <f t="shared" si="29"/>
        <v>0</v>
      </c>
      <c r="AK205" s="182">
        <f t="shared" si="29"/>
        <v>0</v>
      </c>
      <c r="AL205" s="182">
        <f t="shared" si="29"/>
        <v>0</v>
      </c>
      <c r="AM205" s="182">
        <f t="shared" si="29"/>
        <v>0</v>
      </c>
      <c r="AN205" s="182">
        <f t="shared" si="29"/>
        <v>0</v>
      </c>
      <c r="AO205" s="182">
        <f t="shared" si="29"/>
        <v>0</v>
      </c>
      <c r="AP205" s="29"/>
    </row>
    <row r="206" spans="1:42" outlineLevel="1" x14ac:dyDescent="0.25">
      <c r="A206" s="12"/>
      <c r="B206" s="13"/>
      <c r="C206" s="45"/>
      <c r="D206" s="45"/>
      <c r="E206" s="15"/>
      <c r="F206" s="16"/>
      <c r="G206" s="14"/>
      <c r="H206" s="28"/>
      <c r="I206" s="177"/>
      <c r="J206" s="177"/>
      <c r="K206" s="177"/>
      <c r="L206" s="177"/>
      <c r="M206" s="177"/>
      <c r="N206" s="177"/>
      <c r="O206" s="177"/>
      <c r="P206" s="177"/>
      <c r="Q206" s="177"/>
      <c r="R206" s="177"/>
      <c r="S206" s="177"/>
      <c r="T206" s="177"/>
      <c r="U206" s="177"/>
      <c r="V206" s="177"/>
      <c r="W206" s="177"/>
      <c r="X206" s="28"/>
      <c r="Y206" s="28"/>
      <c r="Z206" s="28"/>
      <c r="AA206" s="28"/>
      <c r="AB206" s="28"/>
      <c r="AC206" s="28"/>
      <c r="AD206" s="28"/>
      <c r="AE206" s="28"/>
      <c r="AF206" s="28"/>
      <c r="AG206" s="28"/>
      <c r="AH206" s="28"/>
      <c r="AI206" s="28"/>
      <c r="AJ206" s="28"/>
      <c r="AK206" s="28"/>
      <c r="AL206" s="28"/>
      <c r="AM206" s="28"/>
      <c r="AN206" s="28"/>
      <c r="AO206" s="28"/>
      <c r="AP206" s="29"/>
    </row>
    <row r="207" spans="1:42" outlineLevel="1" x14ac:dyDescent="0.25">
      <c r="A207" s="12"/>
      <c r="B207" s="13"/>
      <c r="C207" s="37" t="s">
        <v>513</v>
      </c>
      <c r="D207" s="37"/>
      <c r="E207" s="38"/>
      <c r="F207" s="39"/>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17"/>
    </row>
    <row r="208" spans="1:42" s="140" customFormat="1" outlineLevel="1" x14ac:dyDescent="0.25">
      <c r="A208" s="78"/>
      <c r="B208" s="19"/>
      <c r="C208" s="44" t="s">
        <v>249</v>
      </c>
      <c r="D208" s="44"/>
      <c r="E208" s="21" t="s">
        <v>142</v>
      </c>
      <c r="F208" s="375" t="str">
        <f>Dashboard!I53</f>
        <v>3 Axle rigid</v>
      </c>
      <c r="G208" s="20"/>
      <c r="H208" s="49"/>
      <c r="I208" s="182" cm="1">
        <f t="array" ref="I208">-IF(COUNT($I$3:I$3)=(Dashboard!$I$32+1),INDEX(Data!$E$286:$E$288,MATCH(Repowered!$F$208,Data!$B$286:$B$288,0),0))</f>
        <v>0</v>
      </c>
      <c r="J208" s="182" cm="1">
        <f t="array" ref="J208">-IF(COUNT($I$3:J$3)=(Dashboard!$I$32+1),INDEX(Data!$E$286:$E$288,MATCH(Repowered!$F$208,Data!$B$286:$B$288,0),0))</f>
        <v>0</v>
      </c>
      <c r="K208" s="182" cm="1">
        <f t="array" ref="K208">-IF(COUNT($I$3:K$3)=(Dashboard!$I$32+1),INDEX(Data!$E$286:$E$288,MATCH(Repowered!$F$208,Data!$B$286:$B$288,0),0))</f>
        <v>0</v>
      </c>
      <c r="L208" s="182" cm="1">
        <f t="array" ref="L208">-IF(COUNT($I$3:L$3)=(Dashboard!$I$32+1),INDEX(Data!$E$286:$E$288,MATCH(Repowered!$F$208,Data!$B$286:$B$288,0),0))</f>
        <v>0</v>
      </c>
      <c r="M208" s="182" cm="1">
        <f t="array" ref="M208">-IF(COUNT($I$3:M$3)=(Dashboard!$I$32+1),INDEX(Data!$E$286:$E$288,MATCH(Repowered!$F$208,Data!$B$286:$B$288,0),0))</f>
        <v>0</v>
      </c>
      <c r="N208" s="182" cm="1">
        <f t="array" ref="N208">-IF(COUNT($I$3:N$3)=(Dashboard!$I$32+1),INDEX(Data!$E$286:$E$288,MATCH(Repowered!$F$208,Data!$B$286:$B$288,0),0))</f>
        <v>0</v>
      </c>
      <c r="O208" s="182" cm="1">
        <f t="array" ref="O208">-IF(COUNT($I$3:O$3)=(Dashboard!$I$32+1),INDEX(Data!$E$286:$E$288,MATCH(Repowered!$F$208,Data!$B$286:$B$288,0),0))</f>
        <v>0</v>
      </c>
      <c r="P208" s="182" cm="1">
        <f t="array" ref="P208">-IF(COUNT($I$3:P$3)=(Dashboard!$I$32+1),INDEX(Data!$E$286:$E$288,MATCH(Repowered!$F$208,Data!$B$286:$B$288,0),0))</f>
        <v>0</v>
      </c>
      <c r="Q208" s="182" cm="1">
        <f t="array" ref="Q208">-IF(COUNT($I$3:Q$3)=(Dashboard!$I$32+1),INDEX(Data!$E$286:$E$288,MATCH(Repowered!$F$208,Data!$B$286:$B$288,0),0))</f>
        <v>0</v>
      </c>
      <c r="R208" s="182" cm="1">
        <f t="array" ref="R208">-IF(COUNT($I$3:R$3)=(Dashboard!$I$32+1),INDEX(Data!$E$286:$E$288,MATCH(Repowered!$F$208,Data!$B$286:$B$288,0),0))</f>
        <v>0</v>
      </c>
      <c r="S208" s="182" cm="1">
        <f t="array" ref="S208">-IF(COUNT($I$3:S$3)=(Dashboard!$I$32+1),INDEX(Data!$E$286:$E$288,MATCH(Repowered!$F$208,Data!$B$286:$B$288,0),0))</f>
        <v>0</v>
      </c>
      <c r="T208" s="182" cm="1">
        <f t="array" ref="T208">-IF(COUNT($I$3:T$3)=(Dashboard!$I$32+1),INDEX(Data!$E$286:$E$288,MATCH(Repowered!$F$208,Data!$B$286:$B$288,0),0))</f>
        <v>0</v>
      </c>
      <c r="U208" s="182" cm="1">
        <f t="array" ref="U208">-IF(COUNT($I$3:U$3)=(Dashboard!$I$32+1),INDEX(Data!$E$286:$E$288,MATCH(Repowered!$F$208,Data!$B$286:$B$288,0),0))</f>
        <v>-59775</v>
      </c>
      <c r="V208" s="182" cm="1">
        <f t="array" ref="V208">-IF(COUNT($I$3:V$3)=(Dashboard!$I$32+1),INDEX(Data!$E$286:$E$288,MATCH(Repowered!$F$208,Data!$B$286:$B$288,0),0))</f>
        <v>0</v>
      </c>
      <c r="W208" s="182" cm="1">
        <f t="array" ref="W208">-IF(COUNT($I$3:W$3)=(Dashboard!$I$32+1),INDEX(Data!$E$286:$E$288,MATCH(Repowered!$F$208,Data!$B$286:$B$288,0),0))</f>
        <v>0</v>
      </c>
      <c r="X208" s="182" cm="1">
        <f t="array" ref="X208">-IF(COUNT($I$3:X$3)=(Dashboard!$I$32+1),INDEX(Data!$E$286:$E$288,MATCH(Repowered!$F$208,Data!$B$286:$B$288,0),0))</f>
        <v>0</v>
      </c>
      <c r="Y208" s="182" cm="1">
        <f t="array" ref="Y208">-IF(COUNT($I$3:Y$3)=(Dashboard!$I$32+1),INDEX(Data!$E$286:$E$288,MATCH(Repowered!$F$208,Data!$B$286:$B$288,0),0))</f>
        <v>0</v>
      </c>
      <c r="Z208" s="182" cm="1">
        <f t="array" ref="Z208">-IF(COUNT($I$3:Z$3)=(Dashboard!$I$32+1),INDEX(Data!$E$286:$E$288,MATCH(Repowered!$F$208,Data!$B$286:$B$288,0),0))</f>
        <v>0</v>
      </c>
      <c r="AA208" s="182" cm="1">
        <f t="array" ref="AA208">-IF(COUNT($I$3:AA$3)=(Dashboard!$I$32+1),INDEX(Data!$E$286:$E$288,MATCH(Repowered!$F$208,Data!$B$286:$B$288,0),0))</f>
        <v>0</v>
      </c>
      <c r="AB208" s="182" cm="1">
        <f t="array" ref="AB208">-IF(COUNT($I$3:AB$3)=(Dashboard!$I$32+1),INDEX(Data!$E$286:$E$288,MATCH(Repowered!$F$208,Data!$B$286:$B$288,0),0))</f>
        <v>0</v>
      </c>
      <c r="AC208" s="182" cm="1">
        <f t="array" ref="AC208">-IF(COUNT($I$3:AC$3)=(Dashboard!$I$32+1),INDEX(Data!$E$286:$E$288,MATCH(Repowered!$F$208,Data!$B$286:$B$288,0),0))</f>
        <v>0</v>
      </c>
      <c r="AD208" s="182" cm="1">
        <f t="array" ref="AD208">-IF(COUNT($I$3:AD$3)=(Dashboard!$I$32+1),INDEX(Data!$E$286:$E$288,MATCH(Repowered!$F$208,Data!$B$286:$B$288,0),0))</f>
        <v>0</v>
      </c>
      <c r="AE208" s="182" cm="1">
        <f t="array" ref="AE208">-IF(COUNT($I$3:AE$3)=(Dashboard!$I$32+1),INDEX(Data!$E$286:$E$288,MATCH(Repowered!$F$208,Data!$B$286:$B$288,0),0))</f>
        <v>0</v>
      </c>
      <c r="AF208" s="182" cm="1">
        <f t="array" ref="AF208">-IF(COUNT($I$3:AF$3)=(Dashboard!$I$32+1),INDEX(Data!$E$286:$E$288,MATCH(Repowered!$F$208,Data!$B$286:$B$288,0),0))</f>
        <v>0</v>
      </c>
      <c r="AG208" s="182" cm="1">
        <f t="array" ref="AG208">-IF(COUNT($I$3:AG$3)=(Dashboard!$I$32+1),INDEX(Data!$E$286:$E$288,MATCH(Repowered!$F$208,Data!$B$286:$B$288,0),0))</f>
        <v>0</v>
      </c>
      <c r="AH208" s="182" cm="1">
        <f t="array" ref="AH208">-IF(COUNT($I$3:AH$3)=(Dashboard!$I$32+1),INDEX(Data!$E$286:$E$288,MATCH(Repowered!$F$208,Data!$B$286:$B$288,0),0))</f>
        <v>0</v>
      </c>
      <c r="AI208" s="182" cm="1">
        <f t="array" ref="AI208">-IF(COUNT($I$3:AI$3)=(Dashboard!$I$32+1),INDEX(Data!$E$286:$E$288,MATCH(Repowered!$F$208,Data!$B$286:$B$288,0),0))</f>
        <v>0</v>
      </c>
      <c r="AJ208" s="182" cm="1">
        <f t="array" ref="AJ208">-IF(COUNT($I$3:AJ$3)=(Dashboard!$I$32+1),INDEX(Data!$E$286:$E$288,MATCH(Repowered!$F$208,Data!$B$286:$B$288,0),0))</f>
        <v>0</v>
      </c>
      <c r="AK208" s="182" cm="1">
        <f t="array" ref="AK208">-IF(COUNT($I$3:AK$3)=(Dashboard!$I$32+1),INDEX(Data!$E$286:$E$288,MATCH(Repowered!$F$208,Data!$B$286:$B$288,0),0))</f>
        <v>0</v>
      </c>
      <c r="AL208" s="182" cm="1">
        <f t="array" ref="AL208">-IF(COUNT($I$3:AL$3)=(Dashboard!$I$32+1),INDEX(Data!$E$286:$E$288,MATCH(Repowered!$F$208,Data!$B$286:$B$288,0),0))</f>
        <v>0</v>
      </c>
      <c r="AM208" s="182" cm="1">
        <f t="array" ref="AM208">-IF(COUNT($I$3:AM$3)=(Dashboard!$I$32+1),INDEX(Data!$E$286:$E$288,MATCH(Repowered!$F$208,Data!$B$286:$B$288,0),0))</f>
        <v>0</v>
      </c>
      <c r="AN208" s="182" cm="1">
        <f t="array" ref="AN208">-IF(COUNT($I$3:AN$3)=(Dashboard!$I$32+1),INDEX(Data!$E$286:$E$288,MATCH(Repowered!$F$208,Data!$B$286:$B$288,0),0))</f>
        <v>0</v>
      </c>
      <c r="AO208" s="182" cm="1">
        <f t="array" ref="AO208">-IF(COUNT($I$3:AO$3)=(Dashboard!$I$32+1),INDEX(Data!$E$286:$E$288,MATCH(Repowered!$F$208,Data!$B$286:$B$288,0),0))</f>
        <v>0</v>
      </c>
      <c r="AP208" s="50"/>
    </row>
    <row r="209" spans="1:42" outlineLevel="1" x14ac:dyDescent="0.25">
      <c r="A209" s="12"/>
      <c r="B209" s="13"/>
      <c r="C209" s="45"/>
      <c r="D209" s="45"/>
      <c r="E209" s="15"/>
      <c r="F209" s="16"/>
      <c r="G209" s="14"/>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9"/>
    </row>
    <row r="210" spans="1:42" outlineLevel="1" x14ac:dyDescent="0.25">
      <c r="A210" s="12"/>
      <c r="B210" s="13"/>
      <c r="C210" s="14"/>
      <c r="D210" s="14"/>
      <c r="E210" s="15"/>
      <c r="F210" s="16"/>
      <c r="G210" s="14"/>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17"/>
    </row>
    <row r="211" spans="1:42" outlineLevel="1" x14ac:dyDescent="0.25">
      <c r="A211" s="12"/>
      <c r="B211" s="13"/>
      <c r="C211" s="14"/>
      <c r="D211" s="14"/>
      <c r="E211" s="15"/>
      <c r="F211" s="16"/>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7"/>
    </row>
    <row r="212" spans="1:42" outlineLevel="1" x14ac:dyDescent="0.25">
      <c r="A212" s="12"/>
      <c r="B212" s="13"/>
      <c r="C212" s="37" t="s">
        <v>479</v>
      </c>
      <c r="D212" s="37"/>
      <c r="E212" s="38" t="s">
        <v>54</v>
      </c>
      <c r="F212" s="39"/>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17"/>
    </row>
    <row r="213" spans="1:42" outlineLevel="1" x14ac:dyDescent="0.25">
      <c r="A213" s="12"/>
      <c r="B213" s="13"/>
      <c r="C213" s="14" t="s">
        <v>479</v>
      </c>
      <c r="D213" s="14"/>
      <c r="E213" s="15" t="s">
        <v>54</v>
      </c>
      <c r="F213" s="16"/>
      <c r="G213" s="96"/>
      <c r="H213" s="165"/>
      <c r="I213" s="165">
        <f>I205+I185+I208</f>
        <v>88631.137841283838</v>
      </c>
      <c r="J213" s="165">
        <f t="shared" ref="J213:AN213" si="30">J205+J185+J208</f>
        <v>88609.27272755318</v>
      </c>
      <c r="K213" s="165">
        <f t="shared" si="30"/>
        <v>107121.31551670005</v>
      </c>
      <c r="L213" s="165">
        <f t="shared" si="30"/>
        <v>107070.93915711012</v>
      </c>
      <c r="M213" s="165">
        <f t="shared" si="30"/>
        <v>107014.94579998747</v>
      </c>
      <c r="N213" s="165">
        <f t="shared" si="30"/>
        <v>106957.60338368249</v>
      </c>
      <c r="O213" s="165">
        <f t="shared" si="30"/>
        <v>106900.68050000879</v>
      </c>
      <c r="P213" s="165">
        <f t="shared" si="30"/>
        <v>106841.74900946891</v>
      </c>
      <c r="Q213" s="165">
        <f t="shared" si="30"/>
        <v>106810.42079234771</v>
      </c>
      <c r="R213" s="165">
        <f t="shared" si="30"/>
        <v>106779.61434536381</v>
      </c>
      <c r="S213" s="165">
        <f t="shared" si="30"/>
        <v>106749.15355492581</v>
      </c>
      <c r="T213" s="165">
        <f t="shared" si="30"/>
        <v>106719.50489006506</v>
      </c>
      <c r="U213" s="165">
        <f t="shared" si="30"/>
        <v>-59775</v>
      </c>
      <c r="V213" s="165">
        <f t="shared" si="30"/>
        <v>0</v>
      </c>
      <c r="W213" s="165">
        <f t="shared" si="30"/>
        <v>0</v>
      </c>
      <c r="X213" s="165">
        <f t="shared" si="30"/>
        <v>0</v>
      </c>
      <c r="Y213" s="165">
        <f t="shared" si="30"/>
        <v>0</v>
      </c>
      <c r="Z213" s="165">
        <f t="shared" si="30"/>
        <v>0</v>
      </c>
      <c r="AA213" s="165">
        <f t="shared" si="30"/>
        <v>0</v>
      </c>
      <c r="AB213" s="165">
        <f t="shared" si="30"/>
        <v>0</v>
      </c>
      <c r="AC213" s="165">
        <f t="shared" si="30"/>
        <v>0</v>
      </c>
      <c r="AD213" s="165">
        <f t="shared" si="30"/>
        <v>0</v>
      </c>
      <c r="AE213" s="165">
        <f t="shared" si="30"/>
        <v>0</v>
      </c>
      <c r="AF213" s="165">
        <f t="shared" si="30"/>
        <v>0</v>
      </c>
      <c r="AG213" s="165">
        <f t="shared" si="30"/>
        <v>0</v>
      </c>
      <c r="AH213" s="165">
        <f t="shared" si="30"/>
        <v>0</v>
      </c>
      <c r="AI213" s="165">
        <f t="shared" si="30"/>
        <v>0</v>
      </c>
      <c r="AJ213" s="165">
        <f t="shared" si="30"/>
        <v>0</v>
      </c>
      <c r="AK213" s="165">
        <f t="shared" si="30"/>
        <v>0</v>
      </c>
      <c r="AL213" s="165">
        <f t="shared" si="30"/>
        <v>0</v>
      </c>
      <c r="AM213" s="165">
        <f t="shared" si="30"/>
        <v>0</v>
      </c>
      <c r="AN213" s="165">
        <f t="shared" si="30"/>
        <v>0</v>
      </c>
      <c r="AO213" s="165">
        <f>AO205+AO185+AO208</f>
        <v>0</v>
      </c>
      <c r="AP213" s="29"/>
    </row>
    <row r="214" spans="1:42" s="140" customFormat="1" outlineLevel="1" x14ac:dyDescent="0.25">
      <c r="A214" s="78"/>
      <c r="B214" s="19"/>
      <c r="C214" s="20" t="s">
        <v>480</v>
      </c>
      <c r="D214" s="20"/>
      <c r="E214" s="15" t="s">
        <v>54</v>
      </c>
      <c r="F214" s="48"/>
      <c r="G214" s="95"/>
      <c r="H214" s="182"/>
      <c r="I214" s="182">
        <f>I213*Data!H$9</f>
        <v>85222.247924311378</v>
      </c>
      <c r="J214" s="182">
        <f>J213*Data!I$9</f>
        <v>81924.253631243686</v>
      </c>
      <c r="K214" s="182">
        <f>K213*Data!J$9</f>
        <v>95230.459430384522</v>
      </c>
      <c r="L214" s="182">
        <f>L213*Data!K$9</f>
        <v>91524.687528986498</v>
      </c>
      <c r="M214" s="182">
        <f>M213*Data!L$9</f>
        <v>87958.484781392515</v>
      </c>
      <c r="N214" s="182">
        <f>N213*Data!M$9</f>
        <v>84530.147591408051</v>
      </c>
      <c r="O214" s="182">
        <f>O213*Data!N$9</f>
        <v>81235.731355379132</v>
      </c>
      <c r="P214" s="182">
        <f>P213*Data!O$9</f>
        <v>78068.219486499336</v>
      </c>
      <c r="Q214" s="182">
        <f>Q213*Data!P$9</f>
        <v>75043.584870296807</v>
      </c>
      <c r="R214" s="182">
        <f>R213*Data!Q$9</f>
        <v>72136.481412765017</v>
      </c>
      <c r="S214" s="182">
        <f>S213*Data!R$9</f>
        <v>69342.214609799033</v>
      </c>
      <c r="T214" s="182">
        <f>T213*Data!S$9</f>
        <v>66656.687886979969</v>
      </c>
      <c r="U214" s="182">
        <f>U213*Data!T$9</f>
        <v>-35899.315998700375</v>
      </c>
      <c r="V214" s="182">
        <f>V213*Data!U$9</f>
        <v>0</v>
      </c>
      <c r="W214" s="182">
        <f>W213*Data!V$9</f>
        <v>0</v>
      </c>
      <c r="X214" s="182">
        <f>X213*Data!W$9</f>
        <v>0</v>
      </c>
      <c r="Y214" s="182">
        <f>Y213*Data!X$9</f>
        <v>0</v>
      </c>
      <c r="Z214" s="182">
        <f>Z213*Data!Y$9</f>
        <v>0</v>
      </c>
      <c r="AA214" s="182">
        <f>AA213*Data!Z$9</f>
        <v>0</v>
      </c>
      <c r="AB214" s="182">
        <f>AB213*Data!AA$9</f>
        <v>0</v>
      </c>
      <c r="AC214" s="182">
        <f>AC213*Data!AB$9</f>
        <v>0</v>
      </c>
      <c r="AD214" s="182">
        <f>AD213*Data!AC$9</f>
        <v>0</v>
      </c>
      <c r="AE214" s="182">
        <f>AE213*Data!AD$9</f>
        <v>0</v>
      </c>
      <c r="AF214" s="182">
        <f>AF213*Data!AE$9</f>
        <v>0</v>
      </c>
      <c r="AG214" s="182">
        <f>AG213*Data!AF$9</f>
        <v>0</v>
      </c>
      <c r="AH214" s="182">
        <f>AH213*Data!AG$9</f>
        <v>0</v>
      </c>
      <c r="AI214" s="182">
        <f>AI213*Data!AH$9</f>
        <v>0</v>
      </c>
      <c r="AJ214" s="182">
        <f>AJ213*Data!AI$9</f>
        <v>0</v>
      </c>
      <c r="AK214" s="182">
        <f>AK213*Data!AJ$9</f>
        <v>0</v>
      </c>
      <c r="AL214" s="182">
        <f>AL213*Data!AK$9</f>
        <v>0</v>
      </c>
      <c r="AM214" s="182">
        <f>AM213*Data!AL$9</f>
        <v>0</v>
      </c>
      <c r="AN214" s="182">
        <f>AN213*Data!AM$9</f>
        <v>0</v>
      </c>
      <c r="AO214" s="182">
        <f>AO213*Data!AN$9</f>
        <v>0</v>
      </c>
      <c r="AP214" s="50"/>
    </row>
    <row r="215" spans="1:42" outlineLevel="1" x14ac:dyDescent="0.25">
      <c r="A215" s="12"/>
      <c r="B215" s="13"/>
      <c r="C215" s="14" t="s">
        <v>479</v>
      </c>
      <c r="D215" s="14"/>
      <c r="E215" s="15" t="s">
        <v>142</v>
      </c>
      <c r="F215" s="16"/>
      <c r="G215" s="165">
        <f>SUM(H214:AO214)</f>
        <v>932973.88451074553</v>
      </c>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9"/>
    </row>
    <row r="216" spans="1:42" outlineLevel="1" x14ac:dyDescent="0.25">
      <c r="A216" s="12"/>
      <c r="B216" s="13"/>
      <c r="C216" s="44" t="s">
        <v>514</v>
      </c>
      <c r="D216" s="44"/>
      <c r="E216" s="15" t="s">
        <v>261</v>
      </c>
      <c r="F216" s="16"/>
      <c r="G216" s="183">
        <f>G215/SUM(I154:AO154)</f>
        <v>1.5102529858047551</v>
      </c>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7"/>
    </row>
    <row r="217" spans="1:42" outlineLevel="1" x14ac:dyDescent="0.25">
      <c r="A217" s="12"/>
      <c r="B217" s="13"/>
      <c r="C217" s="14"/>
      <c r="D217" s="14"/>
      <c r="E217" s="15"/>
      <c r="F217" s="16"/>
      <c r="G217" s="14"/>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17"/>
    </row>
    <row r="218" spans="1:42" outlineLevel="1" x14ac:dyDescent="0.25">
      <c r="A218" s="12"/>
      <c r="B218" s="13"/>
      <c r="C218" s="19"/>
      <c r="D218" s="19"/>
      <c r="E218" s="15"/>
      <c r="F218" s="16"/>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row>
    <row r="219" spans="1:42" outlineLevel="1" x14ac:dyDescent="0.25">
      <c r="A219" s="12"/>
      <c r="B219" s="13"/>
      <c r="C219" s="37" t="s">
        <v>515</v>
      </c>
      <c r="D219" s="37"/>
      <c r="E219" s="38"/>
      <c r="F219" s="39"/>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17"/>
    </row>
    <row r="220" spans="1:42" outlineLevel="1" x14ac:dyDescent="0.25">
      <c r="A220" s="12"/>
      <c r="B220" s="13"/>
      <c r="C220" s="20" t="s">
        <v>516</v>
      </c>
      <c r="D220" s="45"/>
      <c r="E220" s="15"/>
      <c r="F220" s="16"/>
      <c r="G220" s="165"/>
      <c r="H220" s="165"/>
      <c r="I220" s="165"/>
      <c r="J220" s="165"/>
      <c r="K220" s="165"/>
      <c r="L220" s="165"/>
      <c r="M220" s="165"/>
      <c r="N220" s="165"/>
      <c r="O220" s="165"/>
      <c r="P220" s="165"/>
      <c r="Q220" s="165"/>
      <c r="R220" s="165"/>
      <c r="S220" s="165"/>
      <c r="T220" s="165"/>
      <c r="U220" s="28"/>
      <c r="V220" s="28"/>
      <c r="W220" s="28"/>
      <c r="X220" s="28"/>
      <c r="Y220" s="28"/>
      <c r="Z220" s="28"/>
      <c r="AA220" s="28"/>
      <c r="AB220" s="28"/>
      <c r="AC220" s="28"/>
      <c r="AD220" s="28"/>
      <c r="AE220" s="28"/>
      <c r="AF220" s="28"/>
      <c r="AG220" s="28"/>
      <c r="AH220" s="28"/>
      <c r="AI220" s="28"/>
      <c r="AJ220" s="28"/>
      <c r="AK220" s="28"/>
      <c r="AL220" s="28"/>
      <c r="AM220" s="28"/>
      <c r="AN220" s="28"/>
      <c r="AO220" s="28"/>
      <c r="AP220" s="29"/>
    </row>
    <row r="221" spans="1:42" outlineLevel="1" x14ac:dyDescent="0.25">
      <c r="A221" s="12"/>
      <c r="B221" s="13"/>
      <c r="C221" s="45" t="s">
        <v>517</v>
      </c>
      <c r="D221" s="45"/>
      <c r="E221" s="15" t="s">
        <v>342</v>
      </c>
      <c r="F221" s="179">
        <f>Data!$E$291</f>
        <v>47000</v>
      </c>
      <c r="G221" s="165"/>
      <c r="H221" s="165"/>
      <c r="I221" s="165"/>
      <c r="J221" s="165"/>
      <c r="K221" s="165"/>
      <c r="L221" s="165"/>
      <c r="M221" s="165"/>
      <c r="N221" s="165"/>
      <c r="O221" s="165"/>
      <c r="P221" s="165"/>
      <c r="Q221" s="165"/>
      <c r="R221" s="165"/>
      <c r="S221" s="165"/>
      <c r="T221" s="165"/>
      <c r="U221" s="28"/>
      <c r="V221" s="28"/>
      <c r="W221" s="28"/>
      <c r="X221" s="28"/>
      <c r="Y221" s="28"/>
      <c r="Z221" s="28"/>
      <c r="AA221" s="28"/>
      <c r="AB221" s="28"/>
      <c r="AC221" s="28"/>
      <c r="AD221" s="28"/>
      <c r="AE221" s="28"/>
      <c r="AF221" s="28"/>
      <c r="AG221" s="28"/>
      <c r="AH221" s="28"/>
      <c r="AI221" s="28"/>
      <c r="AJ221" s="28"/>
      <c r="AK221" s="28"/>
      <c r="AL221" s="28"/>
      <c r="AM221" s="28"/>
      <c r="AN221" s="28"/>
      <c r="AO221" s="28"/>
      <c r="AP221" s="29"/>
    </row>
    <row r="222" spans="1:42" outlineLevel="1" x14ac:dyDescent="0.25">
      <c r="A222" s="12"/>
      <c r="B222" s="13"/>
      <c r="C222" s="45" t="s">
        <v>518</v>
      </c>
      <c r="D222" s="45"/>
      <c r="E222" s="15" t="s">
        <v>142</v>
      </c>
      <c r="F222" s="179"/>
      <c r="G222" s="186">
        <f>F221*Data!$G$16/1000</f>
        <v>4089</v>
      </c>
      <c r="H222" s="165"/>
      <c r="I222" s="165"/>
      <c r="J222" s="165"/>
      <c r="K222" s="165"/>
      <c r="L222" s="165"/>
      <c r="M222" s="165"/>
      <c r="N222" s="165"/>
      <c r="O222" s="165"/>
      <c r="P222" s="165"/>
      <c r="Q222" s="165"/>
      <c r="R222" s="165"/>
      <c r="S222" s="165"/>
      <c r="T222" s="165"/>
      <c r="U222" s="28"/>
      <c r="V222" s="28"/>
      <c r="W222" s="28"/>
      <c r="X222" s="28"/>
      <c r="Y222" s="28"/>
      <c r="Z222" s="28"/>
      <c r="AA222" s="28"/>
      <c r="AB222" s="28"/>
      <c r="AC222" s="28"/>
      <c r="AD222" s="28"/>
      <c r="AE222" s="28"/>
      <c r="AF222" s="28"/>
      <c r="AG222" s="28"/>
      <c r="AH222" s="28"/>
      <c r="AI222" s="28"/>
      <c r="AJ222" s="28"/>
      <c r="AK222" s="28"/>
      <c r="AL222" s="28"/>
      <c r="AM222" s="28"/>
      <c r="AN222" s="28"/>
      <c r="AO222" s="28"/>
      <c r="AP222" s="29"/>
    </row>
    <row r="223" spans="1:42" outlineLevel="1" x14ac:dyDescent="0.25">
      <c r="A223" s="12"/>
      <c r="B223" s="13"/>
      <c r="C223" s="45" t="s">
        <v>518</v>
      </c>
      <c r="D223" s="45"/>
      <c r="E223" s="15" t="s">
        <v>261</v>
      </c>
      <c r="F223" s="179"/>
      <c r="G223" s="184">
        <f>G222/(SUM(H154:AN154))</f>
        <v>6.6190753690753687E-3</v>
      </c>
      <c r="H223" s="165"/>
      <c r="I223" s="165"/>
      <c r="J223" s="165"/>
      <c r="K223" s="165"/>
      <c r="L223" s="165"/>
      <c r="M223" s="165"/>
      <c r="N223" s="165"/>
      <c r="O223" s="165"/>
      <c r="P223" s="165"/>
      <c r="Q223" s="165"/>
      <c r="R223" s="165"/>
      <c r="S223" s="165"/>
      <c r="T223" s="165"/>
      <c r="U223" s="28"/>
      <c r="V223" s="28"/>
      <c r="W223" s="28"/>
      <c r="X223" s="28"/>
      <c r="Y223" s="28"/>
      <c r="Z223" s="28"/>
      <c r="AA223" s="28"/>
      <c r="AB223" s="28"/>
      <c r="AC223" s="28"/>
      <c r="AD223" s="28"/>
      <c r="AE223" s="28"/>
      <c r="AF223" s="28"/>
      <c r="AG223" s="28"/>
      <c r="AH223" s="28"/>
      <c r="AI223" s="28"/>
      <c r="AJ223" s="28"/>
      <c r="AK223" s="28"/>
      <c r="AL223" s="28"/>
      <c r="AM223" s="28"/>
      <c r="AN223" s="28"/>
      <c r="AO223" s="28"/>
      <c r="AP223" s="29"/>
    </row>
    <row r="224" spans="1:42" outlineLevel="1" x14ac:dyDescent="0.25">
      <c r="A224" s="12"/>
      <c r="B224" s="13"/>
      <c r="C224" s="20" t="s">
        <v>519</v>
      </c>
      <c r="D224" s="19"/>
      <c r="E224" s="15"/>
      <c r="F224" s="16"/>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7"/>
    </row>
    <row r="225" spans="1:42" outlineLevel="1" x14ac:dyDescent="0.25">
      <c r="A225" s="12"/>
      <c r="B225" s="13"/>
      <c r="C225" t="s">
        <v>520</v>
      </c>
      <c r="D225" s="14"/>
      <c r="E225" s="15" t="s">
        <v>521</v>
      </c>
      <c r="F225" s="16"/>
      <c r="G225" s="14"/>
      <c r="H225" s="141"/>
      <c r="I225" s="141">
        <f t="shared" ref="I225:AO225" si="31">I154</f>
        <v>51480</v>
      </c>
      <c r="J225" s="141">
        <f t="shared" si="31"/>
        <v>51480</v>
      </c>
      <c r="K225" s="141">
        <f t="shared" si="31"/>
        <v>51480</v>
      </c>
      <c r="L225" s="141">
        <f t="shared" si="31"/>
        <v>51480</v>
      </c>
      <c r="M225" s="141">
        <f t="shared" si="31"/>
        <v>51480</v>
      </c>
      <c r="N225" s="141">
        <f t="shared" si="31"/>
        <v>51480</v>
      </c>
      <c r="O225" s="141">
        <f t="shared" si="31"/>
        <v>51480</v>
      </c>
      <c r="P225" s="141">
        <f t="shared" si="31"/>
        <v>51480</v>
      </c>
      <c r="Q225" s="141">
        <f t="shared" si="31"/>
        <v>51480</v>
      </c>
      <c r="R225" s="141">
        <f t="shared" si="31"/>
        <v>51480</v>
      </c>
      <c r="S225" s="141">
        <f t="shared" si="31"/>
        <v>51480</v>
      </c>
      <c r="T225" s="141">
        <f t="shared" si="31"/>
        <v>51480</v>
      </c>
      <c r="U225" s="141">
        <f t="shared" si="31"/>
        <v>0</v>
      </c>
      <c r="V225" s="141">
        <f t="shared" si="31"/>
        <v>0</v>
      </c>
      <c r="W225" s="141">
        <f t="shared" si="31"/>
        <v>0</v>
      </c>
      <c r="X225" s="141">
        <f t="shared" si="31"/>
        <v>0</v>
      </c>
      <c r="Y225" s="141">
        <f t="shared" si="31"/>
        <v>0</v>
      </c>
      <c r="Z225" s="141">
        <f t="shared" si="31"/>
        <v>0</v>
      </c>
      <c r="AA225" s="141">
        <f t="shared" si="31"/>
        <v>0</v>
      </c>
      <c r="AB225" s="141">
        <f t="shared" si="31"/>
        <v>0</v>
      </c>
      <c r="AC225" s="141">
        <f t="shared" si="31"/>
        <v>0</v>
      </c>
      <c r="AD225" s="141">
        <f t="shared" si="31"/>
        <v>0</v>
      </c>
      <c r="AE225" s="141">
        <f t="shared" si="31"/>
        <v>0</v>
      </c>
      <c r="AF225" s="141">
        <f t="shared" si="31"/>
        <v>0</v>
      </c>
      <c r="AG225" s="141">
        <f t="shared" si="31"/>
        <v>0</v>
      </c>
      <c r="AH225" s="141">
        <f t="shared" si="31"/>
        <v>0</v>
      </c>
      <c r="AI225" s="141">
        <f t="shared" si="31"/>
        <v>0</v>
      </c>
      <c r="AJ225" s="141">
        <f t="shared" si="31"/>
        <v>0</v>
      </c>
      <c r="AK225" s="141">
        <f t="shared" si="31"/>
        <v>0</v>
      </c>
      <c r="AL225" s="141">
        <f t="shared" si="31"/>
        <v>0</v>
      </c>
      <c r="AM225" s="141">
        <f t="shared" si="31"/>
        <v>0</v>
      </c>
      <c r="AN225" s="141">
        <f t="shared" si="31"/>
        <v>0</v>
      </c>
      <c r="AO225" s="141">
        <f t="shared" si="31"/>
        <v>0</v>
      </c>
      <c r="AP225" s="14"/>
    </row>
    <row r="226" spans="1:42" outlineLevel="1" x14ac:dyDescent="0.25">
      <c r="A226" s="12"/>
      <c r="B226" s="13"/>
      <c r="C226" s="20" t="s">
        <v>483</v>
      </c>
      <c r="D226" s="14"/>
      <c r="E226" s="15"/>
      <c r="F226" s="16"/>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4"/>
      <c r="AH226" s="14"/>
      <c r="AI226" s="14"/>
      <c r="AJ226" s="14"/>
      <c r="AK226" s="14"/>
      <c r="AL226" s="14"/>
      <c r="AM226" s="14"/>
      <c r="AN226" s="14"/>
      <c r="AO226" s="14"/>
      <c r="AP226" s="14"/>
    </row>
    <row r="227" spans="1:42" ht="14.25" customHeight="1" outlineLevel="1" x14ac:dyDescent="0.25">
      <c r="A227" s="54"/>
      <c r="B227" s="13"/>
      <c r="C227" s="14" t="s">
        <v>205</v>
      </c>
      <c r="D227" s="14"/>
      <c r="E227" s="70" t="s">
        <v>352</v>
      </c>
      <c r="F227" s="201">
        <f>Data!E515/1000</f>
        <v>0</v>
      </c>
      <c r="G227" s="56"/>
      <c r="H227" s="56"/>
      <c r="I227" s="56">
        <f>I$225*$F227</f>
        <v>0</v>
      </c>
      <c r="J227" s="56">
        <f t="shared" ref="J227:AO233" si="32">J$225*$F227</f>
        <v>0</v>
      </c>
      <c r="K227" s="56">
        <f t="shared" si="32"/>
        <v>0</v>
      </c>
      <c r="L227" s="56">
        <f t="shared" si="32"/>
        <v>0</v>
      </c>
      <c r="M227" s="56">
        <f t="shared" si="32"/>
        <v>0</v>
      </c>
      <c r="N227" s="56">
        <f t="shared" si="32"/>
        <v>0</v>
      </c>
      <c r="O227" s="56">
        <f t="shared" si="32"/>
        <v>0</v>
      </c>
      <c r="P227" s="56">
        <f t="shared" si="32"/>
        <v>0</v>
      </c>
      <c r="Q227" s="56">
        <f t="shared" si="32"/>
        <v>0</v>
      </c>
      <c r="R227" s="56">
        <f t="shared" si="32"/>
        <v>0</v>
      </c>
      <c r="S227" s="56">
        <f t="shared" si="32"/>
        <v>0</v>
      </c>
      <c r="T227" s="56">
        <f t="shared" si="32"/>
        <v>0</v>
      </c>
      <c r="U227" s="56">
        <f t="shared" si="32"/>
        <v>0</v>
      </c>
      <c r="V227" s="56">
        <f t="shared" si="32"/>
        <v>0</v>
      </c>
      <c r="W227" s="56">
        <f t="shared" si="32"/>
        <v>0</v>
      </c>
      <c r="X227" s="56">
        <f t="shared" si="32"/>
        <v>0</v>
      </c>
      <c r="Y227" s="56">
        <f t="shared" si="32"/>
        <v>0</v>
      </c>
      <c r="Z227" s="56">
        <f t="shared" si="32"/>
        <v>0</v>
      </c>
      <c r="AA227" s="56">
        <f t="shared" si="32"/>
        <v>0</v>
      </c>
      <c r="AB227" s="56">
        <f t="shared" si="32"/>
        <v>0</v>
      </c>
      <c r="AC227" s="56">
        <f t="shared" si="32"/>
        <v>0</v>
      </c>
      <c r="AD227" s="56">
        <f t="shared" si="32"/>
        <v>0</v>
      </c>
      <c r="AE227" s="56">
        <f t="shared" si="32"/>
        <v>0</v>
      </c>
      <c r="AF227" s="56">
        <f t="shared" si="32"/>
        <v>0</v>
      </c>
      <c r="AG227" s="56">
        <f t="shared" si="32"/>
        <v>0</v>
      </c>
      <c r="AH227" s="56">
        <f t="shared" si="32"/>
        <v>0</v>
      </c>
      <c r="AI227" s="56">
        <f t="shared" si="32"/>
        <v>0</v>
      </c>
      <c r="AJ227" s="56">
        <f t="shared" si="32"/>
        <v>0</v>
      </c>
      <c r="AK227" s="56">
        <f t="shared" si="32"/>
        <v>0</v>
      </c>
      <c r="AL227" s="56">
        <f t="shared" si="32"/>
        <v>0</v>
      </c>
      <c r="AM227" s="56">
        <f t="shared" si="32"/>
        <v>0</v>
      </c>
      <c r="AN227" s="56">
        <f t="shared" si="32"/>
        <v>0</v>
      </c>
      <c r="AO227" s="56">
        <f t="shared" si="32"/>
        <v>0</v>
      </c>
      <c r="AP227" s="29"/>
    </row>
    <row r="228" spans="1:42" outlineLevel="1" x14ac:dyDescent="0.25">
      <c r="A228" s="54"/>
      <c r="B228" s="13"/>
      <c r="C228" s="14" t="s">
        <v>484</v>
      </c>
      <c r="D228" s="14"/>
      <c r="E228" s="70" t="s">
        <v>352</v>
      </c>
      <c r="F228" s="201">
        <f>Data!E516</f>
        <v>0.17887155708091804</v>
      </c>
      <c r="G228" s="56"/>
      <c r="H228" s="56"/>
      <c r="I228" s="56">
        <f t="shared" ref="I228:X233" si="33">I$225*$F228</f>
        <v>9208.3077585256597</v>
      </c>
      <c r="J228" s="56">
        <f t="shared" si="33"/>
        <v>9208.3077585256597</v>
      </c>
      <c r="K228" s="56">
        <f t="shared" si="33"/>
        <v>9208.3077585256597</v>
      </c>
      <c r="L228" s="56">
        <f t="shared" si="33"/>
        <v>9208.3077585256597</v>
      </c>
      <c r="M228" s="56">
        <f t="shared" si="33"/>
        <v>9208.3077585256597</v>
      </c>
      <c r="N228" s="56">
        <f t="shared" si="33"/>
        <v>9208.3077585256597</v>
      </c>
      <c r="O228" s="56">
        <f t="shared" si="33"/>
        <v>9208.3077585256597</v>
      </c>
      <c r="P228" s="56">
        <f t="shared" si="33"/>
        <v>9208.3077585256597</v>
      </c>
      <c r="Q228" s="56">
        <f t="shared" si="33"/>
        <v>9208.3077585256597</v>
      </c>
      <c r="R228" s="56">
        <f t="shared" si="33"/>
        <v>9208.3077585256597</v>
      </c>
      <c r="S228" s="56">
        <f t="shared" si="33"/>
        <v>9208.3077585256597</v>
      </c>
      <c r="T228" s="56">
        <f t="shared" si="33"/>
        <v>9208.3077585256597</v>
      </c>
      <c r="U228" s="56">
        <f t="shared" si="33"/>
        <v>0</v>
      </c>
      <c r="V228" s="56">
        <f t="shared" si="33"/>
        <v>0</v>
      </c>
      <c r="W228" s="56">
        <f t="shared" si="33"/>
        <v>0</v>
      </c>
      <c r="X228" s="56">
        <f t="shared" si="33"/>
        <v>0</v>
      </c>
      <c r="Y228" s="56">
        <f t="shared" si="32"/>
        <v>0</v>
      </c>
      <c r="Z228" s="56">
        <f t="shared" si="32"/>
        <v>0</v>
      </c>
      <c r="AA228" s="56">
        <f t="shared" si="32"/>
        <v>0</v>
      </c>
      <c r="AB228" s="56">
        <f t="shared" si="32"/>
        <v>0</v>
      </c>
      <c r="AC228" s="56">
        <f t="shared" si="32"/>
        <v>0</v>
      </c>
      <c r="AD228" s="56">
        <f t="shared" si="32"/>
        <v>0</v>
      </c>
      <c r="AE228" s="56">
        <f t="shared" si="32"/>
        <v>0</v>
      </c>
      <c r="AF228" s="56">
        <f t="shared" si="32"/>
        <v>0</v>
      </c>
      <c r="AG228" s="56">
        <f t="shared" si="32"/>
        <v>0</v>
      </c>
      <c r="AH228" s="56">
        <f t="shared" si="32"/>
        <v>0</v>
      </c>
      <c r="AI228" s="56">
        <f t="shared" si="32"/>
        <v>0</v>
      </c>
      <c r="AJ228" s="56">
        <f t="shared" si="32"/>
        <v>0</v>
      </c>
      <c r="AK228" s="56">
        <f t="shared" si="32"/>
        <v>0</v>
      </c>
      <c r="AL228" s="56">
        <f t="shared" si="32"/>
        <v>0</v>
      </c>
      <c r="AM228" s="56">
        <f t="shared" si="32"/>
        <v>0</v>
      </c>
      <c r="AN228" s="56">
        <f t="shared" si="32"/>
        <v>0</v>
      </c>
      <c r="AO228" s="56">
        <f t="shared" si="32"/>
        <v>0</v>
      </c>
      <c r="AP228" s="29"/>
    </row>
    <row r="229" spans="1:42" outlineLevel="1" x14ac:dyDescent="0.25">
      <c r="A229" s="54"/>
      <c r="B229" s="13"/>
      <c r="C229" s="14" t="s">
        <v>285</v>
      </c>
      <c r="D229" s="14"/>
      <c r="E229" s="70" t="s">
        <v>352</v>
      </c>
      <c r="F229" s="201">
        <f>Data!E517/1000</f>
        <v>0</v>
      </c>
      <c r="G229" s="56"/>
      <c r="H229" s="56"/>
      <c r="I229" s="56">
        <f t="shared" si="33"/>
        <v>0</v>
      </c>
      <c r="J229" s="56">
        <f t="shared" si="32"/>
        <v>0</v>
      </c>
      <c r="K229" s="56">
        <f t="shared" si="32"/>
        <v>0</v>
      </c>
      <c r="L229" s="56">
        <f t="shared" si="32"/>
        <v>0</v>
      </c>
      <c r="M229" s="56">
        <f t="shared" si="32"/>
        <v>0</v>
      </c>
      <c r="N229" s="56">
        <f t="shared" si="32"/>
        <v>0</v>
      </c>
      <c r="O229" s="56">
        <f t="shared" si="32"/>
        <v>0</v>
      </c>
      <c r="P229" s="56">
        <f t="shared" si="32"/>
        <v>0</v>
      </c>
      <c r="Q229" s="56">
        <f t="shared" si="32"/>
        <v>0</v>
      </c>
      <c r="R229" s="56">
        <f t="shared" si="32"/>
        <v>0</v>
      </c>
      <c r="S229" s="56">
        <f t="shared" si="32"/>
        <v>0</v>
      </c>
      <c r="T229" s="56">
        <f t="shared" si="32"/>
        <v>0</v>
      </c>
      <c r="U229" s="56">
        <f t="shared" si="32"/>
        <v>0</v>
      </c>
      <c r="V229" s="56">
        <f t="shared" si="32"/>
        <v>0</v>
      </c>
      <c r="W229" s="56">
        <f t="shared" si="32"/>
        <v>0</v>
      </c>
      <c r="X229" s="56">
        <f t="shared" si="32"/>
        <v>0</v>
      </c>
      <c r="Y229" s="56">
        <f t="shared" si="32"/>
        <v>0</v>
      </c>
      <c r="Z229" s="56">
        <f t="shared" si="32"/>
        <v>0</v>
      </c>
      <c r="AA229" s="56">
        <f t="shared" si="32"/>
        <v>0</v>
      </c>
      <c r="AB229" s="56">
        <f t="shared" si="32"/>
        <v>0</v>
      </c>
      <c r="AC229" s="56">
        <f t="shared" si="32"/>
        <v>0</v>
      </c>
      <c r="AD229" s="56">
        <f t="shared" si="32"/>
        <v>0</v>
      </c>
      <c r="AE229" s="56">
        <f t="shared" si="32"/>
        <v>0</v>
      </c>
      <c r="AF229" s="56">
        <f t="shared" si="32"/>
        <v>0</v>
      </c>
      <c r="AG229" s="56">
        <f t="shared" si="32"/>
        <v>0</v>
      </c>
      <c r="AH229" s="56">
        <f t="shared" si="32"/>
        <v>0</v>
      </c>
      <c r="AI229" s="56">
        <f t="shared" si="32"/>
        <v>0</v>
      </c>
      <c r="AJ229" s="56">
        <f t="shared" si="32"/>
        <v>0</v>
      </c>
      <c r="AK229" s="56">
        <f t="shared" si="32"/>
        <v>0</v>
      </c>
      <c r="AL229" s="56">
        <f t="shared" si="32"/>
        <v>0</v>
      </c>
      <c r="AM229" s="56">
        <f t="shared" si="32"/>
        <v>0</v>
      </c>
      <c r="AN229" s="56">
        <f t="shared" si="32"/>
        <v>0</v>
      </c>
      <c r="AO229" s="56">
        <f t="shared" si="32"/>
        <v>0</v>
      </c>
      <c r="AP229" s="29"/>
    </row>
    <row r="230" spans="1:42" outlineLevel="1" x14ac:dyDescent="0.25">
      <c r="A230" s="54"/>
      <c r="B230" s="13"/>
      <c r="C230" s="14" t="s">
        <v>220</v>
      </c>
      <c r="D230" s="14"/>
      <c r="E230" s="70" t="s">
        <v>352</v>
      </c>
      <c r="F230" s="201">
        <f>Data!E518/1000</f>
        <v>0</v>
      </c>
      <c r="G230" s="56"/>
      <c r="H230" s="56"/>
      <c r="I230" s="56">
        <f t="shared" si="33"/>
        <v>0</v>
      </c>
      <c r="J230" s="56">
        <f t="shared" si="32"/>
        <v>0</v>
      </c>
      <c r="K230" s="56">
        <f t="shared" si="32"/>
        <v>0</v>
      </c>
      <c r="L230" s="56">
        <f t="shared" si="32"/>
        <v>0</v>
      </c>
      <c r="M230" s="56">
        <f t="shared" si="32"/>
        <v>0</v>
      </c>
      <c r="N230" s="56">
        <f t="shared" si="32"/>
        <v>0</v>
      </c>
      <c r="O230" s="56">
        <f t="shared" si="32"/>
        <v>0</v>
      </c>
      <c r="P230" s="56">
        <f t="shared" si="32"/>
        <v>0</v>
      </c>
      <c r="Q230" s="56">
        <f t="shared" si="32"/>
        <v>0</v>
      </c>
      <c r="R230" s="56">
        <f t="shared" si="32"/>
        <v>0</v>
      </c>
      <c r="S230" s="56">
        <f t="shared" si="32"/>
        <v>0</v>
      </c>
      <c r="T230" s="56">
        <f t="shared" si="32"/>
        <v>0</v>
      </c>
      <c r="U230" s="56">
        <f t="shared" si="32"/>
        <v>0</v>
      </c>
      <c r="V230" s="56">
        <f t="shared" si="32"/>
        <v>0</v>
      </c>
      <c r="W230" s="56">
        <f t="shared" si="32"/>
        <v>0</v>
      </c>
      <c r="X230" s="56">
        <f t="shared" si="32"/>
        <v>0</v>
      </c>
      <c r="Y230" s="56">
        <f t="shared" si="32"/>
        <v>0</v>
      </c>
      <c r="Z230" s="56">
        <f t="shared" si="32"/>
        <v>0</v>
      </c>
      <c r="AA230" s="56">
        <f t="shared" si="32"/>
        <v>0</v>
      </c>
      <c r="AB230" s="56">
        <f t="shared" si="32"/>
        <v>0</v>
      </c>
      <c r="AC230" s="56">
        <f t="shared" si="32"/>
        <v>0</v>
      </c>
      <c r="AD230" s="56">
        <f t="shared" si="32"/>
        <v>0</v>
      </c>
      <c r="AE230" s="56">
        <f t="shared" si="32"/>
        <v>0</v>
      </c>
      <c r="AF230" s="56">
        <f t="shared" si="32"/>
        <v>0</v>
      </c>
      <c r="AG230" s="56">
        <f t="shared" si="32"/>
        <v>0</v>
      </c>
      <c r="AH230" s="56">
        <f t="shared" si="32"/>
        <v>0</v>
      </c>
      <c r="AI230" s="56">
        <f t="shared" si="32"/>
        <v>0</v>
      </c>
      <c r="AJ230" s="56">
        <f t="shared" si="32"/>
        <v>0</v>
      </c>
      <c r="AK230" s="56">
        <f t="shared" si="32"/>
        <v>0</v>
      </c>
      <c r="AL230" s="56">
        <f t="shared" si="32"/>
        <v>0</v>
      </c>
      <c r="AM230" s="56">
        <f t="shared" si="32"/>
        <v>0</v>
      </c>
      <c r="AN230" s="56">
        <f t="shared" si="32"/>
        <v>0</v>
      </c>
      <c r="AO230" s="56">
        <f t="shared" si="32"/>
        <v>0</v>
      </c>
      <c r="AP230" s="29"/>
    </row>
    <row r="231" spans="1:42" outlineLevel="1" x14ac:dyDescent="0.25">
      <c r="A231" s="54"/>
      <c r="B231" s="13"/>
      <c r="C231" s="14" t="s">
        <v>212</v>
      </c>
      <c r="D231" s="14"/>
      <c r="E231" s="70" t="s">
        <v>352</v>
      </c>
      <c r="F231" s="201">
        <f>Data!E519/1000</f>
        <v>0</v>
      </c>
      <c r="G231" s="56"/>
      <c r="H231" s="56"/>
      <c r="I231" s="56">
        <f t="shared" si="33"/>
        <v>0</v>
      </c>
      <c r="J231" s="56">
        <f t="shared" si="32"/>
        <v>0</v>
      </c>
      <c r="K231" s="56">
        <f t="shared" si="32"/>
        <v>0</v>
      </c>
      <c r="L231" s="56">
        <f t="shared" si="32"/>
        <v>0</v>
      </c>
      <c r="M231" s="56">
        <f t="shared" si="32"/>
        <v>0</v>
      </c>
      <c r="N231" s="56">
        <f t="shared" si="32"/>
        <v>0</v>
      </c>
      <c r="O231" s="56">
        <f t="shared" si="32"/>
        <v>0</v>
      </c>
      <c r="P231" s="56">
        <f t="shared" si="32"/>
        <v>0</v>
      </c>
      <c r="Q231" s="56">
        <f t="shared" si="32"/>
        <v>0</v>
      </c>
      <c r="R231" s="56">
        <f t="shared" si="32"/>
        <v>0</v>
      </c>
      <c r="S231" s="56">
        <f t="shared" si="32"/>
        <v>0</v>
      </c>
      <c r="T231" s="56">
        <f t="shared" si="32"/>
        <v>0</v>
      </c>
      <c r="U231" s="56">
        <f t="shared" si="32"/>
        <v>0</v>
      </c>
      <c r="V231" s="56">
        <f t="shared" si="32"/>
        <v>0</v>
      </c>
      <c r="W231" s="56">
        <f t="shared" si="32"/>
        <v>0</v>
      </c>
      <c r="X231" s="56">
        <f t="shared" si="32"/>
        <v>0</v>
      </c>
      <c r="Y231" s="56">
        <f t="shared" si="32"/>
        <v>0</v>
      </c>
      <c r="Z231" s="56">
        <f t="shared" si="32"/>
        <v>0</v>
      </c>
      <c r="AA231" s="56">
        <f t="shared" si="32"/>
        <v>0</v>
      </c>
      <c r="AB231" s="56">
        <f t="shared" si="32"/>
        <v>0</v>
      </c>
      <c r="AC231" s="56">
        <f t="shared" si="32"/>
        <v>0</v>
      </c>
      <c r="AD231" s="56">
        <f t="shared" si="32"/>
        <v>0</v>
      </c>
      <c r="AE231" s="56">
        <f t="shared" si="32"/>
        <v>0</v>
      </c>
      <c r="AF231" s="56">
        <f t="shared" si="32"/>
        <v>0</v>
      </c>
      <c r="AG231" s="56">
        <f t="shared" si="32"/>
        <v>0</v>
      </c>
      <c r="AH231" s="56">
        <f t="shared" si="32"/>
        <v>0</v>
      </c>
      <c r="AI231" s="56">
        <f t="shared" si="32"/>
        <v>0</v>
      </c>
      <c r="AJ231" s="56">
        <f t="shared" si="32"/>
        <v>0</v>
      </c>
      <c r="AK231" s="56">
        <f t="shared" si="32"/>
        <v>0</v>
      </c>
      <c r="AL231" s="56">
        <f t="shared" si="32"/>
        <v>0</v>
      </c>
      <c r="AM231" s="56">
        <f t="shared" si="32"/>
        <v>0</v>
      </c>
      <c r="AN231" s="56">
        <f t="shared" si="32"/>
        <v>0</v>
      </c>
      <c r="AO231" s="56">
        <f t="shared" si="32"/>
        <v>0</v>
      </c>
      <c r="AP231" s="29"/>
    </row>
    <row r="232" spans="1:42" outlineLevel="1" x14ac:dyDescent="0.25">
      <c r="A232" s="54"/>
      <c r="B232" s="13"/>
      <c r="C232" s="14" t="s">
        <v>485</v>
      </c>
      <c r="D232" s="14"/>
      <c r="E232" s="70" t="s">
        <v>352</v>
      </c>
      <c r="F232" s="201">
        <f>Data!E520/1000</f>
        <v>0</v>
      </c>
      <c r="G232" s="56"/>
      <c r="H232" s="56"/>
      <c r="I232" s="56">
        <f t="shared" si="33"/>
        <v>0</v>
      </c>
      <c r="J232" s="56">
        <f t="shared" si="32"/>
        <v>0</v>
      </c>
      <c r="K232" s="56">
        <f t="shared" si="32"/>
        <v>0</v>
      </c>
      <c r="L232" s="56">
        <f t="shared" si="32"/>
        <v>0</v>
      </c>
      <c r="M232" s="56">
        <f t="shared" si="32"/>
        <v>0</v>
      </c>
      <c r="N232" s="56">
        <f t="shared" si="32"/>
        <v>0</v>
      </c>
      <c r="O232" s="56">
        <f t="shared" si="32"/>
        <v>0</v>
      </c>
      <c r="P232" s="56">
        <f t="shared" si="32"/>
        <v>0</v>
      </c>
      <c r="Q232" s="56">
        <f t="shared" si="32"/>
        <v>0</v>
      </c>
      <c r="R232" s="56">
        <f t="shared" si="32"/>
        <v>0</v>
      </c>
      <c r="S232" s="56">
        <f t="shared" si="32"/>
        <v>0</v>
      </c>
      <c r="T232" s="56">
        <f t="shared" si="32"/>
        <v>0</v>
      </c>
      <c r="U232" s="56">
        <f t="shared" si="32"/>
        <v>0</v>
      </c>
      <c r="V232" s="56">
        <f t="shared" si="32"/>
        <v>0</v>
      </c>
      <c r="W232" s="56">
        <f t="shared" si="32"/>
        <v>0</v>
      </c>
      <c r="X232" s="56">
        <f t="shared" si="32"/>
        <v>0</v>
      </c>
      <c r="Y232" s="56">
        <f t="shared" si="32"/>
        <v>0</v>
      </c>
      <c r="Z232" s="56">
        <f t="shared" si="32"/>
        <v>0</v>
      </c>
      <c r="AA232" s="56">
        <f t="shared" si="32"/>
        <v>0</v>
      </c>
      <c r="AB232" s="56">
        <f t="shared" si="32"/>
        <v>0</v>
      </c>
      <c r="AC232" s="56">
        <f t="shared" si="32"/>
        <v>0</v>
      </c>
      <c r="AD232" s="56">
        <f t="shared" si="32"/>
        <v>0</v>
      </c>
      <c r="AE232" s="56">
        <f t="shared" si="32"/>
        <v>0</v>
      </c>
      <c r="AF232" s="56">
        <f t="shared" si="32"/>
        <v>0</v>
      </c>
      <c r="AG232" s="56">
        <f t="shared" si="32"/>
        <v>0</v>
      </c>
      <c r="AH232" s="56">
        <f t="shared" si="32"/>
        <v>0</v>
      </c>
      <c r="AI232" s="56">
        <f t="shared" si="32"/>
        <v>0</v>
      </c>
      <c r="AJ232" s="56">
        <f t="shared" si="32"/>
        <v>0</v>
      </c>
      <c r="AK232" s="56">
        <f t="shared" si="32"/>
        <v>0</v>
      </c>
      <c r="AL232" s="56">
        <f t="shared" si="32"/>
        <v>0</v>
      </c>
      <c r="AM232" s="56">
        <f t="shared" si="32"/>
        <v>0</v>
      </c>
      <c r="AN232" s="56">
        <f t="shared" si="32"/>
        <v>0</v>
      </c>
      <c r="AO232" s="56">
        <f t="shared" si="32"/>
        <v>0</v>
      </c>
      <c r="AP232" s="29"/>
    </row>
    <row r="233" spans="1:42" outlineLevel="1" x14ac:dyDescent="0.25">
      <c r="A233" s="54"/>
      <c r="B233" s="13"/>
      <c r="C233" s="14" t="s">
        <v>214</v>
      </c>
      <c r="D233" s="14"/>
      <c r="E233" s="70" t="s">
        <v>352</v>
      </c>
      <c r="F233" s="201">
        <f>Data!E521/1000</f>
        <v>7.7953456755433772E-5</v>
      </c>
      <c r="G233" s="56"/>
      <c r="H233" s="56"/>
      <c r="I233" s="56">
        <f t="shared" si="33"/>
        <v>4.0130439537697304</v>
      </c>
      <c r="J233" s="56">
        <f t="shared" si="32"/>
        <v>4.0130439537697304</v>
      </c>
      <c r="K233" s="56">
        <f t="shared" si="32"/>
        <v>4.0130439537697304</v>
      </c>
      <c r="L233" s="56">
        <f t="shared" si="32"/>
        <v>4.0130439537697304</v>
      </c>
      <c r="M233" s="56">
        <f t="shared" si="32"/>
        <v>4.0130439537697304</v>
      </c>
      <c r="N233" s="56">
        <f t="shared" si="32"/>
        <v>4.0130439537697304</v>
      </c>
      <c r="O233" s="56">
        <f t="shared" si="32"/>
        <v>4.0130439537697304</v>
      </c>
      <c r="P233" s="56">
        <f t="shared" si="32"/>
        <v>4.0130439537697304</v>
      </c>
      <c r="Q233" s="56">
        <f t="shared" si="32"/>
        <v>4.0130439537697304</v>
      </c>
      <c r="R233" s="56">
        <f t="shared" si="32"/>
        <v>4.0130439537697304</v>
      </c>
      <c r="S233" s="56">
        <f t="shared" si="32"/>
        <v>4.0130439537697304</v>
      </c>
      <c r="T233" s="56">
        <f t="shared" si="32"/>
        <v>4.0130439537697304</v>
      </c>
      <c r="U233" s="56">
        <f t="shared" si="32"/>
        <v>0</v>
      </c>
      <c r="V233" s="56">
        <f t="shared" si="32"/>
        <v>0</v>
      </c>
      <c r="W233" s="56">
        <f t="shared" si="32"/>
        <v>0</v>
      </c>
      <c r="X233" s="56">
        <f t="shared" si="32"/>
        <v>0</v>
      </c>
      <c r="Y233" s="56">
        <f t="shared" si="32"/>
        <v>0</v>
      </c>
      <c r="Z233" s="56">
        <f t="shared" si="32"/>
        <v>0</v>
      </c>
      <c r="AA233" s="56">
        <f t="shared" si="32"/>
        <v>0</v>
      </c>
      <c r="AB233" s="56">
        <f t="shared" si="32"/>
        <v>0</v>
      </c>
      <c r="AC233" s="56">
        <f t="shared" si="32"/>
        <v>0</v>
      </c>
      <c r="AD233" s="56">
        <f t="shared" si="32"/>
        <v>0</v>
      </c>
      <c r="AE233" s="56">
        <f t="shared" si="32"/>
        <v>0</v>
      </c>
      <c r="AF233" s="56">
        <f t="shared" si="32"/>
        <v>0</v>
      </c>
      <c r="AG233" s="56">
        <f t="shared" si="32"/>
        <v>0</v>
      </c>
      <c r="AH233" s="56">
        <f t="shared" si="32"/>
        <v>0</v>
      </c>
      <c r="AI233" s="56">
        <f t="shared" si="32"/>
        <v>0</v>
      </c>
      <c r="AJ233" s="56">
        <f t="shared" si="32"/>
        <v>0</v>
      </c>
      <c r="AK233" s="56">
        <f t="shared" si="32"/>
        <v>0</v>
      </c>
      <c r="AL233" s="56">
        <f t="shared" si="32"/>
        <v>0</v>
      </c>
      <c r="AM233" s="56">
        <f t="shared" si="32"/>
        <v>0</v>
      </c>
      <c r="AN233" s="56">
        <f t="shared" si="32"/>
        <v>0</v>
      </c>
      <c r="AO233" s="56">
        <f t="shared" si="32"/>
        <v>0</v>
      </c>
      <c r="AP233" s="29"/>
    </row>
    <row r="234" spans="1:42" outlineLevel="1" x14ac:dyDescent="0.25">
      <c r="A234" s="12"/>
      <c r="B234" s="13"/>
      <c r="C234" s="14"/>
      <c r="D234" s="14"/>
      <c r="E234" s="15"/>
      <c r="F234" s="16"/>
      <c r="G234" s="159"/>
      <c r="H234" s="159"/>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14"/>
      <c r="AP234" s="14"/>
    </row>
    <row r="235" spans="1:42" outlineLevel="1" x14ac:dyDescent="0.25">
      <c r="A235" s="54"/>
      <c r="B235" s="13"/>
      <c r="C235" s="14" t="s">
        <v>205</v>
      </c>
      <c r="D235" s="14"/>
      <c r="E235" s="70" t="s">
        <v>474</v>
      </c>
      <c r="F235" s="200">
        <f>Data!$E$35/1000</f>
        <v>3.4099438202247192E-3</v>
      </c>
      <c r="G235" s="56"/>
      <c r="H235" s="56"/>
      <c r="I235" s="56">
        <f>I$227*$F235</f>
        <v>0</v>
      </c>
      <c r="J235" s="56">
        <f t="shared" ref="J235:AN235" si="34">J$227*$F235</f>
        <v>0</v>
      </c>
      <c r="K235" s="56">
        <f t="shared" si="34"/>
        <v>0</v>
      </c>
      <c r="L235" s="56">
        <f t="shared" si="34"/>
        <v>0</v>
      </c>
      <c r="M235" s="56">
        <f t="shared" si="34"/>
        <v>0</v>
      </c>
      <c r="N235" s="56">
        <f t="shared" si="34"/>
        <v>0</v>
      </c>
      <c r="O235" s="56">
        <f t="shared" si="34"/>
        <v>0</v>
      </c>
      <c r="P235" s="56">
        <f t="shared" si="34"/>
        <v>0</v>
      </c>
      <c r="Q235" s="56">
        <f t="shared" si="34"/>
        <v>0</v>
      </c>
      <c r="R235" s="56">
        <f t="shared" si="34"/>
        <v>0</v>
      </c>
      <c r="S235" s="56">
        <f t="shared" si="34"/>
        <v>0</v>
      </c>
      <c r="T235" s="56">
        <f t="shared" si="34"/>
        <v>0</v>
      </c>
      <c r="U235" s="56">
        <f t="shared" si="34"/>
        <v>0</v>
      </c>
      <c r="V235" s="56">
        <f t="shared" si="34"/>
        <v>0</v>
      </c>
      <c r="W235" s="56">
        <f t="shared" si="34"/>
        <v>0</v>
      </c>
      <c r="X235" s="56">
        <f t="shared" si="34"/>
        <v>0</v>
      </c>
      <c r="Y235" s="56">
        <f t="shared" si="34"/>
        <v>0</v>
      </c>
      <c r="Z235" s="56">
        <f t="shared" si="34"/>
        <v>0</v>
      </c>
      <c r="AA235" s="56">
        <f t="shared" si="34"/>
        <v>0</v>
      </c>
      <c r="AB235" s="56">
        <f t="shared" si="34"/>
        <v>0</v>
      </c>
      <c r="AC235" s="56">
        <f t="shared" si="34"/>
        <v>0</v>
      </c>
      <c r="AD235" s="56">
        <f t="shared" si="34"/>
        <v>0</v>
      </c>
      <c r="AE235" s="56">
        <f t="shared" si="34"/>
        <v>0</v>
      </c>
      <c r="AF235" s="56">
        <f t="shared" si="34"/>
        <v>0</v>
      </c>
      <c r="AG235" s="56">
        <f t="shared" si="34"/>
        <v>0</v>
      </c>
      <c r="AH235" s="56">
        <f t="shared" si="34"/>
        <v>0</v>
      </c>
      <c r="AI235" s="56">
        <f t="shared" si="34"/>
        <v>0</v>
      </c>
      <c r="AJ235" s="56">
        <f t="shared" si="34"/>
        <v>0</v>
      </c>
      <c r="AK235" s="56">
        <f t="shared" si="34"/>
        <v>0</v>
      </c>
      <c r="AL235" s="56">
        <f t="shared" si="34"/>
        <v>0</v>
      </c>
      <c r="AM235" s="56">
        <f t="shared" si="34"/>
        <v>0</v>
      </c>
      <c r="AN235" s="56">
        <f t="shared" si="34"/>
        <v>0</v>
      </c>
      <c r="AO235" s="56"/>
      <c r="AP235" s="29"/>
    </row>
    <row r="236" spans="1:42" outlineLevel="1" x14ac:dyDescent="0.25">
      <c r="A236" s="54"/>
      <c r="B236" s="13"/>
      <c r="C236" s="14" t="s">
        <v>484</v>
      </c>
      <c r="D236" s="14"/>
      <c r="E236" s="70" t="s">
        <v>474</v>
      </c>
      <c r="F236" s="200"/>
      <c r="G236" s="56"/>
      <c r="H236" s="56"/>
      <c r="I236" s="56">
        <f>I$228*Data!H$16/1000</f>
        <v>893.20585257698895</v>
      </c>
      <c r="J236" s="56">
        <f>J$228*Data!I$16/1000</f>
        <v>985.28893016224561</v>
      </c>
      <c r="K236" s="56">
        <f>K$228*Data!J$16/1000</f>
        <v>1068.1636999889765</v>
      </c>
      <c r="L236" s="56">
        <f>L$228*Data!K$16/1000</f>
        <v>1160.246777574233</v>
      </c>
      <c r="M236" s="56">
        <f>M$228*Data!L$16/1000</f>
        <v>1252.3298551594896</v>
      </c>
      <c r="N236" s="56">
        <f>N$228*Data!M$16/1000</f>
        <v>1344.4129327447463</v>
      </c>
      <c r="O236" s="56">
        <f>O$228*Data!N$16/1000</f>
        <v>1427.2877025714772</v>
      </c>
      <c r="P236" s="56">
        <f>P$228*Data!O$16/1000</f>
        <v>1482.5375491226314</v>
      </c>
      <c r="Q236" s="56">
        <f>Q$228*Data!P$16/1000</f>
        <v>1537.7873956737851</v>
      </c>
      <c r="R236" s="56">
        <f>R$228*Data!Q$16/1000</f>
        <v>1602.2455499834648</v>
      </c>
      <c r="S236" s="56">
        <f>S$228*Data!R$16/1000</f>
        <v>1657.4953965346187</v>
      </c>
      <c r="T236" s="56">
        <f>T$228*Data!S$16/1000</f>
        <v>1712.7452430857727</v>
      </c>
      <c r="U236" s="56">
        <f>U$228*Data!T$16/1000</f>
        <v>0</v>
      </c>
      <c r="V236" s="56">
        <f>V$228*Data!U$16/1000</f>
        <v>0</v>
      </c>
      <c r="W236" s="56">
        <f>W$228*Data!V$16/1000</f>
        <v>0</v>
      </c>
      <c r="X236" s="56">
        <f>X$228*Data!W$16/1000</f>
        <v>0</v>
      </c>
      <c r="Y236" s="56">
        <f>Y$228*Data!X$16/1000</f>
        <v>0</v>
      </c>
      <c r="Z236" s="56">
        <f>Z$228*Data!Y$16/1000</f>
        <v>0</v>
      </c>
      <c r="AA236" s="56">
        <f>AA$228*Data!Z$16/1000</f>
        <v>0</v>
      </c>
      <c r="AB236" s="56">
        <f>AB$228*Data!AA$16/1000</f>
        <v>0</v>
      </c>
      <c r="AC236" s="56">
        <f>AC$228*Data!AB$16/1000</f>
        <v>0</v>
      </c>
      <c r="AD236" s="56">
        <f>AD$228*Data!AC$16/1000</f>
        <v>0</v>
      </c>
      <c r="AE236" s="56">
        <f>AE$228*Data!AD$16/1000</f>
        <v>0</v>
      </c>
      <c r="AF236" s="56">
        <f>AF$228*Data!AE$16/1000</f>
        <v>0</v>
      </c>
      <c r="AG236" s="56">
        <f>AG$228*Data!AF$16/1000</f>
        <v>0</v>
      </c>
      <c r="AH236" s="56">
        <f>AH$228*Data!AG$16/1000</f>
        <v>0</v>
      </c>
      <c r="AI236" s="56">
        <f>AI$228*Data!AH$16/1000</f>
        <v>0</v>
      </c>
      <c r="AJ236" s="56">
        <f>AJ$228*Data!AI$16/1000</f>
        <v>0</v>
      </c>
      <c r="AK236" s="56">
        <f>AK$228*Data!AJ$16/1000</f>
        <v>0</v>
      </c>
      <c r="AL236" s="56">
        <f>AL$228*Data!AK$16/1000</f>
        <v>0</v>
      </c>
      <c r="AM236" s="56">
        <f>AM$228*Data!AL$16/1000</f>
        <v>0</v>
      </c>
      <c r="AN236" s="56">
        <f>AN$228*Data!AM$16/1000</f>
        <v>0</v>
      </c>
      <c r="AO236" s="56">
        <f>AO$228*Data!AN$16/1000</f>
        <v>0</v>
      </c>
      <c r="AP236" s="29"/>
    </row>
    <row r="237" spans="1:42" outlineLevel="1" x14ac:dyDescent="0.25">
      <c r="A237" s="54"/>
      <c r="B237" s="13"/>
      <c r="C237" s="14" t="s">
        <v>285</v>
      </c>
      <c r="D237" s="14"/>
      <c r="E237" s="70" t="s">
        <v>474</v>
      </c>
      <c r="F237" s="200">
        <f>Data!$E$36/1000</f>
        <v>1.0822865168539326</v>
      </c>
      <c r="G237" s="56"/>
      <c r="H237" s="56"/>
      <c r="I237" s="56">
        <f>I$229*$F237</f>
        <v>0</v>
      </c>
      <c r="J237" s="56">
        <f t="shared" ref="J237:AO237" si="35">J$229*$F237</f>
        <v>0</v>
      </c>
      <c r="K237" s="56">
        <f t="shared" si="35"/>
        <v>0</v>
      </c>
      <c r="L237" s="56">
        <f t="shared" si="35"/>
        <v>0</v>
      </c>
      <c r="M237" s="56">
        <f t="shared" si="35"/>
        <v>0</v>
      </c>
      <c r="N237" s="56">
        <f t="shared" si="35"/>
        <v>0</v>
      </c>
      <c r="O237" s="56">
        <f t="shared" si="35"/>
        <v>0</v>
      </c>
      <c r="P237" s="56">
        <f t="shared" si="35"/>
        <v>0</v>
      </c>
      <c r="Q237" s="56">
        <f t="shared" si="35"/>
        <v>0</v>
      </c>
      <c r="R237" s="56">
        <f t="shared" si="35"/>
        <v>0</v>
      </c>
      <c r="S237" s="56">
        <f t="shared" si="35"/>
        <v>0</v>
      </c>
      <c r="T237" s="56">
        <f t="shared" si="35"/>
        <v>0</v>
      </c>
      <c r="U237" s="56">
        <f t="shared" si="35"/>
        <v>0</v>
      </c>
      <c r="V237" s="56">
        <f t="shared" si="35"/>
        <v>0</v>
      </c>
      <c r="W237" s="56">
        <f t="shared" si="35"/>
        <v>0</v>
      </c>
      <c r="X237" s="56">
        <f t="shared" si="35"/>
        <v>0</v>
      </c>
      <c r="Y237" s="56">
        <f t="shared" si="35"/>
        <v>0</v>
      </c>
      <c r="Z237" s="56">
        <f t="shared" si="35"/>
        <v>0</v>
      </c>
      <c r="AA237" s="56">
        <f t="shared" si="35"/>
        <v>0</v>
      </c>
      <c r="AB237" s="56">
        <f t="shared" si="35"/>
        <v>0</v>
      </c>
      <c r="AC237" s="56">
        <f t="shared" si="35"/>
        <v>0</v>
      </c>
      <c r="AD237" s="56">
        <f t="shared" si="35"/>
        <v>0</v>
      </c>
      <c r="AE237" s="56">
        <f t="shared" si="35"/>
        <v>0</v>
      </c>
      <c r="AF237" s="56">
        <f t="shared" si="35"/>
        <v>0</v>
      </c>
      <c r="AG237" s="56">
        <f t="shared" si="35"/>
        <v>0</v>
      </c>
      <c r="AH237" s="56">
        <f t="shared" si="35"/>
        <v>0</v>
      </c>
      <c r="AI237" s="56">
        <f t="shared" si="35"/>
        <v>0</v>
      </c>
      <c r="AJ237" s="56">
        <f t="shared" si="35"/>
        <v>0</v>
      </c>
      <c r="AK237" s="56">
        <f t="shared" si="35"/>
        <v>0</v>
      </c>
      <c r="AL237" s="56">
        <f t="shared" si="35"/>
        <v>0</v>
      </c>
      <c r="AM237" s="56">
        <f t="shared" si="35"/>
        <v>0</v>
      </c>
      <c r="AN237" s="56">
        <f t="shared" si="35"/>
        <v>0</v>
      </c>
      <c r="AO237" s="56">
        <f t="shared" si="35"/>
        <v>0</v>
      </c>
      <c r="AP237" s="29"/>
    </row>
    <row r="238" spans="1:42" outlineLevel="1" x14ac:dyDescent="0.25">
      <c r="A238" s="54"/>
      <c r="B238" s="13"/>
      <c r="C238" s="14" t="s">
        <v>220</v>
      </c>
      <c r="D238" s="14"/>
      <c r="E238" s="70" t="s">
        <v>474</v>
      </c>
      <c r="F238" s="200">
        <f>Data!$E$37/1000</f>
        <v>371.00188764044947</v>
      </c>
      <c r="G238" s="56"/>
      <c r="H238" s="56"/>
      <c r="I238" s="56">
        <f>I$230*$F238</f>
        <v>0</v>
      </c>
      <c r="J238" s="56">
        <f t="shared" ref="J238:AO238" si="36">J$230*$F238</f>
        <v>0</v>
      </c>
      <c r="K238" s="56">
        <f t="shared" si="36"/>
        <v>0</v>
      </c>
      <c r="L238" s="56">
        <f t="shared" si="36"/>
        <v>0</v>
      </c>
      <c r="M238" s="56">
        <f t="shared" si="36"/>
        <v>0</v>
      </c>
      <c r="N238" s="56">
        <f t="shared" si="36"/>
        <v>0</v>
      </c>
      <c r="O238" s="56">
        <f t="shared" si="36"/>
        <v>0</v>
      </c>
      <c r="P238" s="56">
        <f t="shared" si="36"/>
        <v>0</v>
      </c>
      <c r="Q238" s="56">
        <f t="shared" si="36"/>
        <v>0</v>
      </c>
      <c r="R238" s="56">
        <f t="shared" si="36"/>
        <v>0</v>
      </c>
      <c r="S238" s="56">
        <f t="shared" si="36"/>
        <v>0</v>
      </c>
      <c r="T238" s="56">
        <f t="shared" si="36"/>
        <v>0</v>
      </c>
      <c r="U238" s="56">
        <f t="shared" si="36"/>
        <v>0</v>
      </c>
      <c r="V238" s="56">
        <f t="shared" si="36"/>
        <v>0</v>
      </c>
      <c r="W238" s="56">
        <f t="shared" si="36"/>
        <v>0</v>
      </c>
      <c r="X238" s="56">
        <f t="shared" si="36"/>
        <v>0</v>
      </c>
      <c r="Y238" s="56">
        <f t="shared" si="36"/>
        <v>0</v>
      </c>
      <c r="Z238" s="56">
        <f t="shared" si="36"/>
        <v>0</v>
      </c>
      <c r="AA238" s="56">
        <f t="shared" si="36"/>
        <v>0</v>
      </c>
      <c r="AB238" s="56">
        <f t="shared" si="36"/>
        <v>0</v>
      </c>
      <c r="AC238" s="56">
        <f t="shared" si="36"/>
        <v>0</v>
      </c>
      <c r="AD238" s="56">
        <f t="shared" si="36"/>
        <v>0</v>
      </c>
      <c r="AE238" s="56">
        <f t="shared" si="36"/>
        <v>0</v>
      </c>
      <c r="AF238" s="56">
        <f t="shared" si="36"/>
        <v>0</v>
      </c>
      <c r="AG238" s="56">
        <f t="shared" si="36"/>
        <v>0</v>
      </c>
      <c r="AH238" s="56">
        <f t="shared" si="36"/>
        <v>0</v>
      </c>
      <c r="AI238" s="56">
        <f t="shared" si="36"/>
        <v>0</v>
      </c>
      <c r="AJ238" s="56">
        <f t="shared" si="36"/>
        <v>0</v>
      </c>
      <c r="AK238" s="56">
        <f t="shared" si="36"/>
        <v>0</v>
      </c>
      <c r="AL238" s="56">
        <f t="shared" si="36"/>
        <v>0</v>
      </c>
      <c r="AM238" s="56">
        <f t="shared" si="36"/>
        <v>0</v>
      </c>
      <c r="AN238" s="56">
        <f t="shared" si="36"/>
        <v>0</v>
      </c>
      <c r="AO238" s="56">
        <f t="shared" si="36"/>
        <v>0</v>
      </c>
      <c r="AP238" s="29"/>
    </row>
    <row r="239" spans="1:42" outlineLevel="1" x14ac:dyDescent="0.25">
      <c r="A239" s="54"/>
      <c r="B239" s="13"/>
      <c r="C239" s="14" t="s">
        <v>212</v>
      </c>
      <c r="D239" s="14"/>
      <c r="E239" s="70" t="s">
        <v>474</v>
      </c>
      <c r="F239" s="200">
        <f>Data!$E$39/1000</f>
        <v>0</v>
      </c>
      <c r="G239" s="56"/>
      <c r="H239" s="56"/>
      <c r="I239" s="56">
        <f>I$231*$F239</f>
        <v>0</v>
      </c>
      <c r="J239" s="56">
        <f t="shared" ref="J239:AO239" si="37">J$231*$F239</f>
        <v>0</v>
      </c>
      <c r="K239" s="56">
        <f t="shared" si="37"/>
        <v>0</v>
      </c>
      <c r="L239" s="56">
        <f t="shared" si="37"/>
        <v>0</v>
      </c>
      <c r="M239" s="56">
        <f t="shared" si="37"/>
        <v>0</v>
      </c>
      <c r="N239" s="56">
        <f t="shared" si="37"/>
        <v>0</v>
      </c>
      <c r="O239" s="56">
        <f t="shared" si="37"/>
        <v>0</v>
      </c>
      <c r="P239" s="56">
        <f t="shared" si="37"/>
        <v>0</v>
      </c>
      <c r="Q239" s="56">
        <f t="shared" si="37"/>
        <v>0</v>
      </c>
      <c r="R239" s="56">
        <f t="shared" si="37"/>
        <v>0</v>
      </c>
      <c r="S239" s="56">
        <f t="shared" si="37"/>
        <v>0</v>
      </c>
      <c r="T239" s="56">
        <f t="shared" si="37"/>
        <v>0</v>
      </c>
      <c r="U239" s="56">
        <f t="shared" si="37"/>
        <v>0</v>
      </c>
      <c r="V239" s="56">
        <f t="shared" si="37"/>
        <v>0</v>
      </c>
      <c r="W239" s="56">
        <f t="shared" si="37"/>
        <v>0</v>
      </c>
      <c r="X239" s="56">
        <f t="shared" si="37"/>
        <v>0</v>
      </c>
      <c r="Y239" s="56">
        <f t="shared" si="37"/>
        <v>0</v>
      </c>
      <c r="Z239" s="56">
        <f t="shared" si="37"/>
        <v>0</v>
      </c>
      <c r="AA239" s="56">
        <f t="shared" si="37"/>
        <v>0</v>
      </c>
      <c r="AB239" s="56">
        <f t="shared" si="37"/>
        <v>0</v>
      </c>
      <c r="AC239" s="56">
        <f t="shared" si="37"/>
        <v>0</v>
      </c>
      <c r="AD239" s="56">
        <f t="shared" si="37"/>
        <v>0</v>
      </c>
      <c r="AE239" s="56">
        <f t="shared" si="37"/>
        <v>0</v>
      </c>
      <c r="AF239" s="56">
        <f t="shared" si="37"/>
        <v>0</v>
      </c>
      <c r="AG239" s="56">
        <f t="shared" si="37"/>
        <v>0</v>
      </c>
      <c r="AH239" s="56">
        <f t="shared" si="37"/>
        <v>0</v>
      </c>
      <c r="AI239" s="56">
        <f t="shared" si="37"/>
        <v>0</v>
      </c>
      <c r="AJ239" s="56">
        <f t="shared" si="37"/>
        <v>0</v>
      </c>
      <c r="AK239" s="56">
        <f t="shared" si="37"/>
        <v>0</v>
      </c>
      <c r="AL239" s="56">
        <f t="shared" si="37"/>
        <v>0</v>
      </c>
      <c r="AM239" s="56">
        <f t="shared" si="37"/>
        <v>0</v>
      </c>
      <c r="AN239" s="56">
        <f t="shared" si="37"/>
        <v>0</v>
      </c>
      <c r="AO239" s="56">
        <f t="shared" si="37"/>
        <v>0</v>
      </c>
      <c r="AP239" s="29"/>
    </row>
    <row r="240" spans="1:42" outlineLevel="1" x14ac:dyDescent="0.25">
      <c r="A240" s="54"/>
      <c r="B240" s="13"/>
      <c r="C240" s="14" t="s">
        <v>485</v>
      </c>
      <c r="D240" s="14"/>
      <c r="E240" s="70" t="s">
        <v>474</v>
      </c>
      <c r="F240" s="200">
        <f>Data!$E$40/1000</f>
        <v>605.20914606741576</v>
      </c>
      <c r="G240" s="56"/>
      <c r="H240" s="56"/>
      <c r="I240" s="56">
        <f>I$232*$F240</f>
        <v>0</v>
      </c>
      <c r="J240" s="56">
        <f t="shared" ref="J240:AO240" si="38">J$232*$F240</f>
        <v>0</v>
      </c>
      <c r="K240" s="56">
        <f t="shared" si="38"/>
        <v>0</v>
      </c>
      <c r="L240" s="56">
        <f t="shared" si="38"/>
        <v>0</v>
      </c>
      <c r="M240" s="56">
        <f t="shared" si="38"/>
        <v>0</v>
      </c>
      <c r="N240" s="56">
        <f t="shared" si="38"/>
        <v>0</v>
      </c>
      <c r="O240" s="56">
        <f t="shared" si="38"/>
        <v>0</v>
      </c>
      <c r="P240" s="56">
        <f t="shared" si="38"/>
        <v>0</v>
      </c>
      <c r="Q240" s="56">
        <f t="shared" si="38"/>
        <v>0</v>
      </c>
      <c r="R240" s="56">
        <f t="shared" si="38"/>
        <v>0</v>
      </c>
      <c r="S240" s="56">
        <f t="shared" si="38"/>
        <v>0</v>
      </c>
      <c r="T240" s="56">
        <f t="shared" si="38"/>
        <v>0</v>
      </c>
      <c r="U240" s="56">
        <f t="shared" si="38"/>
        <v>0</v>
      </c>
      <c r="V240" s="56">
        <f t="shared" si="38"/>
        <v>0</v>
      </c>
      <c r="W240" s="56">
        <f t="shared" si="38"/>
        <v>0</v>
      </c>
      <c r="X240" s="56">
        <f t="shared" si="38"/>
        <v>0</v>
      </c>
      <c r="Y240" s="56">
        <f t="shared" si="38"/>
        <v>0</v>
      </c>
      <c r="Z240" s="56">
        <f t="shared" si="38"/>
        <v>0</v>
      </c>
      <c r="AA240" s="56">
        <f t="shared" si="38"/>
        <v>0</v>
      </c>
      <c r="AB240" s="56">
        <f t="shared" si="38"/>
        <v>0</v>
      </c>
      <c r="AC240" s="56">
        <f t="shared" si="38"/>
        <v>0</v>
      </c>
      <c r="AD240" s="56">
        <f t="shared" si="38"/>
        <v>0</v>
      </c>
      <c r="AE240" s="56">
        <f t="shared" si="38"/>
        <v>0</v>
      </c>
      <c r="AF240" s="56">
        <f t="shared" si="38"/>
        <v>0</v>
      </c>
      <c r="AG240" s="56">
        <f t="shared" si="38"/>
        <v>0</v>
      </c>
      <c r="AH240" s="56">
        <f t="shared" si="38"/>
        <v>0</v>
      </c>
      <c r="AI240" s="56">
        <f t="shared" si="38"/>
        <v>0</v>
      </c>
      <c r="AJ240" s="56">
        <f t="shared" si="38"/>
        <v>0</v>
      </c>
      <c r="AK240" s="56">
        <f t="shared" si="38"/>
        <v>0</v>
      </c>
      <c r="AL240" s="56">
        <f t="shared" si="38"/>
        <v>0</v>
      </c>
      <c r="AM240" s="56">
        <f t="shared" si="38"/>
        <v>0</v>
      </c>
      <c r="AN240" s="56">
        <f t="shared" si="38"/>
        <v>0</v>
      </c>
      <c r="AO240" s="56">
        <f t="shared" si="38"/>
        <v>0</v>
      </c>
      <c r="AP240" s="29"/>
    </row>
    <row r="241" spans="1:42" outlineLevel="1" x14ac:dyDescent="0.25">
      <c r="A241" s="54"/>
      <c r="B241" s="13"/>
      <c r="C241" s="14" t="s">
        <v>214</v>
      </c>
      <c r="D241" s="14"/>
      <c r="E241" s="70" t="s">
        <v>474</v>
      </c>
      <c r="F241" s="200">
        <f>Data!$E$41/1000</f>
        <v>0</v>
      </c>
      <c r="G241" s="56"/>
      <c r="H241" s="56"/>
      <c r="I241" s="56">
        <f>I$233*$F241</f>
        <v>0</v>
      </c>
      <c r="J241" s="56">
        <f t="shared" ref="J241:AO241" si="39">J$233*$F241</f>
        <v>0</v>
      </c>
      <c r="K241" s="56">
        <f t="shared" si="39"/>
        <v>0</v>
      </c>
      <c r="L241" s="56">
        <f t="shared" si="39"/>
        <v>0</v>
      </c>
      <c r="M241" s="56">
        <f t="shared" si="39"/>
        <v>0</v>
      </c>
      <c r="N241" s="56">
        <f t="shared" si="39"/>
        <v>0</v>
      </c>
      <c r="O241" s="56">
        <f t="shared" si="39"/>
        <v>0</v>
      </c>
      <c r="P241" s="56">
        <f t="shared" si="39"/>
        <v>0</v>
      </c>
      <c r="Q241" s="56">
        <f t="shared" si="39"/>
        <v>0</v>
      </c>
      <c r="R241" s="56">
        <f t="shared" si="39"/>
        <v>0</v>
      </c>
      <c r="S241" s="56">
        <f t="shared" si="39"/>
        <v>0</v>
      </c>
      <c r="T241" s="56">
        <f t="shared" si="39"/>
        <v>0</v>
      </c>
      <c r="U241" s="56">
        <f t="shared" si="39"/>
        <v>0</v>
      </c>
      <c r="V241" s="56">
        <f t="shared" si="39"/>
        <v>0</v>
      </c>
      <c r="W241" s="56">
        <f t="shared" si="39"/>
        <v>0</v>
      </c>
      <c r="X241" s="56">
        <f t="shared" si="39"/>
        <v>0</v>
      </c>
      <c r="Y241" s="56">
        <f t="shared" si="39"/>
        <v>0</v>
      </c>
      <c r="Z241" s="56">
        <f t="shared" si="39"/>
        <v>0</v>
      </c>
      <c r="AA241" s="56">
        <f t="shared" si="39"/>
        <v>0</v>
      </c>
      <c r="AB241" s="56">
        <f t="shared" si="39"/>
        <v>0</v>
      </c>
      <c r="AC241" s="56">
        <f t="shared" si="39"/>
        <v>0</v>
      </c>
      <c r="AD241" s="56">
        <f t="shared" si="39"/>
        <v>0</v>
      </c>
      <c r="AE241" s="56">
        <f t="shared" si="39"/>
        <v>0</v>
      </c>
      <c r="AF241" s="56">
        <f t="shared" si="39"/>
        <v>0</v>
      </c>
      <c r="AG241" s="56">
        <f t="shared" si="39"/>
        <v>0</v>
      </c>
      <c r="AH241" s="56">
        <f t="shared" si="39"/>
        <v>0</v>
      </c>
      <c r="AI241" s="56">
        <f t="shared" si="39"/>
        <v>0</v>
      </c>
      <c r="AJ241" s="56">
        <f t="shared" si="39"/>
        <v>0</v>
      </c>
      <c r="AK241" s="56">
        <f t="shared" si="39"/>
        <v>0</v>
      </c>
      <c r="AL241" s="56">
        <f t="shared" si="39"/>
        <v>0</v>
      </c>
      <c r="AM241" s="56">
        <f t="shared" si="39"/>
        <v>0</v>
      </c>
      <c r="AN241" s="56">
        <f t="shared" si="39"/>
        <v>0</v>
      </c>
      <c r="AO241" s="56">
        <f t="shared" si="39"/>
        <v>0</v>
      </c>
      <c r="AP241" s="29"/>
    </row>
    <row r="242" spans="1:42" outlineLevel="1" x14ac:dyDescent="0.25">
      <c r="A242" s="12"/>
      <c r="B242" s="13"/>
      <c r="C242" s="20" t="s">
        <v>486</v>
      </c>
      <c r="D242" s="14"/>
      <c r="E242" s="70" t="s">
        <v>474</v>
      </c>
      <c r="F242" s="16"/>
      <c r="G242" s="159"/>
      <c r="H242" s="185"/>
      <c r="I242" s="185">
        <f>SUM(I235:I241)</f>
        <v>893.20585257698895</v>
      </c>
      <c r="J242" s="185">
        <f t="shared" ref="J242:AN242" si="40">SUM(J235:J241)</f>
        <v>985.28893016224561</v>
      </c>
      <c r="K242" s="185">
        <f t="shared" si="40"/>
        <v>1068.1636999889765</v>
      </c>
      <c r="L242" s="185">
        <f t="shared" si="40"/>
        <v>1160.246777574233</v>
      </c>
      <c r="M242" s="185">
        <f t="shared" si="40"/>
        <v>1252.3298551594896</v>
      </c>
      <c r="N242" s="185">
        <f t="shared" si="40"/>
        <v>1344.4129327447463</v>
      </c>
      <c r="O242" s="185">
        <f t="shared" si="40"/>
        <v>1427.2877025714772</v>
      </c>
      <c r="P242" s="185">
        <f t="shared" si="40"/>
        <v>1482.5375491226314</v>
      </c>
      <c r="Q242" s="185">
        <f t="shared" si="40"/>
        <v>1537.7873956737851</v>
      </c>
      <c r="R242" s="185">
        <f t="shared" si="40"/>
        <v>1602.2455499834648</v>
      </c>
      <c r="S242" s="185">
        <f t="shared" si="40"/>
        <v>1657.4953965346187</v>
      </c>
      <c r="T242" s="185">
        <f t="shared" si="40"/>
        <v>1712.7452430857727</v>
      </c>
      <c r="U242" s="185">
        <f t="shared" si="40"/>
        <v>0</v>
      </c>
      <c r="V242" s="185">
        <f t="shared" si="40"/>
        <v>0</v>
      </c>
      <c r="W242" s="185">
        <f t="shared" si="40"/>
        <v>0</v>
      </c>
      <c r="X242" s="185">
        <f t="shared" si="40"/>
        <v>0</v>
      </c>
      <c r="Y242" s="185">
        <f t="shared" si="40"/>
        <v>0</v>
      </c>
      <c r="Z242" s="185">
        <f t="shared" si="40"/>
        <v>0</v>
      </c>
      <c r="AA242" s="185">
        <f t="shared" si="40"/>
        <v>0</v>
      </c>
      <c r="AB242" s="185">
        <f t="shared" si="40"/>
        <v>0</v>
      </c>
      <c r="AC242" s="185">
        <f t="shared" si="40"/>
        <v>0</v>
      </c>
      <c r="AD242" s="185">
        <f t="shared" si="40"/>
        <v>0</v>
      </c>
      <c r="AE242" s="185">
        <f t="shared" si="40"/>
        <v>0</v>
      </c>
      <c r="AF242" s="185">
        <f t="shared" si="40"/>
        <v>0</v>
      </c>
      <c r="AG242" s="185">
        <f t="shared" si="40"/>
        <v>0</v>
      </c>
      <c r="AH242" s="185">
        <f t="shared" si="40"/>
        <v>0</v>
      </c>
      <c r="AI242" s="185">
        <f t="shared" si="40"/>
        <v>0</v>
      </c>
      <c r="AJ242" s="185">
        <f t="shared" si="40"/>
        <v>0</v>
      </c>
      <c r="AK242" s="185">
        <f t="shared" si="40"/>
        <v>0</v>
      </c>
      <c r="AL242" s="185">
        <f t="shared" si="40"/>
        <v>0</v>
      </c>
      <c r="AM242" s="185">
        <f t="shared" si="40"/>
        <v>0</v>
      </c>
      <c r="AN242" s="185">
        <f t="shared" si="40"/>
        <v>0</v>
      </c>
      <c r="AO242" s="185">
        <f t="shared" ref="AO242" si="41">SUM(AO235:AO241)</f>
        <v>0</v>
      </c>
      <c r="AP242" s="14"/>
    </row>
    <row r="243" spans="1:42" outlineLevel="1" x14ac:dyDescent="0.25">
      <c r="A243" s="12"/>
      <c r="B243" s="13"/>
      <c r="C243" s="14"/>
      <c r="D243" s="14"/>
      <c r="E243" s="15"/>
      <c r="F243" s="16"/>
      <c r="G243" s="159"/>
      <c r="H243" s="159"/>
      <c r="I243" s="159"/>
      <c r="J243" s="159"/>
      <c r="K243" s="159"/>
      <c r="L243" s="159"/>
      <c r="M243" s="159"/>
      <c r="N243" s="159"/>
      <c r="O243" s="159"/>
      <c r="P243" s="159"/>
      <c r="Q243" s="159"/>
      <c r="R243" s="159"/>
      <c r="S243" s="159"/>
      <c r="T243" s="159"/>
      <c r="U243" s="159"/>
      <c r="V243" s="159"/>
      <c r="W243" s="159"/>
      <c r="X243" s="14"/>
      <c r="Y243" s="14"/>
      <c r="Z243" s="14"/>
      <c r="AA243" s="14"/>
      <c r="AB243" s="14"/>
      <c r="AC243" s="14"/>
      <c r="AD243" s="14"/>
      <c r="AE243" s="14"/>
      <c r="AF243" s="14"/>
      <c r="AG243" s="14"/>
      <c r="AH243" s="14"/>
      <c r="AI243" s="14"/>
      <c r="AJ243" s="14"/>
      <c r="AK243" s="14"/>
      <c r="AL243" s="14"/>
      <c r="AM243" s="14"/>
      <c r="AN243" s="14"/>
      <c r="AO243" s="14"/>
      <c r="AP243" s="14"/>
    </row>
    <row r="244" spans="1:42" outlineLevel="1" x14ac:dyDescent="0.25">
      <c r="A244" s="12"/>
      <c r="B244" s="13"/>
      <c r="C244" s="14" t="s">
        <v>523</v>
      </c>
      <c r="D244" s="14"/>
      <c r="E244" s="15" t="s">
        <v>474</v>
      </c>
      <c r="F244" s="48"/>
      <c r="G244" s="185"/>
      <c r="H244" s="185"/>
      <c r="I244" s="185">
        <f>I242*Data!H$9</f>
        <v>858.8517813240278</v>
      </c>
      <c r="J244" s="185">
        <f>J242*Data!I$9</f>
        <v>910.95500199911748</v>
      </c>
      <c r="K244" s="185">
        <f>K242*Data!J$9</f>
        <v>949.59363975465169</v>
      </c>
      <c r="L244" s="185">
        <f>L242*Data!K$9</f>
        <v>991.78380809918826</v>
      </c>
      <c r="M244" s="185">
        <f>M242*Data!L$9</f>
        <v>1029.3238545595971</v>
      </c>
      <c r="N244" s="185">
        <f>N242*Data!M$9</f>
        <v>1062.5090693276384</v>
      </c>
      <c r="O244" s="185">
        <f>O242*Data!N$9</f>
        <v>1084.6213497483138</v>
      </c>
      <c r="P244" s="185">
        <f>P242*Data!O$9</f>
        <v>1083.2756656915542</v>
      </c>
      <c r="Q244" s="185">
        <f>Q242*Data!P$9</f>
        <v>1080.4290263407161</v>
      </c>
      <c r="R244" s="185">
        <f>R242*Data!Q$9</f>
        <v>1082.4196832294137</v>
      </c>
      <c r="S244" s="185">
        <f>S242*Data!R$9</f>
        <v>1076.6774037427858</v>
      </c>
      <c r="T244" s="185">
        <f>T242*Data!S$9</f>
        <v>1069.7756255136651</v>
      </c>
      <c r="U244" s="185">
        <f>U242*Data!T$9</f>
        <v>0</v>
      </c>
      <c r="V244" s="185">
        <f>V242*Data!U$9</f>
        <v>0</v>
      </c>
      <c r="W244" s="185">
        <f>W242*Data!V$9</f>
        <v>0</v>
      </c>
      <c r="X244" s="185">
        <f>X242*Data!W$9</f>
        <v>0</v>
      </c>
      <c r="Y244" s="185">
        <f>Y242*Data!X$9</f>
        <v>0</v>
      </c>
      <c r="Z244" s="185">
        <f>Z242*Data!Y$9</f>
        <v>0</v>
      </c>
      <c r="AA244" s="185">
        <f>AA242*Data!Z$9</f>
        <v>0</v>
      </c>
      <c r="AB244" s="185">
        <f>AB242*Data!AA$9</f>
        <v>0</v>
      </c>
      <c r="AC244" s="185">
        <f>AC242*Data!AB$9</f>
        <v>0</v>
      </c>
      <c r="AD244" s="185">
        <f>AD242*Data!AC$9</f>
        <v>0</v>
      </c>
      <c r="AE244" s="185">
        <f>AE242*Data!AD$9</f>
        <v>0</v>
      </c>
      <c r="AF244" s="185">
        <f>AF242*Data!AE$9</f>
        <v>0</v>
      </c>
      <c r="AG244" s="185">
        <f>AG242*Data!AF$9</f>
        <v>0</v>
      </c>
      <c r="AH244" s="185">
        <f>AH242*Data!AG$9</f>
        <v>0</v>
      </c>
      <c r="AI244" s="185">
        <f>AI242*Data!AH$9</f>
        <v>0</v>
      </c>
      <c r="AJ244" s="185">
        <f>AJ242*Data!AI$9</f>
        <v>0</v>
      </c>
      <c r="AK244" s="185">
        <f>AK242*Data!AJ$9</f>
        <v>0</v>
      </c>
      <c r="AL244" s="185">
        <f>AL242*Data!AK$9</f>
        <v>0</v>
      </c>
      <c r="AM244" s="185">
        <f>AM242*Data!AL$9</f>
        <v>0</v>
      </c>
      <c r="AN244" s="185">
        <f>AN242*Data!AM$9</f>
        <v>0</v>
      </c>
      <c r="AO244" s="185">
        <f>AO242*Data!AN$9</f>
        <v>0</v>
      </c>
      <c r="AP244" s="14"/>
    </row>
    <row r="245" spans="1:42" outlineLevel="1" x14ac:dyDescent="0.25">
      <c r="A245" s="12"/>
      <c r="B245" s="13"/>
      <c r="C245" s="14" t="s">
        <v>489</v>
      </c>
      <c r="D245" s="13"/>
      <c r="E245" s="15" t="s">
        <v>142</v>
      </c>
      <c r="F245" s="16"/>
      <c r="G245" s="159">
        <f>SUM(H244:AO244)</f>
        <v>12280.215909330671</v>
      </c>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row>
    <row r="246" spans="1:42" outlineLevel="1" x14ac:dyDescent="0.25">
      <c r="A246" s="12"/>
      <c r="B246" s="13"/>
      <c r="C246" s="41" t="s">
        <v>62</v>
      </c>
      <c r="D246" s="41"/>
      <c r="E246" s="15" t="s">
        <v>261</v>
      </c>
      <c r="F246" s="16"/>
      <c r="G246" s="184">
        <f>G245/(SUM(H225:AO225))</f>
        <v>1.9878619381848404E-2</v>
      </c>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7"/>
    </row>
    <row r="247" spans="1:42" outlineLevel="1" x14ac:dyDescent="0.25">
      <c r="A247" s="12"/>
      <c r="B247" s="13"/>
      <c r="C247" s="41"/>
      <c r="D247" s="41"/>
      <c r="E247" s="15"/>
      <c r="F247" s="16"/>
      <c r="G247" s="18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7"/>
    </row>
    <row r="248" spans="1:42" outlineLevel="1" x14ac:dyDescent="0.25">
      <c r="A248" s="12"/>
      <c r="B248" s="13"/>
      <c r="C248" s="37" t="s">
        <v>555</v>
      </c>
      <c r="D248" s="37"/>
      <c r="E248" s="38"/>
      <c r="F248" s="39"/>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17"/>
    </row>
    <row r="249" spans="1:42" outlineLevel="1" x14ac:dyDescent="0.25">
      <c r="A249" s="12"/>
      <c r="B249" s="13"/>
      <c r="C249" s="14"/>
      <c r="D249" s="14"/>
      <c r="E249" s="15"/>
      <c r="F249" s="16"/>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7"/>
    </row>
    <row r="250" spans="1:42" outlineLevel="1" x14ac:dyDescent="0.25">
      <c r="A250" s="12"/>
      <c r="B250" s="13"/>
      <c r="C250" s="20" t="s">
        <v>252</v>
      </c>
      <c r="D250" s="14"/>
      <c r="E250" s="15"/>
      <c r="F250" s="16"/>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row>
    <row r="251" spans="1:42" outlineLevel="1" x14ac:dyDescent="0.25">
      <c r="A251" s="12"/>
      <c r="B251" s="13"/>
      <c r="C251" t="s">
        <v>520</v>
      </c>
      <c r="D251" s="14"/>
      <c r="E251" s="15" t="s">
        <v>521</v>
      </c>
      <c r="F251" s="16"/>
      <c r="G251" s="14"/>
      <c r="H251" s="141"/>
      <c r="I251" s="141">
        <f>I$154</f>
        <v>51480</v>
      </c>
      <c r="J251" s="141">
        <f t="shared" ref="J251:AO251" si="42">J$154</f>
        <v>51480</v>
      </c>
      <c r="K251" s="141">
        <f t="shared" si="42"/>
        <v>51480</v>
      </c>
      <c r="L251" s="141">
        <f t="shared" si="42"/>
        <v>51480</v>
      </c>
      <c r="M251" s="141">
        <f t="shared" si="42"/>
        <v>51480</v>
      </c>
      <c r="N251" s="141">
        <f t="shared" si="42"/>
        <v>51480</v>
      </c>
      <c r="O251" s="141">
        <f t="shared" si="42"/>
        <v>51480</v>
      </c>
      <c r="P251" s="141">
        <f t="shared" si="42"/>
        <v>51480</v>
      </c>
      <c r="Q251" s="141">
        <f t="shared" si="42"/>
        <v>51480</v>
      </c>
      <c r="R251" s="141">
        <f t="shared" si="42"/>
        <v>51480</v>
      </c>
      <c r="S251" s="141">
        <f t="shared" si="42"/>
        <v>51480</v>
      </c>
      <c r="T251" s="141">
        <f t="shared" si="42"/>
        <v>51480</v>
      </c>
      <c r="U251" s="141">
        <f t="shared" si="42"/>
        <v>0</v>
      </c>
      <c r="V251" s="141">
        <f t="shared" si="42"/>
        <v>0</v>
      </c>
      <c r="W251" s="141">
        <f t="shared" si="42"/>
        <v>0</v>
      </c>
      <c r="X251" s="141">
        <f t="shared" si="42"/>
        <v>0</v>
      </c>
      <c r="Y251" s="141">
        <f t="shared" si="42"/>
        <v>0</v>
      </c>
      <c r="Z251" s="141">
        <f t="shared" si="42"/>
        <v>0</v>
      </c>
      <c r="AA251" s="141">
        <f t="shared" si="42"/>
        <v>0</v>
      </c>
      <c r="AB251" s="141">
        <f t="shared" si="42"/>
        <v>0</v>
      </c>
      <c r="AC251" s="141">
        <f t="shared" si="42"/>
        <v>0</v>
      </c>
      <c r="AD251" s="141">
        <f t="shared" si="42"/>
        <v>0</v>
      </c>
      <c r="AE251" s="141">
        <f t="shared" si="42"/>
        <v>0</v>
      </c>
      <c r="AF251" s="141">
        <f t="shared" si="42"/>
        <v>0</v>
      </c>
      <c r="AG251" s="141">
        <f t="shared" si="42"/>
        <v>0</v>
      </c>
      <c r="AH251" s="141">
        <f t="shared" si="42"/>
        <v>0</v>
      </c>
      <c r="AI251" s="141">
        <f t="shared" si="42"/>
        <v>0</v>
      </c>
      <c r="AJ251" s="141">
        <f t="shared" si="42"/>
        <v>0</v>
      </c>
      <c r="AK251" s="141">
        <f t="shared" si="42"/>
        <v>0</v>
      </c>
      <c r="AL251" s="141">
        <f t="shared" si="42"/>
        <v>0</v>
      </c>
      <c r="AM251" s="141">
        <f t="shared" si="42"/>
        <v>0</v>
      </c>
      <c r="AN251" s="141">
        <f t="shared" si="42"/>
        <v>0</v>
      </c>
      <c r="AO251" s="141">
        <f t="shared" si="42"/>
        <v>0</v>
      </c>
      <c r="AP251" s="14"/>
    </row>
    <row r="252" spans="1:42" outlineLevel="1" x14ac:dyDescent="0.25">
      <c r="A252" s="12"/>
      <c r="B252" s="13"/>
      <c r="C252" s="14" t="s">
        <v>535</v>
      </c>
      <c r="D252" s="14"/>
      <c r="E252" s="15"/>
      <c r="F252" s="16"/>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4"/>
      <c r="AH252" s="14"/>
      <c r="AI252" s="14"/>
      <c r="AJ252" s="14"/>
      <c r="AK252" s="14"/>
      <c r="AL252" s="14"/>
      <c r="AM252" s="14"/>
      <c r="AN252" s="14"/>
      <c r="AO252" s="14"/>
      <c r="AP252" s="14"/>
    </row>
    <row r="253" spans="1:42" ht="14.25" customHeight="1" outlineLevel="1" x14ac:dyDescent="0.25">
      <c r="A253" s="12"/>
      <c r="B253" s="13"/>
      <c r="C253" s="14" t="s">
        <v>205</v>
      </c>
      <c r="D253" s="14"/>
      <c r="E253" s="70" t="s">
        <v>352</v>
      </c>
      <c r="F253" s="201">
        <f>Data!$E$485/1000</f>
        <v>4.3953694163207466E-3</v>
      </c>
      <c r="G253" s="56"/>
      <c r="H253" s="56"/>
      <c r="I253" s="56">
        <f>I$251*$F253</f>
        <v>226.27361755219204</v>
      </c>
      <c r="J253" s="56">
        <f t="shared" ref="J253:AO259" si="43">J$251*$F253</f>
        <v>226.27361755219204</v>
      </c>
      <c r="K253" s="56">
        <f t="shared" si="43"/>
        <v>226.27361755219204</v>
      </c>
      <c r="L253" s="56">
        <f t="shared" si="43"/>
        <v>226.27361755219204</v>
      </c>
      <c r="M253" s="56">
        <f t="shared" si="43"/>
        <v>226.27361755219204</v>
      </c>
      <c r="N253" s="56">
        <f t="shared" si="43"/>
        <v>226.27361755219204</v>
      </c>
      <c r="O253" s="56">
        <f t="shared" si="43"/>
        <v>226.27361755219204</v>
      </c>
      <c r="P253" s="56">
        <f t="shared" si="43"/>
        <v>226.27361755219204</v>
      </c>
      <c r="Q253" s="56">
        <f t="shared" si="43"/>
        <v>226.27361755219204</v>
      </c>
      <c r="R253" s="56">
        <f t="shared" si="43"/>
        <v>226.27361755219204</v>
      </c>
      <c r="S253" s="56">
        <f t="shared" si="43"/>
        <v>226.27361755219204</v>
      </c>
      <c r="T253" s="56">
        <f t="shared" si="43"/>
        <v>226.27361755219204</v>
      </c>
      <c r="U253" s="56">
        <f t="shared" si="43"/>
        <v>0</v>
      </c>
      <c r="V253" s="56">
        <f t="shared" si="43"/>
        <v>0</v>
      </c>
      <c r="W253" s="56">
        <f t="shared" si="43"/>
        <v>0</v>
      </c>
      <c r="X253" s="56">
        <f t="shared" si="43"/>
        <v>0</v>
      </c>
      <c r="Y253" s="56">
        <f t="shared" si="43"/>
        <v>0</v>
      </c>
      <c r="Z253" s="56">
        <f t="shared" si="43"/>
        <v>0</v>
      </c>
      <c r="AA253" s="56">
        <f t="shared" si="43"/>
        <v>0</v>
      </c>
      <c r="AB253" s="56">
        <f t="shared" si="43"/>
        <v>0</v>
      </c>
      <c r="AC253" s="56">
        <f t="shared" si="43"/>
        <v>0</v>
      </c>
      <c r="AD253" s="56">
        <f t="shared" si="43"/>
        <v>0</v>
      </c>
      <c r="AE253" s="56">
        <f t="shared" si="43"/>
        <v>0</v>
      </c>
      <c r="AF253" s="56">
        <f t="shared" si="43"/>
        <v>0</v>
      </c>
      <c r="AG253" s="56">
        <f t="shared" si="43"/>
        <v>0</v>
      </c>
      <c r="AH253" s="56">
        <f t="shared" si="43"/>
        <v>0</v>
      </c>
      <c r="AI253" s="56">
        <f t="shared" si="43"/>
        <v>0</v>
      </c>
      <c r="AJ253" s="56">
        <f t="shared" si="43"/>
        <v>0</v>
      </c>
      <c r="AK253" s="56">
        <f t="shared" si="43"/>
        <v>0</v>
      </c>
      <c r="AL253" s="56">
        <f t="shared" si="43"/>
        <v>0</v>
      </c>
      <c r="AM253" s="56">
        <f t="shared" si="43"/>
        <v>0</v>
      </c>
      <c r="AN253" s="56">
        <f t="shared" si="43"/>
        <v>0</v>
      </c>
      <c r="AO253" s="56">
        <f t="shared" si="43"/>
        <v>0</v>
      </c>
      <c r="AP253" s="56">
        <f t="shared" ref="AP253:AP259" si="44">AP$109*$F253</f>
        <v>0</v>
      </c>
    </row>
    <row r="254" spans="1:42" outlineLevel="1" x14ac:dyDescent="0.25">
      <c r="A254" s="12"/>
      <c r="B254" s="13"/>
      <c r="C254" s="14" t="s">
        <v>484</v>
      </c>
      <c r="D254" s="14"/>
      <c r="E254" s="70" t="s">
        <v>352</v>
      </c>
      <c r="F254" s="201">
        <f>Data!$E$486/1000</f>
        <v>2.7723529845073447</v>
      </c>
      <c r="G254" s="56"/>
      <c r="H254" s="56"/>
      <c r="I254" s="56">
        <f t="shared" ref="I254:X259" si="45">I$251*$F254</f>
        <v>142720.7316424381</v>
      </c>
      <c r="J254" s="56">
        <f t="shared" si="45"/>
        <v>142720.7316424381</v>
      </c>
      <c r="K254" s="56">
        <f t="shared" si="45"/>
        <v>142720.7316424381</v>
      </c>
      <c r="L254" s="56">
        <f t="shared" si="45"/>
        <v>142720.7316424381</v>
      </c>
      <c r="M254" s="56">
        <f t="shared" si="45"/>
        <v>142720.7316424381</v>
      </c>
      <c r="N254" s="56">
        <f t="shared" si="45"/>
        <v>142720.7316424381</v>
      </c>
      <c r="O254" s="56">
        <f t="shared" si="45"/>
        <v>142720.7316424381</v>
      </c>
      <c r="P254" s="56">
        <f t="shared" si="45"/>
        <v>142720.7316424381</v>
      </c>
      <c r="Q254" s="56">
        <f t="shared" si="45"/>
        <v>142720.7316424381</v>
      </c>
      <c r="R254" s="56">
        <f t="shared" si="45"/>
        <v>142720.7316424381</v>
      </c>
      <c r="S254" s="56">
        <f t="shared" si="45"/>
        <v>142720.7316424381</v>
      </c>
      <c r="T254" s="56">
        <f t="shared" si="45"/>
        <v>142720.7316424381</v>
      </c>
      <c r="U254" s="56">
        <f t="shared" si="45"/>
        <v>0</v>
      </c>
      <c r="V254" s="56">
        <f t="shared" si="45"/>
        <v>0</v>
      </c>
      <c r="W254" s="56">
        <f t="shared" si="45"/>
        <v>0</v>
      </c>
      <c r="X254" s="56">
        <f t="shared" si="45"/>
        <v>0</v>
      </c>
      <c r="Y254" s="56">
        <f t="shared" si="43"/>
        <v>0</v>
      </c>
      <c r="Z254" s="56">
        <f t="shared" si="43"/>
        <v>0</v>
      </c>
      <c r="AA254" s="56">
        <f t="shared" si="43"/>
        <v>0</v>
      </c>
      <c r="AB254" s="56">
        <f t="shared" si="43"/>
        <v>0</v>
      </c>
      <c r="AC254" s="56">
        <f t="shared" si="43"/>
        <v>0</v>
      </c>
      <c r="AD254" s="56">
        <f t="shared" si="43"/>
        <v>0</v>
      </c>
      <c r="AE254" s="56">
        <f t="shared" si="43"/>
        <v>0</v>
      </c>
      <c r="AF254" s="56">
        <f t="shared" si="43"/>
        <v>0</v>
      </c>
      <c r="AG254" s="56">
        <f t="shared" si="43"/>
        <v>0</v>
      </c>
      <c r="AH254" s="56">
        <f t="shared" si="43"/>
        <v>0</v>
      </c>
      <c r="AI254" s="56">
        <f t="shared" si="43"/>
        <v>0</v>
      </c>
      <c r="AJ254" s="56">
        <f t="shared" si="43"/>
        <v>0</v>
      </c>
      <c r="AK254" s="56">
        <f t="shared" si="43"/>
        <v>0</v>
      </c>
      <c r="AL254" s="56">
        <f t="shared" si="43"/>
        <v>0</v>
      </c>
      <c r="AM254" s="56">
        <f t="shared" si="43"/>
        <v>0</v>
      </c>
      <c r="AN254" s="56">
        <f t="shared" si="43"/>
        <v>0</v>
      </c>
      <c r="AO254" s="56">
        <f t="shared" si="43"/>
        <v>0</v>
      </c>
      <c r="AP254" s="56">
        <f t="shared" si="44"/>
        <v>0</v>
      </c>
    </row>
    <row r="255" spans="1:42" outlineLevel="1" x14ac:dyDescent="0.25">
      <c r="A255" s="12"/>
      <c r="B255" s="13"/>
      <c r="C255" s="14" t="s">
        <v>285</v>
      </c>
      <c r="D255" s="14"/>
      <c r="E255" s="70" t="s">
        <v>352</v>
      </c>
      <c r="F255" s="201">
        <f>Data!$E$487/1000</f>
        <v>3.4917477856892727E-4</v>
      </c>
      <c r="G255" s="56"/>
      <c r="H255" s="56"/>
      <c r="I255" s="56">
        <f t="shared" si="45"/>
        <v>17.975517600728377</v>
      </c>
      <c r="J255" s="56">
        <f t="shared" si="43"/>
        <v>17.975517600728377</v>
      </c>
      <c r="K255" s="56">
        <f t="shared" si="43"/>
        <v>17.975517600728377</v>
      </c>
      <c r="L255" s="56">
        <f t="shared" si="43"/>
        <v>17.975517600728377</v>
      </c>
      <c r="M255" s="56">
        <f t="shared" si="43"/>
        <v>17.975517600728377</v>
      </c>
      <c r="N255" s="56">
        <f t="shared" si="43"/>
        <v>17.975517600728377</v>
      </c>
      <c r="O255" s="56">
        <f t="shared" si="43"/>
        <v>17.975517600728377</v>
      </c>
      <c r="P255" s="56">
        <f t="shared" si="43"/>
        <v>17.975517600728377</v>
      </c>
      <c r="Q255" s="56">
        <f t="shared" si="43"/>
        <v>17.975517600728377</v>
      </c>
      <c r="R255" s="56">
        <f t="shared" si="43"/>
        <v>17.975517600728377</v>
      </c>
      <c r="S255" s="56">
        <f t="shared" si="43"/>
        <v>17.975517600728377</v>
      </c>
      <c r="T255" s="56">
        <f t="shared" si="43"/>
        <v>17.975517600728377</v>
      </c>
      <c r="U255" s="56">
        <f t="shared" si="43"/>
        <v>0</v>
      </c>
      <c r="V255" s="56">
        <f t="shared" si="43"/>
        <v>0</v>
      </c>
      <c r="W255" s="56">
        <f t="shared" si="43"/>
        <v>0</v>
      </c>
      <c r="X255" s="56">
        <f t="shared" si="43"/>
        <v>0</v>
      </c>
      <c r="Y255" s="56">
        <f t="shared" si="43"/>
        <v>0</v>
      </c>
      <c r="Z255" s="56">
        <f t="shared" si="43"/>
        <v>0</v>
      </c>
      <c r="AA255" s="56">
        <f t="shared" si="43"/>
        <v>0</v>
      </c>
      <c r="AB255" s="56">
        <f t="shared" si="43"/>
        <v>0</v>
      </c>
      <c r="AC255" s="56">
        <f t="shared" si="43"/>
        <v>0</v>
      </c>
      <c r="AD255" s="56">
        <f t="shared" si="43"/>
        <v>0</v>
      </c>
      <c r="AE255" s="56">
        <f t="shared" si="43"/>
        <v>0</v>
      </c>
      <c r="AF255" s="56">
        <f t="shared" si="43"/>
        <v>0</v>
      </c>
      <c r="AG255" s="56">
        <f t="shared" si="43"/>
        <v>0</v>
      </c>
      <c r="AH255" s="56">
        <f t="shared" si="43"/>
        <v>0</v>
      </c>
      <c r="AI255" s="56">
        <f t="shared" si="43"/>
        <v>0</v>
      </c>
      <c r="AJ255" s="56">
        <f t="shared" si="43"/>
        <v>0</v>
      </c>
      <c r="AK255" s="56">
        <f t="shared" si="43"/>
        <v>0</v>
      </c>
      <c r="AL255" s="56">
        <f t="shared" si="43"/>
        <v>0</v>
      </c>
      <c r="AM255" s="56">
        <f t="shared" si="43"/>
        <v>0</v>
      </c>
      <c r="AN255" s="56">
        <f t="shared" si="43"/>
        <v>0</v>
      </c>
      <c r="AO255" s="56">
        <f t="shared" si="43"/>
        <v>0</v>
      </c>
      <c r="AP255" s="56">
        <f t="shared" si="44"/>
        <v>0</v>
      </c>
    </row>
    <row r="256" spans="1:42" outlineLevel="1" x14ac:dyDescent="0.25">
      <c r="A256" s="12"/>
      <c r="B256" s="13"/>
      <c r="C256" s="14" t="s">
        <v>220</v>
      </c>
      <c r="D256" s="14"/>
      <c r="E256" s="70" t="s">
        <v>352</v>
      </c>
      <c r="F256" s="201">
        <f>Data!$E$488/1000</f>
        <v>1.5499642131509336E-2</v>
      </c>
      <c r="G256" s="56"/>
      <c r="H256" s="56"/>
      <c r="I256" s="56">
        <f t="shared" si="45"/>
        <v>797.92157693010063</v>
      </c>
      <c r="J256" s="56">
        <f t="shared" si="43"/>
        <v>797.92157693010063</v>
      </c>
      <c r="K256" s="56">
        <f t="shared" si="43"/>
        <v>797.92157693010063</v>
      </c>
      <c r="L256" s="56">
        <f t="shared" si="43"/>
        <v>797.92157693010063</v>
      </c>
      <c r="M256" s="56">
        <f t="shared" si="43"/>
        <v>797.92157693010063</v>
      </c>
      <c r="N256" s="56">
        <f t="shared" si="43"/>
        <v>797.92157693010063</v>
      </c>
      <c r="O256" s="56">
        <f t="shared" si="43"/>
        <v>797.92157693010063</v>
      </c>
      <c r="P256" s="56">
        <f t="shared" si="43"/>
        <v>797.92157693010063</v>
      </c>
      <c r="Q256" s="56">
        <f t="shared" si="43"/>
        <v>797.92157693010063</v>
      </c>
      <c r="R256" s="56">
        <f t="shared" si="43"/>
        <v>797.92157693010063</v>
      </c>
      <c r="S256" s="56">
        <f t="shared" si="43"/>
        <v>797.92157693010063</v>
      </c>
      <c r="T256" s="56">
        <f t="shared" si="43"/>
        <v>797.92157693010063</v>
      </c>
      <c r="U256" s="56">
        <f t="shared" si="43"/>
        <v>0</v>
      </c>
      <c r="V256" s="56">
        <f t="shared" si="43"/>
        <v>0</v>
      </c>
      <c r="W256" s="56">
        <f t="shared" si="43"/>
        <v>0</v>
      </c>
      <c r="X256" s="56">
        <f t="shared" si="43"/>
        <v>0</v>
      </c>
      <c r="Y256" s="56">
        <f t="shared" si="43"/>
        <v>0</v>
      </c>
      <c r="Z256" s="56">
        <f t="shared" si="43"/>
        <v>0</v>
      </c>
      <c r="AA256" s="56">
        <f t="shared" si="43"/>
        <v>0</v>
      </c>
      <c r="AB256" s="56">
        <f t="shared" si="43"/>
        <v>0</v>
      </c>
      <c r="AC256" s="56">
        <f t="shared" si="43"/>
        <v>0</v>
      </c>
      <c r="AD256" s="56">
        <f t="shared" si="43"/>
        <v>0</v>
      </c>
      <c r="AE256" s="56">
        <f t="shared" si="43"/>
        <v>0</v>
      </c>
      <c r="AF256" s="56">
        <f t="shared" si="43"/>
        <v>0</v>
      </c>
      <c r="AG256" s="56">
        <f t="shared" si="43"/>
        <v>0</v>
      </c>
      <c r="AH256" s="56">
        <f t="shared" si="43"/>
        <v>0</v>
      </c>
      <c r="AI256" s="56">
        <f t="shared" si="43"/>
        <v>0</v>
      </c>
      <c r="AJ256" s="56">
        <f t="shared" si="43"/>
        <v>0</v>
      </c>
      <c r="AK256" s="56">
        <f t="shared" si="43"/>
        <v>0</v>
      </c>
      <c r="AL256" s="56">
        <f t="shared" si="43"/>
        <v>0</v>
      </c>
      <c r="AM256" s="56">
        <f t="shared" si="43"/>
        <v>0</v>
      </c>
      <c r="AN256" s="56">
        <f t="shared" si="43"/>
        <v>0</v>
      </c>
      <c r="AO256" s="56">
        <f t="shared" si="43"/>
        <v>0</v>
      </c>
      <c r="AP256" s="56">
        <f t="shared" si="44"/>
        <v>0</v>
      </c>
    </row>
    <row r="257" spans="1:42" outlineLevel="1" x14ac:dyDescent="0.25">
      <c r="A257" s="12"/>
      <c r="B257" s="13"/>
      <c r="C257" s="14" t="s">
        <v>212</v>
      </c>
      <c r="D257" s="14"/>
      <c r="E257" s="70" t="s">
        <v>352</v>
      </c>
      <c r="F257" s="201">
        <f>Data!$E$489/1000</f>
        <v>1.7773516852597467E-3</v>
      </c>
      <c r="G257" s="56"/>
      <c r="H257" s="56"/>
      <c r="I257" s="56">
        <f t="shared" si="45"/>
        <v>91.498064757171761</v>
      </c>
      <c r="J257" s="56">
        <f t="shared" si="43"/>
        <v>91.498064757171761</v>
      </c>
      <c r="K257" s="56">
        <f t="shared" si="43"/>
        <v>91.498064757171761</v>
      </c>
      <c r="L257" s="56">
        <f t="shared" si="43"/>
        <v>91.498064757171761</v>
      </c>
      <c r="M257" s="56">
        <f t="shared" si="43"/>
        <v>91.498064757171761</v>
      </c>
      <c r="N257" s="56">
        <f t="shared" si="43"/>
        <v>91.498064757171761</v>
      </c>
      <c r="O257" s="56">
        <f t="shared" si="43"/>
        <v>91.498064757171761</v>
      </c>
      <c r="P257" s="56">
        <f t="shared" si="43"/>
        <v>91.498064757171761</v>
      </c>
      <c r="Q257" s="56">
        <f t="shared" si="43"/>
        <v>91.498064757171761</v>
      </c>
      <c r="R257" s="56">
        <f t="shared" si="43"/>
        <v>91.498064757171761</v>
      </c>
      <c r="S257" s="56">
        <f t="shared" si="43"/>
        <v>91.498064757171761</v>
      </c>
      <c r="T257" s="56">
        <f t="shared" si="43"/>
        <v>91.498064757171761</v>
      </c>
      <c r="U257" s="56">
        <f t="shared" si="43"/>
        <v>0</v>
      </c>
      <c r="V257" s="56">
        <f t="shared" si="43"/>
        <v>0</v>
      </c>
      <c r="W257" s="56">
        <f t="shared" si="43"/>
        <v>0</v>
      </c>
      <c r="X257" s="56">
        <f t="shared" si="43"/>
        <v>0</v>
      </c>
      <c r="Y257" s="56">
        <f t="shared" si="43"/>
        <v>0</v>
      </c>
      <c r="Z257" s="56">
        <f t="shared" si="43"/>
        <v>0</v>
      </c>
      <c r="AA257" s="56">
        <f t="shared" si="43"/>
        <v>0</v>
      </c>
      <c r="AB257" s="56">
        <f t="shared" si="43"/>
        <v>0</v>
      </c>
      <c r="AC257" s="56">
        <f t="shared" si="43"/>
        <v>0</v>
      </c>
      <c r="AD257" s="56">
        <f t="shared" si="43"/>
        <v>0</v>
      </c>
      <c r="AE257" s="56">
        <f t="shared" si="43"/>
        <v>0</v>
      </c>
      <c r="AF257" s="56">
        <f t="shared" si="43"/>
        <v>0</v>
      </c>
      <c r="AG257" s="56">
        <f t="shared" si="43"/>
        <v>0</v>
      </c>
      <c r="AH257" s="56">
        <f t="shared" si="43"/>
        <v>0</v>
      </c>
      <c r="AI257" s="56">
        <f t="shared" si="43"/>
        <v>0</v>
      </c>
      <c r="AJ257" s="56">
        <f t="shared" si="43"/>
        <v>0</v>
      </c>
      <c r="AK257" s="56">
        <f t="shared" si="43"/>
        <v>0</v>
      </c>
      <c r="AL257" s="56">
        <f t="shared" si="43"/>
        <v>0</v>
      </c>
      <c r="AM257" s="56">
        <f t="shared" si="43"/>
        <v>0</v>
      </c>
      <c r="AN257" s="56">
        <f t="shared" si="43"/>
        <v>0</v>
      </c>
      <c r="AO257" s="56">
        <f t="shared" si="43"/>
        <v>0</v>
      </c>
      <c r="AP257" s="56">
        <f t="shared" si="44"/>
        <v>0</v>
      </c>
    </row>
    <row r="258" spans="1:42" outlineLevel="1" x14ac:dyDescent="0.25">
      <c r="A258" s="12"/>
      <c r="B258" s="13"/>
      <c r="C258" s="14" t="s">
        <v>485</v>
      </c>
      <c r="D258" s="14"/>
      <c r="E258" s="70" t="s">
        <v>352</v>
      </c>
      <c r="F258" s="201">
        <f>Data!$E$490/1000</f>
        <v>3.8228686252612731E-4</v>
      </c>
      <c r="G258" s="56"/>
      <c r="H258" s="56"/>
      <c r="I258" s="56">
        <f t="shared" si="45"/>
        <v>19.680127682845033</v>
      </c>
      <c r="J258" s="56">
        <f t="shared" si="43"/>
        <v>19.680127682845033</v>
      </c>
      <c r="K258" s="56">
        <f t="shared" si="43"/>
        <v>19.680127682845033</v>
      </c>
      <c r="L258" s="56">
        <f t="shared" si="43"/>
        <v>19.680127682845033</v>
      </c>
      <c r="M258" s="56">
        <f t="shared" si="43"/>
        <v>19.680127682845033</v>
      </c>
      <c r="N258" s="56">
        <f t="shared" si="43"/>
        <v>19.680127682845033</v>
      </c>
      <c r="O258" s="56">
        <f t="shared" si="43"/>
        <v>19.680127682845033</v>
      </c>
      <c r="P258" s="56">
        <f t="shared" si="43"/>
        <v>19.680127682845033</v>
      </c>
      <c r="Q258" s="56">
        <f t="shared" si="43"/>
        <v>19.680127682845033</v>
      </c>
      <c r="R258" s="56">
        <f t="shared" si="43"/>
        <v>19.680127682845033</v>
      </c>
      <c r="S258" s="56">
        <f t="shared" si="43"/>
        <v>19.680127682845033</v>
      </c>
      <c r="T258" s="56">
        <f t="shared" si="43"/>
        <v>19.680127682845033</v>
      </c>
      <c r="U258" s="56">
        <f t="shared" si="43"/>
        <v>0</v>
      </c>
      <c r="V258" s="56">
        <f t="shared" si="43"/>
        <v>0</v>
      </c>
      <c r="W258" s="56">
        <f t="shared" si="43"/>
        <v>0</v>
      </c>
      <c r="X258" s="56">
        <f t="shared" si="43"/>
        <v>0</v>
      </c>
      <c r="Y258" s="56">
        <f t="shared" si="43"/>
        <v>0</v>
      </c>
      <c r="Z258" s="56">
        <f t="shared" si="43"/>
        <v>0</v>
      </c>
      <c r="AA258" s="56">
        <f t="shared" si="43"/>
        <v>0</v>
      </c>
      <c r="AB258" s="56">
        <f t="shared" si="43"/>
        <v>0</v>
      </c>
      <c r="AC258" s="56">
        <f t="shared" si="43"/>
        <v>0</v>
      </c>
      <c r="AD258" s="56">
        <f t="shared" si="43"/>
        <v>0</v>
      </c>
      <c r="AE258" s="56">
        <f t="shared" si="43"/>
        <v>0</v>
      </c>
      <c r="AF258" s="56">
        <f t="shared" si="43"/>
        <v>0</v>
      </c>
      <c r="AG258" s="56">
        <f t="shared" si="43"/>
        <v>0</v>
      </c>
      <c r="AH258" s="56">
        <f t="shared" si="43"/>
        <v>0</v>
      </c>
      <c r="AI258" s="56">
        <f t="shared" si="43"/>
        <v>0</v>
      </c>
      <c r="AJ258" s="56">
        <f t="shared" si="43"/>
        <v>0</v>
      </c>
      <c r="AK258" s="56">
        <f t="shared" si="43"/>
        <v>0</v>
      </c>
      <c r="AL258" s="56">
        <f t="shared" si="43"/>
        <v>0</v>
      </c>
      <c r="AM258" s="56">
        <f t="shared" si="43"/>
        <v>0</v>
      </c>
      <c r="AN258" s="56">
        <f t="shared" si="43"/>
        <v>0</v>
      </c>
      <c r="AO258" s="56">
        <f t="shared" si="43"/>
        <v>0</v>
      </c>
      <c r="AP258" s="56">
        <f t="shared" si="44"/>
        <v>0</v>
      </c>
    </row>
    <row r="259" spans="1:42" outlineLevel="1" x14ac:dyDescent="0.25">
      <c r="A259" s="12"/>
      <c r="B259" s="13"/>
      <c r="C259" s="14" t="s">
        <v>214</v>
      </c>
      <c r="D259" s="14"/>
      <c r="E259" s="70" t="s">
        <v>352</v>
      </c>
      <c r="F259" s="201">
        <f>Data!$E$491/1000</f>
        <v>4.1005175397632309E-5</v>
      </c>
      <c r="G259" s="56"/>
      <c r="H259" s="56"/>
      <c r="I259" s="56">
        <f t="shared" si="45"/>
        <v>2.1109464294701112</v>
      </c>
      <c r="J259" s="56">
        <f t="shared" si="43"/>
        <v>2.1109464294701112</v>
      </c>
      <c r="K259" s="56">
        <f t="shared" si="43"/>
        <v>2.1109464294701112</v>
      </c>
      <c r="L259" s="56">
        <f t="shared" si="43"/>
        <v>2.1109464294701112</v>
      </c>
      <c r="M259" s="56">
        <f t="shared" si="43"/>
        <v>2.1109464294701112</v>
      </c>
      <c r="N259" s="56">
        <f t="shared" si="43"/>
        <v>2.1109464294701112</v>
      </c>
      <c r="O259" s="56">
        <f t="shared" si="43"/>
        <v>2.1109464294701112</v>
      </c>
      <c r="P259" s="56">
        <f t="shared" si="43"/>
        <v>2.1109464294701112</v>
      </c>
      <c r="Q259" s="56">
        <f t="shared" si="43"/>
        <v>2.1109464294701112</v>
      </c>
      <c r="R259" s="56">
        <f t="shared" si="43"/>
        <v>2.1109464294701112</v>
      </c>
      <c r="S259" s="56">
        <f t="shared" si="43"/>
        <v>2.1109464294701112</v>
      </c>
      <c r="T259" s="56">
        <f t="shared" si="43"/>
        <v>2.1109464294701112</v>
      </c>
      <c r="U259" s="56">
        <f t="shared" si="43"/>
        <v>0</v>
      </c>
      <c r="V259" s="56">
        <f t="shared" si="43"/>
        <v>0</v>
      </c>
      <c r="W259" s="56">
        <f t="shared" si="43"/>
        <v>0</v>
      </c>
      <c r="X259" s="56">
        <f t="shared" si="43"/>
        <v>0</v>
      </c>
      <c r="Y259" s="56">
        <f t="shared" si="43"/>
        <v>0</v>
      </c>
      <c r="Z259" s="56">
        <f t="shared" si="43"/>
        <v>0</v>
      </c>
      <c r="AA259" s="56">
        <f t="shared" si="43"/>
        <v>0</v>
      </c>
      <c r="AB259" s="56">
        <f t="shared" si="43"/>
        <v>0</v>
      </c>
      <c r="AC259" s="56">
        <f t="shared" si="43"/>
        <v>0</v>
      </c>
      <c r="AD259" s="56">
        <f t="shared" si="43"/>
        <v>0</v>
      </c>
      <c r="AE259" s="56">
        <f t="shared" si="43"/>
        <v>0</v>
      </c>
      <c r="AF259" s="56">
        <f t="shared" si="43"/>
        <v>0</v>
      </c>
      <c r="AG259" s="56">
        <f t="shared" si="43"/>
        <v>0</v>
      </c>
      <c r="AH259" s="56">
        <f t="shared" si="43"/>
        <v>0</v>
      </c>
      <c r="AI259" s="56">
        <f t="shared" si="43"/>
        <v>0</v>
      </c>
      <c r="AJ259" s="56">
        <f t="shared" si="43"/>
        <v>0</v>
      </c>
      <c r="AK259" s="56">
        <f t="shared" si="43"/>
        <v>0</v>
      </c>
      <c r="AL259" s="56">
        <f t="shared" si="43"/>
        <v>0</v>
      </c>
      <c r="AM259" s="56">
        <f t="shared" si="43"/>
        <v>0</v>
      </c>
      <c r="AN259" s="56">
        <f t="shared" si="43"/>
        <v>0</v>
      </c>
      <c r="AO259" s="56">
        <f t="shared" si="43"/>
        <v>0</v>
      </c>
      <c r="AP259" s="56">
        <f t="shared" si="44"/>
        <v>0</v>
      </c>
    </row>
    <row r="260" spans="1:42" outlineLevel="1" x14ac:dyDescent="0.25">
      <c r="A260" s="12"/>
      <c r="B260" s="13"/>
      <c r="C260" s="14"/>
      <c r="D260" s="14"/>
      <c r="E260" s="15"/>
      <c r="F260" s="16"/>
      <c r="G260" s="159"/>
      <c r="H260" s="56"/>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row>
    <row r="261" spans="1:42" outlineLevel="1" x14ac:dyDescent="0.25">
      <c r="A261" s="12"/>
      <c r="B261" s="13"/>
      <c r="C261" s="14" t="s">
        <v>205</v>
      </c>
      <c r="D261" s="14"/>
      <c r="E261" s="70" t="s">
        <v>474</v>
      </c>
      <c r="F261" s="200">
        <f>Data!$E$35/1000</f>
        <v>3.4099438202247192E-3</v>
      </c>
      <c r="G261" s="56"/>
      <c r="H261" s="56"/>
      <c r="I261" s="56">
        <f>I253*$F261</f>
        <v>0.77158032385198883</v>
      </c>
      <c r="J261" s="56">
        <f t="shared" ref="J261:AO261" si="46">J253*$F261</f>
        <v>0.77158032385198883</v>
      </c>
      <c r="K261" s="56">
        <f t="shared" si="46"/>
        <v>0.77158032385198883</v>
      </c>
      <c r="L261" s="56">
        <f t="shared" si="46"/>
        <v>0.77158032385198883</v>
      </c>
      <c r="M261" s="56">
        <f t="shared" si="46"/>
        <v>0.77158032385198883</v>
      </c>
      <c r="N261" s="56">
        <f t="shared" si="46"/>
        <v>0.77158032385198883</v>
      </c>
      <c r="O261" s="56">
        <f t="shared" si="46"/>
        <v>0.77158032385198883</v>
      </c>
      <c r="P261" s="56">
        <f t="shared" si="46"/>
        <v>0.77158032385198883</v>
      </c>
      <c r="Q261" s="56">
        <f t="shared" si="46"/>
        <v>0.77158032385198883</v>
      </c>
      <c r="R261" s="56">
        <f t="shared" si="46"/>
        <v>0.77158032385198883</v>
      </c>
      <c r="S261" s="56">
        <f t="shared" si="46"/>
        <v>0.77158032385198883</v>
      </c>
      <c r="T261" s="56">
        <f t="shared" si="46"/>
        <v>0.77158032385198883</v>
      </c>
      <c r="U261" s="56">
        <f t="shared" si="46"/>
        <v>0</v>
      </c>
      <c r="V261" s="56">
        <f t="shared" si="46"/>
        <v>0</v>
      </c>
      <c r="W261" s="56">
        <f t="shared" si="46"/>
        <v>0</v>
      </c>
      <c r="X261" s="56">
        <f t="shared" si="46"/>
        <v>0</v>
      </c>
      <c r="Y261" s="56">
        <f t="shared" si="46"/>
        <v>0</v>
      </c>
      <c r="Z261" s="56">
        <f t="shared" si="46"/>
        <v>0</v>
      </c>
      <c r="AA261" s="56">
        <f t="shared" si="46"/>
        <v>0</v>
      </c>
      <c r="AB261" s="56">
        <f t="shared" si="46"/>
        <v>0</v>
      </c>
      <c r="AC261" s="56">
        <f t="shared" si="46"/>
        <v>0</v>
      </c>
      <c r="AD261" s="56">
        <f t="shared" si="46"/>
        <v>0</v>
      </c>
      <c r="AE261" s="56">
        <f t="shared" si="46"/>
        <v>0</v>
      </c>
      <c r="AF261" s="56">
        <f t="shared" si="46"/>
        <v>0</v>
      </c>
      <c r="AG261" s="56">
        <f t="shared" si="46"/>
        <v>0</v>
      </c>
      <c r="AH261" s="56">
        <f t="shared" si="46"/>
        <v>0</v>
      </c>
      <c r="AI261" s="56">
        <f t="shared" si="46"/>
        <v>0</v>
      </c>
      <c r="AJ261" s="56">
        <f t="shared" si="46"/>
        <v>0</v>
      </c>
      <c r="AK261" s="56">
        <f t="shared" si="46"/>
        <v>0</v>
      </c>
      <c r="AL261" s="56">
        <f t="shared" si="46"/>
        <v>0</v>
      </c>
      <c r="AM261" s="56">
        <f t="shared" si="46"/>
        <v>0</v>
      </c>
      <c r="AN261" s="56">
        <f t="shared" si="46"/>
        <v>0</v>
      </c>
      <c r="AO261" s="56">
        <f t="shared" si="46"/>
        <v>0</v>
      </c>
      <c r="AP261" s="56">
        <f>AP253*$F$735</f>
        <v>0</v>
      </c>
    </row>
    <row r="262" spans="1:42" outlineLevel="1" x14ac:dyDescent="0.25">
      <c r="A262" s="12"/>
      <c r="B262" s="13"/>
      <c r="C262" s="14" t="s">
        <v>484</v>
      </c>
      <c r="D262" s="14"/>
      <c r="E262" s="70" t="s">
        <v>474</v>
      </c>
      <c r="F262" s="200"/>
      <c r="G262" s="56"/>
      <c r="H262" s="56"/>
      <c r="I262" s="56">
        <f>I254*Data!H$16/1000</f>
        <v>13843.910969316496</v>
      </c>
      <c r="J262" s="56">
        <f>J254*Data!I$16/1000</f>
        <v>15271.118285740877</v>
      </c>
      <c r="K262" s="56">
        <f>K254*Data!J$16/1000</f>
        <v>16555.60487052282</v>
      </c>
      <c r="L262" s="56">
        <f>L254*Data!K$16/1000</f>
        <v>17982.812186947202</v>
      </c>
      <c r="M262" s="56">
        <f>M254*Data!L$16/1000</f>
        <v>19410.019503371583</v>
      </c>
      <c r="N262" s="56">
        <f>N254*Data!M$16/1000</f>
        <v>20837.226819795964</v>
      </c>
      <c r="O262" s="56">
        <f>O254*Data!N$16/1000</f>
        <v>22121.713404577902</v>
      </c>
      <c r="P262" s="56">
        <f>P254*Data!O$16/1000</f>
        <v>22978.037794432537</v>
      </c>
      <c r="Q262" s="56">
        <f>Q254*Data!P$16/1000</f>
        <v>23834.362184287162</v>
      </c>
      <c r="R262" s="56">
        <f>R254*Data!Q$16/1000</f>
        <v>24833.407305784229</v>
      </c>
      <c r="S262" s="56">
        <f>S254*Data!R$16/1000</f>
        <v>25689.731695638857</v>
      </c>
      <c r="T262" s="56">
        <f>T254*Data!S$16/1000</f>
        <v>26546.056085493485</v>
      </c>
      <c r="U262" s="56">
        <f>U254*Data!T$16/1000</f>
        <v>0</v>
      </c>
      <c r="V262" s="56">
        <f>V254*Data!U$16/1000</f>
        <v>0</v>
      </c>
      <c r="W262" s="56">
        <f>W254*Data!V$16/1000</f>
        <v>0</v>
      </c>
      <c r="X262" s="56">
        <f>X254*Data!W$16/1000</f>
        <v>0</v>
      </c>
      <c r="Y262" s="56">
        <f>Y254*Data!X$16/1000</f>
        <v>0</v>
      </c>
      <c r="Z262" s="56">
        <f>Z254*Data!Y$16/1000</f>
        <v>0</v>
      </c>
      <c r="AA262" s="56">
        <f>AA254*Data!Z$16/1000</f>
        <v>0</v>
      </c>
      <c r="AB262" s="56">
        <f>AB254*Data!AA$16/1000</f>
        <v>0</v>
      </c>
      <c r="AC262" s="56">
        <f>AC254*Data!AB$16/1000</f>
        <v>0</v>
      </c>
      <c r="AD262" s="56">
        <f>AD254*Data!AC$16/1000</f>
        <v>0</v>
      </c>
      <c r="AE262" s="56">
        <f>AE254*Data!AD$16/1000</f>
        <v>0</v>
      </c>
      <c r="AF262" s="56">
        <f>AF254*Data!AE$16/1000</f>
        <v>0</v>
      </c>
      <c r="AG262" s="56">
        <f>AG254*Data!AF$16/1000</f>
        <v>0</v>
      </c>
      <c r="AH262" s="56">
        <f>AH254*Data!AG$16/1000</f>
        <v>0</v>
      </c>
      <c r="AI262" s="56">
        <f>AI254*Data!AH$16/1000</f>
        <v>0</v>
      </c>
      <c r="AJ262" s="56">
        <f>AJ254*Data!AI$16/1000</f>
        <v>0</v>
      </c>
      <c r="AK262" s="56">
        <f>AK254*Data!AJ$16/1000</f>
        <v>0</v>
      </c>
      <c r="AL262" s="56">
        <f>AL254*Data!AK$16/1000</f>
        <v>0</v>
      </c>
      <c r="AM262" s="56">
        <f>AM254*Data!AL$16/1000</f>
        <v>0</v>
      </c>
      <c r="AN262" s="56">
        <f>AN254*Data!AM$16/1000</f>
        <v>0</v>
      </c>
      <c r="AO262" s="56">
        <f>AO254*Data!AN$16/1000</f>
        <v>0</v>
      </c>
      <c r="AP262" s="56">
        <f>AP254*Data!AO$16/1000</f>
        <v>0</v>
      </c>
    </row>
    <row r="263" spans="1:42" outlineLevel="1" x14ac:dyDescent="0.25">
      <c r="A263" s="12"/>
      <c r="B263" s="13"/>
      <c r="C263" s="14" t="s">
        <v>285</v>
      </c>
      <c r="D263" s="14"/>
      <c r="E263" s="70" t="s">
        <v>474</v>
      </c>
      <c r="F263" s="200">
        <f>Data!$E$36/1000</f>
        <v>1.0822865168539326</v>
      </c>
      <c r="G263" s="56"/>
      <c r="H263" s="56"/>
      <c r="I263" s="56">
        <f>I255*$F263</f>
        <v>19.454660332738875</v>
      </c>
      <c r="J263" s="56">
        <f t="shared" ref="J263:AO267" si="47">J255*$F263</f>
        <v>19.454660332738875</v>
      </c>
      <c r="K263" s="56">
        <f t="shared" si="47"/>
        <v>19.454660332738875</v>
      </c>
      <c r="L263" s="56">
        <f t="shared" si="47"/>
        <v>19.454660332738875</v>
      </c>
      <c r="M263" s="56">
        <f t="shared" si="47"/>
        <v>19.454660332738875</v>
      </c>
      <c r="N263" s="56">
        <f t="shared" si="47"/>
        <v>19.454660332738875</v>
      </c>
      <c r="O263" s="56">
        <f t="shared" si="47"/>
        <v>19.454660332738875</v>
      </c>
      <c r="P263" s="56">
        <f t="shared" si="47"/>
        <v>19.454660332738875</v>
      </c>
      <c r="Q263" s="56">
        <f t="shared" si="47"/>
        <v>19.454660332738875</v>
      </c>
      <c r="R263" s="56">
        <f t="shared" si="47"/>
        <v>19.454660332738875</v>
      </c>
      <c r="S263" s="56">
        <f t="shared" si="47"/>
        <v>19.454660332738875</v>
      </c>
      <c r="T263" s="56">
        <f t="shared" si="47"/>
        <v>19.454660332738875</v>
      </c>
      <c r="U263" s="56">
        <f t="shared" si="47"/>
        <v>0</v>
      </c>
      <c r="V263" s="56">
        <f t="shared" si="47"/>
        <v>0</v>
      </c>
      <c r="W263" s="56">
        <f t="shared" si="47"/>
        <v>0</v>
      </c>
      <c r="X263" s="56">
        <f t="shared" si="47"/>
        <v>0</v>
      </c>
      <c r="Y263" s="56">
        <f t="shared" si="47"/>
        <v>0</v>
      </c>
      <c r="Z263" s="56">
        <f t="shared" si="47"/>
        <v>0</v>
      </c>
      <c r="AA263" s="56">
        <f t="shared" si="47"/>
        <v>0</v>
      </c>
      <c r="AB263" s="56">
        <f t="shared" si="47"/>
        <v>0</v>
      </c>
      <c r="AC263" s="56">
        <f t="shared" si="47"/>
        <v>0</v>
      </c>
      <c r="AD263" s="56">
        <f t="shared" si="47"/>
        <v>0</v>
      </c>
      <c r="AE263" s="56">
        <f t="shared" si="47"/>
        <v>0</v>
      </c>
      <c r="AF263" s="56">
        <f t="shared" si="47"/>
        <v>0</v>
      </c>
      <c r="AG263" s="56">
        <f t="shared" si="47"/>
        <v>0</v>
      </c>
      <c r="AH263" s="56">
        <f t="shared" si="47"/>
        <v>0</v>
      </c>
      <c r="AI263" s="56">
        <f t="shared" si="47"/>
        <v>0</v>
      </c>
      <c r="AJ263" s="56">
        <f t="shared" si="47"/>
        <v>0</v>
      </c>
      <c r="AK263" s="56">
        <f t="shared" si="47"/>
        <v>0</v>
      </c>
      <c r="AL263" s="56">
        <f t="shared" si="47"/>
        <v>0</v>
      </c>
      <c r="AM263" s="56">
        <f t="shared" si="47"/>
        <v>0</v>
      </c>
      <c r="AN263" s="56">
        <f t="shared" si="47"/>
        <v>0</v>
      </c>
      <c r="AO263" s="56">
        <f t="shared" si="47"/>
        <v>0</v>
      </c>
      <c r="AP263" s="56">
        <f>AP255*$F$737</f>
        <v>0</v>
      </c>
    </row>
    <row r="264" spans="1:42" outlineLevel="1" x14ac:dyDescent="0.25">
      <c r="A264" s="12"/>
      <c r="B264" s="13"/>
      <c r="C264" s="14" t="s">
        <v>220</v>
      </c>
      <c r="D264" s="14"/>
      <c r="E264" s="70" t="s">
        <v>474</v>
      </c>
      <c r="F264" s="200">
        <f>Data!$E$37/1000</f>
        <v>371.00188764044947</v>
      </c>
      <c r="G264" s="56"/>
      <c r="H264" s="56"/>
      <c r="I264" s="56">
        <f t="shared" ref="I264:X267" si="48">I256*$F264</f>
        <v>296030.41123011144</v>
      </c>
      <c r="J264" s="56">
        <f t="shared" si="48"/>
        <v>296030.41123011144</v>
      </c>
      <c r="K264" s="56">
        <f t="shared" si="48"/>
        <v>296030.41123011144</v>
      </c>
      <c r="L264" s="56">
        <f t="shared" si="48"/>
        <v>296030.41123011144</v>
      </c>
      <c r="M264" s="56">
        <f t="shared" si="48"/>
        <v>296030.41123011144</v>
      </c>
      <c r="N264" s="56">
        <f t="shared" si="48"/>
        <v>296030.41123011144</v>
      </c>
      <c r="O264" s="56">
        <f t="shared" si="48"/>
        <v>296030.41123011144</v>
      </c>
      <c r="P264" s="56">
        <f t="shared" si="48"/>
        <v>296030.41123011144</v>
      </c>
      <c r="Q264" s="56">
        <f t="shared" si="48"/>
        <v>296030.41123011144</v>
      </c>
      <c r="R264" s="56">
        <f t="shared" si="48"/>
        <v>296030.41123011144</v>
      </c>
      <c r="S264" s="56">
        <f t="shared" si="48"/>
        <v>296030.41123011144</v>
      </c>
      <c r="T264" s="56">
        <f t="shared" si="48"/>
        <v>296030.41123011144</v>
      </c>
      <c r="U264" s="56">
        <f t="shared" si="48"/>
        <v>0</v>
      </c>
      <c r="V264" s="56">
        <f t="shared" si="48"/>
        <v>0</v>
      </c>
      <c r="W264" s="56">
        <f t="shared" si="48"/>
        <v>0</v>
      </c>
      <c r="X264" s="56">
        <f t="shared" si="48"/>
        <v>0</v>
      </c>
      <c r="Y264" s="56">
        <f t="shared" si="47"/>
        <v>0</v>
      </c>
      <c r="Z264" s="56">
        <f t="shared" si="47"/>
        <v>0</v>
      </c>
      <c r="AA264" s="56">
        <f t="shared" si="47"/>
        <v>0</v>
      </c>
      <c r="AB264" s="56">
        <f t="shared" si="47"/>
        <v>0</v>
      </c>
      <c r="AC264" s="56">
        <f t="shared" si="47"/>
        <v>0</v>
      </c>
      <c r="AD264" s="56">
        <f t="shared" si="47"/>
        <v>0</v>
      </c>
      <c r="AE264" s="56">
        <f t="shared" si="47"/>
        <v>0</v>
      </c>
      <c r="AF264" s="56">
        <f t="shared" si="47"/>
        <v>0</v>
      </c>
      <c r="AG264" s="56">
        <f t="shared" si="47"/>
        <v>0</v>
      </c>
      <c r="AH264" s="56">
        <f t="shared" si="47"/>
        <v>0</v>
      </c>
      <c r="AI264" s="56">
        <f t="shared" si="47"/>
        <v>0</v>
      </c>
      <c r="AJ264" s="56">
        <f t="shared" si="47"/>
        <v>0</v>
      </c>
      <c r="AK264" s="56">
        <f t="shared" si="47"/>
        <v>0</v>
      </c>
      <c r="AL264" s="56">
        <f t="shared" si="47"/>
        <v>0</v>
      </c>
      <c r="AM264" s="56">
        <f t="shared" si="47"/>
        <v>0</v>
      </c>
      <c r="AN264" s="56">
        <f t="shared" si="47"/>
        <v>0</v>
      </c>
      <c r="AO264" s="56">
        <f t="shared" si="47"/>
        <v>0</v>
      </c>
      <c r="AP264" s="56">
        <f>AP256*$F$738</f>
        <v>0</v>
      </c>
    </row>
    <row r="265" spans="1:42" outlineLevel="1" x14ac:dyDescent="0.25">
      <c r="A265" s="12"/>
      <c r="B265" s="13"/>
      <c r="C265" s="14" t="s">
        <v>212</v>
      </c>
      <c r="D265" s="14"/>
      <c r="E265" s="70" t="s">
        <v>474</v>
      </c>
      <c r="F265" s="200">
        <f>Data!$E$39/1000</f>
        <v>0</v>
      </c>
      <c r="G265" s="56"/>
      <c r="H265" s="56"/>
      <c r="I265" s="56">
        <f t="shared" si="48"/>
        <v>0</v>
      </c>
      <c r="J265" s="56">
        <f t="shared" si="47"/>
        <v>0</v>
      </c>
      <c r="K265" s="56">
        <f t="shared" si="47"/>
        <v>0</v>
      </c>
      <c r="L265" s="56">
        <f t="shared" si="47"/>
        <v>0</v>
      </c>
      <c r="M265" s="56">
        <f t="shared" si="47"/>
        <v>0</v>
      </c>
      <c r="N265" s="56">
        <f t="shared" si="47"/>
        <v>0</v>
      </c>
      <c r="O265" s="56">
        <f t="shared" si="47"/>
        <v>0</v>
      </c>
      <c r="P265" s="56">
        <f t="shared" si="47"/>
        <v>0</v>
      </c>
      <c r="Q265" s="56">
        <f t="shared" si="47"/>
        <v>0</v>
      </c>
      <c r="R265" s="56">
        <f t="shared" si="47"/>
        <v>0</v>
      </c>
      <c r="S265" s="56">
        <f t="shared" si="47"/>
        <v>0</v>
      </c>
      <c r="T265" s="56">
        <f t="shared" si="47"/>
        <v>0</v>
      </c>
      <c r="U265" s="56">
        <f t="shared" si="47"/>
        <v>0</v>
      </c>
      <c r="V265" s="56">
        <f t="shared" si="47"/>
        <v>0</v>
      </c>
      <c r="W265" s="56">
        <f t="shared" si="47"/>
        <v>0</v>
      </c>
      <c r="X265" s="56">
        <f t="shared" si="47"/>
        <v>0</v>
      </c>
      <c r="Y265" s="56">
        <f t="shared" si="47"/>
        <v>0</v>
      </c>
      <c r="Z265" s="56">
        <f t="shared" si="47"/>
        <v>0</v>
      </c>
      <c r="AA265" s="56">
        <f t="shared" si="47"/>
        <v>0</v>
      </c>
      <c r="AB265" s="56">
        <f t="shared" si="47"/>
        <v>0</v>
      </c>
      <c r="AC265" s="56">
        <f t="shared" si="47"/>
        <v>0</v>
      </c>
      <c r="AD265" s="56">
        <f t="shared" si="47"/>
        <v>0</v>
      </c>
      <c r="AE265" s="56">
        <f t="shared" si="47"/>
        <v>0</v>
      </c>
      <c r="AF265" s="56">
        <f t="shared" si="47"/>
        <v>0</v>
      </c>
      <c r="AG265" s="56">
        <f t="shared" si="47"/>
        <v>0</v>
      </c>
      <c r="AH265" s="56">
        <f t="shared" si="47"/>
        <v>0</v>
      </c>
      <c r="AI265" s="56">
        <f t="shared" si="47"/>
        <v>0</v>
      </c>
      <c r="AJ265" s="56">
        <f t="shared" si="47"/>
        <v>0</v>
      </c>
      <c r="AK265" s="56">
        <f t="shared" si="47"/>
        <v>0</v>
      </c>
      <c r="AL265" s="56">
        <f t="shared" si="47"/>
        <v>0</v>
      </c>
      <c r="AM265" s="56">
        <f t="shared" si="47"/>
        <v>0</v>
      </c>
      <c r="AN265" s="56">
        <f t="shared" si="47"/>
        <v>0</v>
      </c>
      <c r="AO265" s="56">
        <f t="shared" si="47"/>
        <v>0</v>
      </c>
      <c r="AP265" s="56">
        <f>AP257*$F$739</f>
        <v>0</v>
      </c>
    </row>
    <row r="266" spans="1:42" outlineLevel="1" x14ac:dyDescent="0.25">
      <c r="A266" s="12"/>
      <c r="B266" s="13"/>
      <c r="C266" s="14" t="s">
        <v>485</v>
      </c>
      <c r="D266" s="14"/>
      <c r="E266" s="70" t="s">
        <v>474</v>
      </c>
      <c r="F266" s="200">
        <f>Data!$E$40/1000</f>
        <v>605.20914606741576</v>
      </c>
      <c r="G266" s="56"/>
      <c r="H266" s="56"/>
      <c r="I266" s="56">
        <f t="shared" si="48"/>
        <v>11910.593269432351</v>
      </c>
      <c r="J266" s="56">
        <f t="shared" si="47"/>
        <v>11910.593269432351</v>
      </c>
      <c r="K266" s="56">
        <f t="shared" si="47"/>
        <v>11910.593269432351</v>
      </c>
      <c r="L266" s="56">
        <f t="shared" si="47"/>
        <v>11910.593269432351</v>
      </c>
      <c r="M266" s="56">
        <f t="shared" si="47"/>
        <v>11910.593269432351</v>
      </c>
      <c r="N266" s="56">
        <f t="shared" si="47"/>
        <v>11910.593269432351</v>
      </c>
      <c r="O266" s="56">
        <f t="shared" si="47"/>
        <v>11910.593269432351</v>
      </c>
      <c r="P266" s="56">
        <f t="shared" si="47"/>
        <v>11910.593269432351</v>
      </c>
      <c r="Q266" s="56">
        <f t="shared" si="47"/>
        <v>11910.593269432351</v>
      </c>
      <c r="R266" s="56">
        <f t="shared" si="47"/>
        <v>11910.593269432351</v>
      </c>
      <c r="S266" s="56">
        <f t="shared" si="47"/>
        <v>11910.593269432351</v>
      </c>
      <c r="T266" s="56">
        <f t="shared" si="47"/>
        <v>11910.593269432351</v>
      </c>
      <c r="U266" s="56">
        <f t="shared" si="47"/>
        <v>0</v>
      </c>
      <c r="V266" s="56">
        <f t="shared" si="47"/>
        <v>0</v>
      </c>
      <c r="W266" s="56">
        <f t="shared" si="47"/>
        <v>0</v>
      </c>
      <c r="X266" s="56">
        <f t="shared" si="47"/>
        <v>0</v>
      </c>
      <c r="Y266" s="56">
        <f t="shared" si="47"/>
        <v>0</v>
      </c>
      <c r="Z266" s="56">
        <f t="shared" si="47"/>
        <v>0</v>
      </c>
      <c r="AA266" s="56">
        <f t="shared" si="47"/>
        <v>0</v>
      </c>
      <c r="AB266" s="56">
        <f t="shared" si="47"/>
        <v>0</v>
      </c>
      <c r="AC266" s="56">
        <f t="shared" si="47"/>
        <v>0</v>
      </c>
      <c r="AD266" s="56">
        <f t="shared" si="47"/>
        <v>0</v>
      </c>
      <c r="AE266" s="56">
        <f t="shared" si="47"/>
        <v>0</v>
      </c>
      <c r="AF266" s="56">
        <f t="shared" si="47"/>
        <v>0</v>
      </c>
      <c r="AG266" s="56">
        <f t="shared" si="47"/>
        <v>0</v>
      </c>
      <c r="AH266" s="56">
        <f t="shared" si="47"/>
        <v>0</v>
      </c>
      <c r="AI266" s="56">
        <f t="shared" si="47"/>
        <v>0</v>
      </c>
      <c r="AJ266" s="56">
        <f t="shared" si="47"/>
        <v>0</v>
      </c>
      <c r="AK266" s="56">
        <f t="shared" si="47"/>
        <v>0</v>
      </c>
      <c r="AL266" s="56">
        <f t="shared" si="47"/>
        <v>0</v>
      </c>
      <c r="AM266" s="56">
        <f t="shared" si="47"/>
        <v>0</v>
      </c>
      <c r="AN266" s="56">
        <f t="shared" si="47"/>
        <v>0</v>
      </c>
      <c r="AO266" s="56">
        <f t="shared" si="47"/>
        <v>0</v>
      </c>
      <c r="AP266" s="56">
        <f>AP258*$F$740</f>
        <v>0</v>
      </c>
    </row>
    <row r="267" spans="1:42" outlineLevel="1" x14ac:dyDescent="0.25">
      <c r="A267" s="12"/>
      <c r="B267" s="13"/>
      <c r="C267" s="14" t="s">
        <v>214</v>
      </c>
      <c r="D267" s="14"/>
      <c r="E267" s="70" t="s">
        <v>474</v>
      </c>
      <c r="F267" s="200">
        <f>Data!$E$41/1000</f>
        <v>0</v>
      </c>
      <c r="G267" s="56"/>
      <c r="H267" s="56"/>
      <c r="I267" s="56">
        <f t="shared" si="48"/>
        <v>0</v>
      </c>
      <c r="J267" s="56">
        <f t="shared" si="47"/>
        <v>0</v>
      </c>
      <c r="K267" s="56">
        <f t="shared" si="47"/>
        <v>0</v>
      </c>
      <c r="L267" s="56">
        <f t="shared" si="47"/>
        <v>0</v>
      </c>
      <c r="M267" s="56">
        <f t="shared" si="47"/>
        <v>0</v>
      </c>
      <c r="N267" s="56">
        <f t="shared" si="47"/>
        <v>0</v>
      </c>
      <c r="O267" s="56">
        <f t="shared" si="47"/>
        <v>0</v>
      </c>
      <c r="P267" s="56">
        <f t="shared" si="47"/>
        <v>0</v>
      </c>
      <c r="Q267" s="56">
        <f t="shared" si="47"/>
        <v>0</v>
      </c>
      <c r="R267" s="56">
        <f t="shared" si="47"/>
        <v>0</v>
      </c>
      <c r="S267" s="56">
        <f t="shared" si="47"/>
        <v>0</v>
      </c>
      <c r="T267" s="56">
        <f t="shared" si="47"/>
        <v>0</v>
      </c>
      <c r="U267" s="56">
        <f t="shared" si="47"/>
        <v>0</v>
      </c>
      <c r="V267" s="56">
        <f t="shared" si="47"/>
        <v>0</v>
      </c>
      <c r="W267" s="56">
        <f t="shared" si="47"/>
        <v>0</v>
      </c>
      <c r="X267" s="56">
        <f t="shared" si="47"/>
        <v>0</v>
      </c>
      <c r="Y267" s="56">
        <f t="shared" si="47"/>
        <v>0</v>
      </c>
      <c r="Z267" s="56">
        <f t="shared" si="47"/>
        <v>0</v>
      </c>
      <c r="AA267" s="56">
        <f t="shared" si="47"/>
        <v>0</v>
      </c>
      <c r="AB267" s="56">
        <f t="shared" si="47"/>
        <v>0</v>
      </c>
      <c r="AC267" s="56">
        <f t="shared" si="47"/>
        <v>0</v>
      </c>
      <c r="AD267" s="56">
        <f t="shared" si="47"/>
        <v>0</v>
      </c>
      <c r="AE267" s="56">
        <f t="shared" si="47"/>
        <v>0</v>
      </c>
      <c r="AF267" s="56">
        <f t="shared" si="47"/>
        <v>0</v>
      </c>
      <c r="AG267" s="56">
        <f t="shared" si="47"/>
        <v>0</v>
      </c>
      <c r="AH267" s="56">
        <f t="shared" si="47"/>
        <v>0</v>
      </c>
      <c r="AI267" s="56">
        <f t="shared" si="47"/>
        <v>0</v>
      </c>
      <c r="AJ267" s="56">
        <f t="shared" si="47"/>
        <v>0</v>
      </c>
      <c r="AK267" s="56">
        <f t="shared" si="47"/>
        <v>0</v>
      </c>
      <c r="AL267" s="56">
        <f t="shared" si="47"/>
        <v>0</v>
      </c>
      <c r="AM267" s="56">
        <f t="shared" si="47"/>
        <v>0</v>
      </c>
      <c r="AN267" s="56">
        <f t="shared" si="47"/>
        <v>0</v>
      </c>
      <c r="AO267" s="56">
        <f t="shared" si="47"/>
        <v>0</v>
      </c>
      <c r="AP267" s="56">
        <f>AP259*AM$741</f>
        <v>0</v>
      </c>
    </row>
    <row r="268" spans="1:42" ht="13.5" customHeight="1" outlineLevel="1" x14ac:dyDescent="0.25">
      <c r="A268" s="12"/>
      <c r="B268" s="13"/>
      <c r="C268" s="20" t="s">
        <v>536</v>
      </c>
      <c r="D268" s="14"/>
      <c r="E268" s="70" t="s">
        <v>474</v>
      </c>
      <c r="F268" s="16"/>
      <c r="G268" s="159"/>
      <c r="H268" s="56"/>
      <c r="I268" s="185">
        <f>SUM(I261:I267)</f>
        <v>321805.14170951687</v>
      </c>
      <c r="J268" s="185">
        <f t="shared" ref="J268:AO268" si="49">SUM(J261:J267)</f>
        <v>323232.34902594128</v>
      </c>
      <c r="K268" s="185">
        <f t="shared" si="49"/>
        <v>324516.83561072324</v>
      </c>
      <c r="L268" s="185">
        <f t="shared" si="49"/>
        <v>325944.04292714759</v>
      </c>
      <c r="M268" s="185">
        <f t="shared" si="49"/>
        <v>327371.25024357199</v>
      </c>
      <c r="N268" s="185">
        <f t="shared" si="49"/>
        <v>328798.45755999634</v>
      </c>
      <c r="O268" s="185">
        <f t="shared" si="49"/>
        <v>330082.9441447783</v>
      </c>
      <c r="P268" s="185">
        <f t="shared" si="49"/>
        <v>330939.26853463292</v>
      </c>
      <c r="Q268" s="185">
        <f t="shared" si="49"/>
        <v>331795.59292448754</v>
      </c>
      <c r="R268" s="185">
        <f t="shared" si="49"/>
        <v>332794.63804598461</v>
      </c>
      <c r="S268" s="185">
        <f t="shared" si="49"/>
        <v>333650.96243583923</v>
      </c>
      <c r="T268" s="185">
        <f t="shared" si="49"/>
        <v>334507.28682569391</v>
      </c>
      <c r="U268" s="185">
        <f t="shared" si="49"/>
        <v>0</v>
      </c>
      <c r="V268" s="185">
        <f t="shared" si="49"/>
        <v>0</v>
      </c>
      <c r="W268" s="185">
        <f t="shared" si="49"/>
        <v>0</v>
      </c>
      <c r="X268" s="185">
        <f t="shared" si="49"/>
        <v>0</v>
      </c>
      <c r="Y268" s="185">
        <f t="shared" si="49"/>
        <v>0</v>
      </c>
      <c r="Z268" s="185">
        <f t="shared" si="49"/>
        <v>0</v>
      </c>
      <c r="AA268" s="185">
        <f t="shared" si="49"/>
        <v>0</v>
      </c>
      <c r="AB268" s="185">
        <f t="shared" si="49"/>
        <v>0</v>
      </c>
      <c r="AC268" s="185">
        <f t="shared" si="49"/>
        <v>0</v>
      </c>
      <c r="AD268" s="185">
        <f t="shared" si="49"/>
        <v>0</v>
      </c>
      <c r="AE268" s="185">
        <f t="shared" si="49"/>
        <v>0</v>
      </c>
      <c r="AF268" s="185">
        <f t="shared" si="49"/>
        <v>0</v>
      </c>
      <c r="AG268" s="185">
        <f t="shared" si="49"/>
        <v>0</v>
      </c>
      <c r="AH268" s="185">
        <f t="shared" si="49"/>
        <v>0</v>
      </c>
      <c r="AI268" s="185">
        <f t="shared" si="49"/>
        <v>0</v>
      </c>
      <c r="AJ268" s="185">
        <f t="shared" si="49"/>
        <v>0</v>
      </c>
      <c r="AK268" s="185">
        <f t="shared" si="49"/>
        <v>0</v>
      </c>
      <c r="AL268" s="185">
        <f t="shared" si="49"/>
        <v>0</v>
      </c>
      <c r="AM268" s="185">
        <f t="shared" si="49"/>
        <v>0</v>
      </c>
      <c r="AN268" s="185">
        <f t="shared" si="49"/>
        <v>0</v>
      </c>
      <c r="AO268" s="185">
        <f t="shared" si="49"/>
        <v>0</v>
      </c>
      <c r="AP268" s="185">
        <f t="shared" ref="AP268" si="50">SUM(AP261:AP267)</f>
        <v>0</v>
      </c>
    </row>
    <row r="269" spans="1:42" outlineLevel="1" x14ac:dyDescent="0.25">
      <c r="A269" s="12"/>
      <c r="B269" s="13"/>
      <c r="C269" s="14"/>
      <c r="D269" s="14"/>
      <c r="E269" s="15"/>
      <c r="F269" s="16"/>
      <c r="G269" s="159"/>
      <c r="H269" s="56"/>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row>
    <row r="270" spans="1:42" outlineLevel="1" x14ac:dyDescent="0.25">
      <c r="A270" s="12"/>
      <c r="B270" s="13"/>
      <c r="C270" s="14" t="s">
        <v>487</v>
      </c>
      <c r="D270" s="14"/>
      <c r="E270" s="15" t="s">
        <v>474</v>
      </c>
      <c r="F270" s="48"/>
      <c r="G270" s="185"/>
      <c r="H270" s="185"/>
      <c r="I270" s="185">
        <f>I268*Data!H$9</f>
        <v>309428.02087453543</v>
      </c>
      <c r="J270" s="185">
        <f>J268*Data!I$9</f>
        <v>298846.47654025635</v>
      </c>
      <c r="K270" s="185">
        <f>K268*Data!J$9</f>
        <v>288494.28518534085</v>
      </c>
      <c r="L270" s="185">
        <f>L268*Data!K$9</f>
        <v>278618.33393529861</v>
      </c>
      <c r="M270" s="185">
        <f>M268*Data!L$9</f>
        <v>269075.3045488908</v>
      </c>
      <c r="N270" s="185">
        <f>N268*Data!M$9</f>
        <v>259854.19704733195</v>
      </c>
      <c r="O270" s="185">
        <f>O268*Data!N$9</f>
        <v>250835.90908979875</v>
      </c>
      <c r="P270" s="185">
        <f>P268*Data!O$9</f>
        <v>241814.08196877749</v>
      </c>
      <c r="Q270" s="185">
        <f>Q268*Data!P$9</f>
        <v>233115.18251225821</v>
      </c>
      <c r="R270" s="185">
        <f>R268*Data!Q$9</f>
        <v>224824.13304121807</v>
      </c>
      <c r="S270" s="185">
        <f>S268*Data!R$9</f>
        <v>216733.30299605336</v>
      </c>
      <c r="T270" s="185">
        <f>T268*Data!S$9</f>
        <v>208932.26441436101</v>
      </c>
      <c r="U270" s="185">
        <f>U268*Data!T$9</f>
        <v>0</v>
      </c>
      <c r="V270" s="185">
        <f>V268*Data!U$9</f>
        <v>0</v>
      </c>
      <c r="W270" s="185">
        <f>W268*Data!V$9</f>
        <v>0</v>
      </c>
      <c r="X270" s="185">
        <f>X268*Data!W$9</f>
        <v>0</v>
      </c>
      <c r="Y270" s="185">
        <f>Y268*Data!X$9</f>
        <v>0</v>
      </c>
      <c r="Z270" s="185">
        <f>Z268*Data!Y$9</f>
        <v>0</v>
      </c>
      <c r="AA270" s="185">
        <f>AA268*Data!Z$9</f>
        <v>0</v>
      </c>
      <c r="AB270" s="185">
        <f>AB268*Data!AA$9</f>
        <v>0</v>
      </c>
      <c r="AC270" s="185">
        <f>AC268*Data!AB$9</f>
        <v>0</v>
      </c>
      <c r="AD270" s="185">
        <f>AD268*Data!AC$9</f>
        <v>0</v>
      </c>
      <c r="AE270" s="185">
        <f>AE268*Data!AD$9</f>
        <v>0</v>
      </c>
      <c r="AF270" s="185">
        <f>AF268*Data!AE$9</f>
        <v>0</v>
      </c>
      <c r="AG270" s="185">
        <f>AG268*Data!AF$9</f>
        <v>0</v>
      </c>
      <c r="AH270" s="185">
        <f>AH268*Data!AG$9</f>
        <v>0</v>
      </c>
      <c r="AI270" s="185">
        <f>AI268*Data!AH$9</f>
        <v>0</v>
      </c>
      <c r="AJ270" s="185">
        <f>AJ268*Data!AI$9</f>
        <v>0</v>
      </c>
      <c r="AK270" s="185">
        <f>AK268*Data!AJ$9</f>
        <v>0</v>
      </c>
      <c r="AL270" s="185">
        <f>AL268*Data!AK$9</f>
        <v>0</v>
      </c>
      <c r="AM270" s="185">
        <f>AM268*Data!AL$9</f>
        <v>0</v>
      </c>
      <c r="AN270" s="185">
        <f>AN268*Data!AM$9</f>
        <v>0</v>
      </c>
      <c r="AO270" s="185">
        <f>AO268*Data!AN$9</f>
        <v>0</v>
      </c>
      <c r="AP270" s="185">
        <f>AP268*Data!AO$9</f>
        <v>0</v>
      </c>
    </row>
    <row r="271" spans="1:42" outlineLevel="1" x14ac:dyDescent="0.25">
      <c r="A271" s="12"/>
      <c r="B271" s="13"/>
      <c r="C271" s="14" t="s">
        <v>488</v>
      </c>
      <c r="D271" s="13"/>
      <c r="E271" s="15" t="s">
        <v>142</v>
      </c>
      <c r="F271" s="16"/>
      <c r="G271" s="159">
        <f>SUM(H270:AP270)</f>
        <v>3080571.4921541209</v>
      </c>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row>
    <row r="272" spans="1:42" outlineLevel="1" x14ac:dyDescent="0.25">
      <c r="A272" s="12"/>
      <c r="B272" s="13"/>
      <c r="C272" s="20" t="s">
        <v>488</v>
      </c>
      <c r="D272" s="19"/>
      <c r="E272" s="15" t="s">
        <v>261</v>
      </c>
      <c r="F272" s="16"/>
      <c r="G272" s="183">
        <f>G271/(SUM(H251:AO251))</f>
        <v>4.9866800896045724</v>
      </c>
      <c r="H272" s="14"/>
      <c r="I272" s="159"/>
      <c r="J272" s="159"/>
      <c r="K272" s="159"/>
      <c r="L272" s="159"/>
      <c r="M272" s="159"/>
      <c r="N272" s="159"/>
      <c r="O272" s="159"/>
      <c r="P272" s="159"/>
      <c r="Q272" s="159"/>
      <c r="R272" s="159"/>
      <c r="S272" s="159"/>
      <c r="T272" s="159"/>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row>
    <row r="273" spans="1:42" outlineLevel="1" x14ac:dyDescent="0.25">
      <c r="A273" s="12"/>
      <c r="B273" s="13"/>
      <c r="C273" s="14"/>
      <c r="D273" s="14"/>
      <c r="E273" s="15"/>
      <c r="F273" s="16"/>
      <c r="G273" s="14"/>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17"/>
    </row>
    <row r="274" spans="1:42" outlineLevel="1" x14ac:dyDescent="0.25">
      <c r="A274" s="12"/>
      <c r="B274" s="13"/>
      <c r="C274" s="14"/>
      <c r="D274" s="14"/>
      <c r="E274" s="15"/>
      <c r="F274" s="16"/>
      <c r="G274" s="14"/>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17"/>
    </row>
    <row r="275" spans="1:42" ht="18.75" outlineLevel="1" x14ac:dyDescent="0.3">
      <c r="A275" s="12"/>
      <c r="B275" s="13"/>
      <c r="C275" s="205" t="s">
        <v>524</v>
      </c>
      <c r="D275" s="14"/>
      <c r="E275" s="15" t="s">
        <v>261</v>
      </c>
      <c r="F275" s="16"/>
      <c r="G275" s="204">
        <f>G216+G223+G246-G272</f>
        <v>-3.4499294090488934</v>
      </c>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17"/>
    </row>
    <row r="276" spans="1:42" outlineLevel="1" x14ac:dyDescent="0.25">
      <c r="A276" s="12"/>
      <c r="B276" s="13"/>
      <c r="C276" s="14"/>
      <c r="D276" s="14"/>
      <c r="E276" s="15"/>
      <c r="F276" s="16"/>
      <c r="G276" s="14"/>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17"/>
    </row>
    <row r="277" spans="1:42" outlineLevel="1" x14ac:dyDescent="0.25">
      <c r="A277" s="23"/>
      <c r="B277" s="23"/>
      <c r="C277" s="24" t="s">
        <v>525</v>
      </c>
      <c r="D277" s="24"/>
      <c r="E277" s="25"/>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7"/>
    </row>
    <row r="278" spans="1:42" outlineLevel="1" x14ac:dyDescent="0.25">
      <c r="A278" s="12"/>
      <c r="B278" s="13"/>
      <c r="C278" s="13"/>
      <c r="D278" s="14"/>
      <c r="E278" s="15"/>
      <c r="F278" s="16"/>
      <c r="G278" s="14"/>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17"/>
    </row>
    <row r="279" spans="1:42" outlineLevel="1" x14ac:dyDescent="0.25">
      <c r="A279" s="12"/>
      <c r="B279" s="13"/>
      <c r="C279" s="37" t="s">
        <v>537</v>
      </c>
      <c r="D279" s="37"/>
      <c r="E279" s="38"/>
      <c r="F279" s="39"/>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17"/>
    </row>
    <row r="280" spans="1:42" outlineLevel="1" x14ac:dyDescent="0.25">
      <c r="A280" s="12"/>
      <c r="B280" s="13"/>
      <c r="C280" s="96" t="s">
        <v>526</v>
      </c>
      <c r="D280" s="14"/>
      <c r="E280" s="15" t="s">
        <v>142</v>
      </c>
      <c r="F280" s="16"/>
      <c r="G280" s="141">
        <f>G215</f>
        <v>932973.88451074553</v>
      </c>
      <c r="H280" s="14"/>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17"/>
    </row>
    <row r="281" spans="1:42" outlineLevel="1" x14ac:dyDescent="0.25">
      <c r="A281" s="12"/>
      <c r="B281" s="13"/>
      <c r="C281" s="96" t="s">
        <v>527</v>
      </c>
      <c r="D281" s="14"/>
      <c r="E281" s="15" t="s">
        <v>474</v>
      </c>
      <c r="F281" s="16"/>
      <c r="G281" s="151">
        <f>G280/Dashboard!$I$32</f>
        <v>77747.823709228789</v>
      </c>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17"/>
    </row>
    <row r="282" spans="1:42" outlineLevel="1" x14ac:dyDescent="0.25">
      <c r="A282" s="12"/>
      <c r="B282" s="13"/>
      <c r="C282" s="96" t="s">
        <v>528</v>
      </c>
      <c r="D282" s="14"/>
      <c r="E282" s="15" t="s">
        <v>529</v>
      </c>
      <c r="F282" s="16"/>
      <c r="G282" s="151">
        <f>SUM(I228:AN228)</f>
        <v>110499.69310230789</v>
      </c>
      <c r="H282" s="14"/>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17"/>
    </row>
    <row r="283" spans="1:42" outlineLevel="1" x14ac:dyDescent="0.25">
      <c r="A283" s="12"/>
      <c r="B283" s="13"/>
      <c r="C283" s="96" t="s">
        <v>530</v>
      </c>
      <c r="D283" s="14"/>
      <c r="E283" s="15" t="s">
        <v>531</v>
      </c>
      <c r="F283" s="16"/>
      <c r="G283" s="151">
        <f>G282/Dashboard!$I$32</f>
        <v>9208.3077585256578</v>
      </c>
      <c r="H283" s="14"/>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17"/>
    </row>
    <row r="284" spans="1:42" outlineLevel="1" x14ac:dyDescent="0.25">
      <c r="A284" s="12"/>
      <c r="B284" s="13"/>
      <c r="C284" s="96" t="s">
        <v>552</v>
      </c>
      <c r="D284" s="14"/>
      <c r="E284" s="15" t="s">
        <v>531</v>
      </c>
      <c r="F284" s="16"/>
      <c r="G284" s="151">
        <f>SUM(I254:AP254)/Dashboard!$I$32</f>
        <v>142720.7316424381</v>
      </c>
      <c r="H284" s="14"/>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17"/>
    </row>
    <row r="285" spans="1:42" outlineLevel="1" x14ac:dyDescent="0.25">
      <c r="A285" s="12"/>
      <c r="B285" s="13"/>
      <c r="C285" s="14"/>
      <c r="D285" s="14"/>
      <c r="E285" s="15"/>
      <c r="F285" s="16"/>
      <c r="G285" s="14"/>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29"/>
    </row>
    <row r="286" spans="1:42" outlineLevel="1" x14ac:dyDescent="0.25">
      <c r="A286" s="12"/>
      <c r="B286" s="13"/>
      <c r="C286" s="37" t="s">
        <v>553</v>
      </c>
      <c r="D286" s="37"/>
      <c r="E286" s="38"/>
      <c r="F286" s="39"/>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17"/>
    </row>
    <row r="287" spans="1:42" outlineLevel="1" x14ac:dyDescent="0.25">
      <c r="A287" s="12"/>
      <c r="B287" s="13"/>
      <c r="C287" s="14" t="s">
        <v>539</v>
      </c>
      <c r="D287" s="14"/>
      <c r="E287" s="15" t="s">
        <v>142</v>
      </c>
      <c r="F287" s="16"/>
      <c r="G287" s="177">
        <f>G281-'Diesel (BAU)'!G181</f>
        <v>-58491.894879756685</v>
      </c>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17"/>
    </row>
    <row r="288" spans="1:42" outlineLevel="1" x14ac:dyDescent="0.25">
      <c r="A288" s="12"/>
      <c r="B288" s="13"/>
      <c r="C288" s="14" t="s">
        <v>540</v>
      </c>
      <c r="D288" s="44"/>
      <c r="E288" s="15" t="s">
        <v>529</v>
      </c>
      <c r="F288" s="16"/>
      <c r="G288" s="177">
        <f>('Diesel (BAU)'!G183-Repowered!G283)+G284</f>
        <v>276233.15552635054</v>
      </c>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17"/>
    </row>
    <row r="289" spans="1:42" ht="18.75" outlineLevel="1" x14ac:dyDescent="0.3">
      <c r="A289" s="12"/>
      <c r="B289" s="13"/>
      <c r="C289" s="221" t="s">
        <v>542</v>
      </c>
      <c r="D289" s="45"/>
      <c r="E289" s="15"/>
      <c r="F289" s="16"/>
      <c r="G289" s="220">
        <f>G287/G288</f>
        <v>-0.21174827753135883</v>
      </c>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29"/>
    </row>
    <row r="290" spans="1:42" ht="18.75" outlineLevel="1" x14ac:dyDescent="0.3">
      <c r="A290" s="12"/>
      <c r="B290" s="13"/>
      <c r="C290" s="120"/>
      <c r="D290" s="45"/>
      <c r="E290" s="15"/>
      <c r="F290" s="16"/>
      <c r="G290" s="22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29"/>
    </row>
    <row r="291" spans="1:42" x14ac:dyDescent="0.25">
      <c r="A291" s="89"/>
      <c r="B291" s="89"/>
      <c r="C291" s="90" t="s">
        <v>174</v>
      </c>
      <c r="D291" s="91"/>
      <c r="E291" s="92"/>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3"/>
    </row>
    <row r="292" spans="1:42" x14ac:dyDescent="0.25">
      <c r="A292" s="23"/>
      <c r="B292" s="23"/>
      <c r="C292" s="24" t="s">
        <v>554</v>
      </c>
      <c r="D292" s="24"/>
      <c r="E292" s="25"/>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7"/>
    </row>
    <row r="293" spans="1:42" x14ac:dyDescent="0.25">
      <c r="A293" s="13"/>
      <c r="B293" s="13"/>
      <c r="C293" s="30"/>
      <c r="D293" s="30"/>
      <c r="E293" s="31"/>
      <c r="F293" s="16"/>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3"/>
    </row>
    <row r="294" spans="1:42" x14ac:dyDescent="0.25">
      <c r="A294" s="12"/>
      <c r="B294" s="13"/>
      <c r="C294" s="14"/>
      <c r="D294" s="14"/>
      <c r="E294" s="15"/>
      <c r="F294" s="16"/>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7"/>
    </row>
    <row r="295" spans="1:42" x14ac:dyDescent="0.25">
      <c r="A295" s="12"/>
      <c r="B295" s="13"/>
      <c r="C295" s="37" t="s">
        <v>506</v>
      </c>
      <c r="D295" s="37"/>
      <c r="E295" s="38"/>
      <c r="F295" s="39"/>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17"/>
    </row>
    <row r="296" spans="1:42" x14ac:dyDescent="0.25">
      <c r="A296" s="12"/>
      <c r="B296" s="13"/>
      <c r="C296" s="136" t="s">
        <v>507</v>
      </c>
      <c r="D296" s="41"/>
      <c r="E296" s="15" t="s">
        <v>465</v>
      </c>
      <c r="F296" s="16"/>
      <c r="G296" s="14"/>
      <c r="H296" s="141"/>
      <c r="I296" s="141">
        <f>Route!I25</f>
        <v>93600</v>
      </c>
      <c r="J296" s="141">
        <f>Route!J25</f>
        <v>93600</v>
      </c>
      <c r="K296" s="141">
        <f>Route!K25</f>
        <v>93600</v>
      </c>
      <c r="L296" s="141">
        <f>Route!L25</f>
        <v>93600</v>
      </c>
      <c r="M296" s="141">
        <f>Route!M25</f>
        <v>93600</v>
      </c>
      <c r="N296" s="141">
        <f>Route!N25</f>
        <v>93600</v>
      </c>
      <c r="O296" s="141">
        <f>Route!O25</f>
        <v>93600</v>
      </c>
      <c r="P296" s="141">
        <f>Route!P25</f>
        <v>93600</v>
      </c>
      <c r="Q296" s="141">
        <f>Route!Q25</f>
        <v>93600</v>
      </c>
      <c r="R296" s="141">
        <f>Route!R25</f>
        <v>93600</v>
      </c>
      <c r="S296" s="141">
        <f>Route!S25</f>
        <v>93600</v>
      </c>
      <c r="T296" s="141">
        <f>Route!T25</f>
        <v>93600</v>
      </c>
      <c r="U296" s="141">
        <f>Route!U25</f>
        <v>93600</v>
      </c>
      <c r="V296" s="141">
        <f>Route!V25</f>
        <v>93600</v>
      </c>
      <c r="W296" s="141">
        <f>Route!W25</f>
        <v>93600</v>
      </c>
      <c r="X296" s="141">
        <f>Route!X25</f>
        <v>93600</v>
      </c>
      <c r="Y296" s="141">
        <f>Route!Y25</f>
        <v>93600</v>
      </c>
      <c r="Z296" s="141">
        <f>Route!Z25</f>
        <v>93600</v>
      </c>
      <c r="AA296" s="141">
        <f>Route!AA25</f>
        <v>93600</v>
      </c>
      <c r="AB296" s="141">
        <f>Route!AB25</f>
        <v>93600</v>
      </c>
      <c r="AC296" s="141">
        <f>Route!AC25</f>
        <v>93600</v>
      </c>
      <c r="AD296" s="141">
        <f>Route!AD25</f>
        <v>93600</v>
      </c>
      <c r="AE296" s="141">
        <f>Route!AE25</f>
        <v>93600</v>
      </c>
      <c r="AF296" s="141">
        <f>Route!AF25</f>
        <v>93600</v>
      </c>
      <c r="AG296" s="141">
        <f>Route!AG25</f>
        <v>93600</v>
      </c>
      <c r="AH296" s="141">
        <f>Route!AH25</f>
        <v>93600</v>
      </c>
      <c r="AI296" s="141">
        <f>Route!AI25</f>
        <v>93600</v>
      </c>
      <c r="AJ296" s="141">
        <f>Route!AJ25</f>
        <v>93600</v>
      </c>
      <c r="AK296" s="141">
        <f>Route!AK25</f>
        <v>93600</v>
      </c>
      <c r="AL296" s="141">
        <f>Route!AL25</f>
        <v>93600</v>
      </c>
      <c r="AM296" s="141">
        <f>Route!AM25</f>
        <v>93600</v>
      </c>
      <c r="AN296" s="141">
        <f>Route!AN25</f>
        <v>93600</v>
      </c>
      <c r="AO296" s="141">
        <f>Route!AO25</f>
        <v>93600</v>
      </c>
      <c r="AP296" s="17"/>
    </row>
    <row r="297" spans="1:42" x14ac:dyDescent="0.25">
      <c r="A297" s="12"/>
      <c r="B297" s="13"/>
      <c r="C297" s="136" t="s">
        <v>534</v>
      </c>
      <c r="D297" s="41"/>
      <c r="E297" s="15" t="s">
        <v>465</v>
      </c>
      <c r="F297" s="16"/>
      <c r="G297" s="14"/>
      <c r="H297" s="141"/>
      <c r="I297" s="159">
        <f>IF(COUNT($I$3:I3)&lt;=(Dashboard!$I$32),I296,0)</f>
        <v>93600</v>
      </c>
      <c r="J297" s="159">
        <f>IF(COUNT($I$3:J3)&lt;=(Dashboard!$I$32),J296,0)</f>
        <v>93600</v>
      </c>
      <c r="K297" s="159">
        <f>IF(COUNT($I$3:K3)&lt;=(Dashboard!$I$32),K296,0)</f>
        <v>93600</v>
      </c>
      <c r="L297" s="159">
        <f>IF(COUNT($I$3:L3)&lt;=(Dashboard!$I$32),L296,0)</f>
        <v>93600</v>
      </c>
      <c r="M297" s="159">
        <f>IF(COUNT($I$3:M3)&lt;=(Dashboard!$I$32),M296,0)</f>
        <v>93600</v>
      </c>
      <c r="N297" s="159">
        <f>IF(COUNT($I$3:N3)&lt;=(Dashboard!$I$32),N296,0)</f>
        <v>93600</v>
      </c>
      <c r="O297" s="159">
        <f>IF(COUNT($I$3:O3)&lt;=(Dashboard!$I$32),O296,0)</f>
        <v>93600</v>
      </c>
      <c r="P297" s="159">
        <f>IF(COUNT($I$3:P3)&lt;=(Dashboard!$I$32),P296,0)</f>
        <v>93600</v>
      </c>
      <c r="Q297" s="159">
        <f>IF(COUNT($I$3:Q3)&lt;=(Dashboard!$I$32),Q296,0)</f>
        <v>93600</v>
      </c>
      <c r="R297" s="159">
        <f>IF(COUNT($I$3:R3)&lt;=(Dashboard!$I$32),R296,0)</f>
        <v>93600</v>
      </c>
      <c r="S297" s="159">
        <f>IF(COUNT($I$3:S3)&lt;=(Dashboard!$I$32),S296,0)</f>
        <v>93600</v>
      </c>
      <c r="T297" s="159">
        <f>IF(COUNT($I$3:T3)&lt;=(Dashboard!$I$32),T296,0)</f>
        <v>93600</v>
      </c>
      <c r="U297" s="159">
        <f>IF(COUNT($I$3:U3)&lt;=(Dashboard!$I$32),U296,0)</f>
        <v>0</v>
      </c>
      <c r="V297" s="159">
        <f>IF(COUNT($I$3:V3)&lt;=(Dashboard!$I$32),V296,0)</f>
        <v>0</v>
      </c>
      <c r="W297" s="159">
        <f>IF(COUNT($I$3:W3)&lt;=(Dashboard!$I$32),W296,0)</f>
        <v>0</v>
      </c>
      <c r="X297" s="159">
        <f>IF(COUNT($I$3:X3)&lt;=(Dashboard!$I$32),X296,0)</f>
        <v>0</v>
      </c>
      <c r="Y297" s="159">
        <f>IF(COUNT($I$3:Y3)&lt;=(Dashboard!$I$32),Y296,0)</f>
        <v>0</v>
      </c>
      <c r="Z297" s="159">
        <f>IF(COUNT($I$3:Z3)&lt;=(Dashboard!$I$32),Z296,0)</f>
        <v>0</v>
      </c>
      <c r="AA297" s="159">
        <f>IF(COUNT($I$3:AA3)&lt;=(Dashboard!$I$32),AA296,0)</f>
        <v>0</v>
      </c>
      <c r="AB297" s="159">
        <f>IF(COUNT($I$3:AB3)&lt;=(Dashboard!$I$32),AB296,0)</f>
        <v>0</v>
      </c>
      <c r="AC297" s="159">
        <f>IF(COUNT($I$3:AC3)&lt;=(Dashboard!$I$32),AC296,0)</f>
        <v>0</v>
      </c>
      <c r="AD297" s="159">
        <f>IF(COUNT($I$3:AD3)&lt;=(Dashboard!$I$32),AD296,0)</f>
        <v>0</v>
      </c>
      <c r="AE297" s="159">
        <f>IF(COUNT($I$3:AE3)&lt;=(Dashboard!$I$32),AE296,0)</f>
        <v>0</v>
      </c>
      <c r="AF297" s="159">
        <f>IF(COUNT($I$3:AF3)&lt;=(Dashboard!$I$32),AF296,0)</f>
        <v>0</v>
      </c>
      <c r="AG297" s="159">
        <f>IF(COUNT($I$3:AG3)&lt;=(Dashboard!$I$32),AG296,0)</f>
        <v>0</v>
      </c>
      <c r="AH297" s="159">
        <f>IF(COUNT($I$3:AH3)&lt;=(Dashboard!$I$32),AH296,0)</f>
        <v>0</v>
      </c>
      <c r="AI297" s="159">
        <f>IF(COUNT($I$3:AI3)&lt;=(Dashboard!$I$32),AI296,0)</f>
        <v>0</v>
      </c>
      <c r="AJ297" s="159">
        <f>IF(COUNT($I$3:AJ3)&lt;=(Dashboard!$I$32),AJ296,0)</f>
        <v>0</v>
      </c>
      <c r="AK297" s="159">
        <f>IF(COUNT($I$3:AK3)&lt;=(Dashboard!$I$32),AK296,0)</f>
        <v>0</v>
      </c>
      <c r="AL297" s="159">
        <f>IF(COUNT($I$3:AL3)&lt;=(Dashboard!$I$32),AL296,0)</f>
        <v>0</v>
      </c>
      <c r="AM297" s="159">
        <f>IF(COUNT($I$3:AM3)&lt;=(Dashboard!$I$32),AM296,0)</f>
        <v>0</v>
      </c>
      <c r="AN297" s="159">
        <f>IF(COUNT($I$3:AN3)&lt;=(Dashboard!$I$32),AN296,0)</f>
        <v>0</v>
      </c>
      <c r="AO297" s="159">
        <f>IF(COUNT($I$3:AO3)&lt;=(Dashboard!$I$32),AO296,0)</f>
        <v>0</v>
      </c>
      <c r="AP297" s="17"/>
    </row>
    <row r="298" spans="1:42" x14ac:dyDescent="0.25">
      <c r="A298" s="12"/>
      <c r="B298" s="13"/>
      <c r="C298" s="136"/>
      <c r="D298" s="41"/>
      <c r="E298" s="15"/>
      <c r="F298" s="174"/>
      <c r="G298" s="14"/>
      <c r="I298" s="162"/>
      <c r="J298" s="56"/>
      <c r="K298" s="56"/>
      <c r="L298" s="56"/>
      <c r="M298" s="56"/>
      <c r="N298" s="56"/>
      <c r="O298" s="56"/>
      <c r="P298" s="56"/>
      <c r="Q298" s="56"/>
      <c r="R298" s="56"/>
      <c r="S298" s="56"/>
      <c r="T298" s="56"/>
      <c r="U298" s="56"/>
      <c r="V298" s="56"/>
      <c r="W298" s="56"/>
      <c r="X298" s="56"/>
      <c r="Y298" s="56"/>
      <c r="Z298" s="56"/>
      <c r="AA298" s="56"/>
      <c r="AB298" s="56"/>
      <c r="AC298" s="14"/>
      <c r="AD298" s="14"/>
      <c r="AE298" s="14"/>
      <c r="AF298" s="14"/>
      <c r="AG298" s="14"/>
      <c r="AH298" s="14"/>
      <c r="AI298" s="14"/>
      <c r="AJ298" s="14"/>
      <c r="AK298" s="14"/>
      <c r="AL298" s="14"/>
      <c r="AM298" s="14"/>
      <c r="AN298" s="14"/>
      <c r="AO298" s="14"/>
      <c r="AP298" s="17"/>
    </row>
    <row r="299" spans="1:42" x14ac:dyDescent="0.25">
      <c r="A299" s="12"/>
      <c r="B299" s="13"/>
      <c r="C299" s="37" t="s">
        <v>302</v>
      </c>
      <c r="D299" s="37"/>
      <c r="E299" s="38"/>
      <c r="F299" s="39"/>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17"/>
    </row>
    <row r="300" spans="1:42" x14ac:dyDescent="0.25">
      <c r="A300" s="12"/>
      <c r="B300" s="13"/>
      <c r="C300" s="136" t="s">
        <v>544</v>
      </c>
      <c r="D300" s="41"/>
      <c r="E300" s="15"/>
      <c r="F300" s="16"/>
      <c r="G300" s="14"/>
      <c r="H300" s="141"/>
      <c r="I300" s="141"/>
      <c r="J300" s="141"/>
      <c r="K300" s="141"/>
      <c r="L300" s="141"/>
      <c r="M300" s="141"/>
      <c r="N300" s="141"/>
      <c r="O300" s="141"/>
      <c r="P300" s="141"/>
      <c r="Q300" s="141"/>
      <c r="R300" s="141"/>
      <c r="S300" s="141"/>
      <c r="T300" s="141"/>
      <c r="U300" s="141"/>
      <c r="V300" s="141"/>
      <c r="W300" s="141"/>
      <c r="X300" s="141"/>
      <c r="Y300" s="141"/>
      <c r="Z300" s="141"/>
      <c r="AA300" s="141"/>
      <c r="AB300" s="141"/>
      <c r="AC300" s="14"/>
      <c r="AD300" s="14"/>
      <c r="AE300" s="14"/>
      <c r="AF300" s="14"/>
      <c r="AG300" s="14"/>
      <c r="AH300" s="14"/>
      <c r="AI300" s="14"/>
      <c r="AJ300" s="14"/>
      <c r="AK300" s="14"/>
      <c r="AL300" s="14"/>
      <c r="AM300" s="14"/>
      <c r="AN300" s="14"/>
      <c r="AO300" s="14"/>
      <c r="AP300" s="17"/>
    </row>
    <row r="301" spans="1:42" x14ac:dyDescent="0.25">
      <c r="A301" s="12"/>
      <c r="B301" s="13"/>
      <c r="C301" s="96" t="s">
        <v>120</v>
      </c>
      <c r="D301" s="41"/>
      <c r="E301" s="15"/>
      <c r="F301" s="16"/>
      <c r="G301" s="14"/>
      <c r="H301" s="150">
        <f>Data!$E$309</f>
        <v>156000</v>
      </c>
      <c r="I301" s="159">
        <f>$H$301*(1-Data!$E$312)</f>
        <v>150025.20000000001</v>
      </c>
      <c r="J301" s="159">
        <f>I$301*(1-Data!$E$312)</f>
        <v>144279.23484000002</v>
      </c>
      <c r="K301" s="159">
        <f>J$301*(1-Data!$E$312)</f>
        <v>138753.34014562803</v>
      </c>
      <c r="L301" s="159">
        <f>K$301*(1-Data!$E$312)</f>
        <v>133439.08721805047</v>
      </c>
      <c r="M301" s="159">
        <f>L$301*(1-Data!$E$312)</f>
        <v>128328.37017759914</v>
      </c>
      <c r="N301" s="159">
        <f>M$301*(1-Data!$E$312)</f>
        <v>123413.39359979708</v>
      </c>
      <c r="O301" s="159">
        <f>N$301*(1-Data!$E$312)</f>
        <v>118686.66062492486</v>
      </c>
      <c r="P301" s="159">
        <f>O$301*(1-Data!$E$312)</f>
        <v>114140.96152299024</v>
      </c>
      <c r="Q301" s="159">
        <f>P$301*(1-Data!$E$312)</f>
        <v>109769.36269665971</v>
      </c>
      <c r="R301" s="159">
        <f>Q$301*(1-Data!$E$312)</f>
        <v>105565.19610537765</v>
      </c>
      <c r="S301" s="159">
        <f>R$301*(1-Data!$E$312)</f>
        <v>101522.04909454168</v>
      </c>
      <c r="T301" s="159">
        <f>S$301*(1-Data!$E$312)</f>
        <v>97633.754614220743</v>
      </c>
      <c r="U301" s="159">
        <f>T$301*(1-Data!$E$312)</f>
        <v>93894.381812496082</v>
      </c>
      <c r="V301" s="159">
        <f>U$301*(1-Data!$E$312)</f>
        <v>90298.226989077477</v>
      </c>
      <c r="W301" s="159">
        <f>V$301*(1-Data!$E$312)</f>
        <v>86839.804895395806</v>
      </c>
      <c r="X301" s="159">
        <f>W$301*(1-Data!$E$312)</f>
        <v>83513.840367902143</v>
      </c>
      <c r="Y301" s="159">
        <f>X$301*(1-Data!$E$312)</f>
        <v>80315.260281811497</v>
      </c>
      <c r="Z301" s="159">
        <f>Y$301*(1-Data!$E$312)</f>
        <v>77239.185813018121</v>
      </c>
      <c r="AA301" s="159">
        <f>Z$301*(1-Data!$E$312)</f>
        <v>74280.92499637953</v>
      </c>
      <c r="AB301" s="159">
        <f>AA$301*(1-Data!$E$312)</f>
        <v>71435.965569018197</v>
      </c>
      <c r="AC301" s="159">
        <f>AB$301*(1-Data!$E$312)</f>
        <v>68699.968087724803</v>
      </c>
      <c r="AD301" s="159"/>
      <c r="AE301" s="159"/>
      <c r="AF301" s="159"/>
      <c r="AG301" s="159"/>
      <c r="AH301" s="159"/>
      <c r="AI301" s="159"/>
      <c r="AJ301" s="159"/>
      <c r="AK301" s="159"/>
      <c r="AL301" s="159"/>
      <c r="AM301" s="159"/>
      <c r="AN301" s="159"/>
      <c r="AO301" s="159"/>
      <c r="AP301" s="17"/>
    </row>
    <row r="302" spans="1:42" x14ac:dyDescent="0.25">
      <c r="A302" s="12"/>
      <c r="B302" s="13"/>
      <c r="C302" s="96" t="s">
        <v>124</v>
      </c>
      <c r="D302" s="41"/>
      <c r="E302" s="15"/>
      <c r="F302" s="16"/>
      <c r="G302" s="14"/>
      <c r="H302" s="150">
        <f>Data!$E$310</f>
        <v>180000</v>
      </c>
      <c r="I302" s="159">
        <f>$H$302*(1-Data!$E$312)</f>
        <v>173106</v>
      </c>
      <c r="J302" s="159">
        <f>I$302*(1-Data!$E$312)</f>
        <v>166476.04019999999</v>
      </c>
      <c r="K302" s="159">
        <f>J$302*(1-Data!$E$312)</f>
        <v>160100.00786034</v>
      </c>
      <c r="L302" s="159">
        <f>K$302*(1-Data!$E$312)</f>
        <v>153968.17755928898</v>
      </c>
      <c r="M302" s="159">
        <f>L$302*(1-Data!$E$312)</f>
        <v>148071.19635876821</v>
      </c>
      <c r="N302" s="159">
        <f>M$302*(1-Data!$E$312)</f>
        <v>142400.0695382274</v>
      </c>
      <c r="O302" s="159">
        <f>N$302*(1-Data!$E$312)</f>
        <v>136946.14687491328</v>
      </c>
      <c r="P302" s="159">
        <f>O$302*(1-Data!$E$312)</f>
        <v>131701.10944960409</v>
      </c>
      <c r="Q302" s="159">
        <f>P$302*(1-Data!$E$312)</f>
        <v>126656.95695768425</v>
      </c>
      <c r="R302" s="159">
        <f>Q$302*(1-Data!$E$312)</f>
        <v>121805.99550620494</v>
      </c>
      <c r="S302" s="159">
        <f>R$302*(1-Data!$E$312)</f>
        <v>117140.82587831729</v>
      </c>
      <c r="T302" s="159">
        <f>S$302*(1-Data!$E$312)</f>
        <v>112654.33224717774</v>
      </c>
      <c r="U302" s="159">
        <f>T$302*(1-Data!$E$312)</f>
        <v>108339.67132211082</v>
      </c>
      <c r="V302" s="159">
        <f>U$302*(1-Data!$E$312)</f>
        <v>104190.26191047397</v>
      </c>
      <c r="W302" s="159">
        <f>V$302*(1-Data!$E$312)</f>
        <v>100199.77487930281</v>
      </c>
      <c r="X302" s="159">
        <f>W$302*(1-Data!$E$312)</f>
        <v>96362.123501425522</v>
      </c>
      <c r="Y302" s="159">
        <f>X$302*(1-Data!$E$312)</f>
        <v>92671.454171320918</v>
      </c>
      <c r="Z302" s="159">
        <f>Y$302*(1-Data!$E$312)</f>
        <v>89122.137476559321</v>
      </c>
      <c r="AA302" s="159">
        <f>Z$302*(1-Data!$E$312)</f>
        <v>85708.759611207104</v>
      </c>
      <c r="AB302" s="159">
        <f>AA$302*(1-Data!$E$312)</f>
        <v>82426.114118097874</v>
      </c>
      <c r="AC302" s="159">
        <f>AB$302*(1-Data!$E$312)</f>
        <v>79269.193947374719</v>
      </c>
      <c r="AD302" s="159"/>
      <c r="AE302" s="159"/>
      <c r="AF302" s="159"/>
      <c r="AG302" s="159"/>
      <c r="AH302" s="159"/>
      <c r="AI302" s="159"/>
      <c r="AJ302" s="159"/>
      <c r="AK302" s="159"/>
      <c r="AL302" s="159"/>
      <c r="AM302" s="159"/>
      <c r="AN302" s="159"/>
      <c r="AO302" s="159"/>
      <c r="AP302" s="17"/>
    </row>
    <row r="303" spans="1:42" x14ac:dyDescent="0.25">
      <c r="A303" s="12"/>
      <c r="B303" s="13"/>
      <c r="C303" s="96" t="s">
        <v>126</v>
      </c>
      <c r="D303" s="41"/>
      <c r="E303" s="15"/>
      <c r="F303" s="16"/>
      <c r="G303" s="14"/>
      <c r="H303" s="150">
        <f>Data!$E$311</f>
        <v>235000</v>
      </c>
      <c r="I303" s="159">
        <f>$H$303*(1-Data!$E$312)</f>
        <v>225999.5</v>
      </c>
      <c r="J303" s="159">
        <f>I$303*(1-Data!$E$312)</f>
        <v>217343.71914999999</v>
      </c>
      <c r="K303" s="159">
        <f>J$303*(1-Data!$E$312)</f>
        <v>209019.454706555</v>
      </c>
      <c r="L303" s="159">
        <f>K$303*(1-Data!$E$312)</f>
        <v>201014.00959129393</v>
      </c>
      <c r="M303" s="159">
        <f>L$303*(1-Data!$E$312)</f>
        <v>193315.17302394737</v>
      </c>
      <c r="N303" s="159">
        <f>M$303*(1-Data!$E$312)</f>
        <v>185911.20189713017</v>
      </c>
      <c r="O303" s="159">
        <f>N$303*(1-Data!$E$312)</f>
        <v>178790.80286447008</v>
      </c>
      <c r="P303" s="159">
        <f>O$303*(1-Data!$E$312)</f>
        <v>171943.11511476088</v>
      </c>
      <c r="Q303" s="159">
        <f>P$303*(1-Data!$E$312)</f>
        <v>165357.69380586554</v>
      </c>
      <c r="R303" s="159">
        <f>Q$303*(1-Data!$E$312)</f>
        <v>159024.49413310087</v>
      </c>
      <c r="S303" s="159">
        <f>R$303*(1-Data!$E$312)</f>
        <v>152933.85600780312</v>
      </c>
      <c r="T303" s="159">
        <f>S$303*(1-Data!$E$312)</f>
        <v>147076.48932270426</v>
      </c>
      <c r="U303" s="159">
        <f>T$303*(1-Data!$E$312)</f>
        <v>141443.45978164469</v>
      </c>
      <c r="V303" s="159">
        <f>U$303*(1-Data!$E$312)</f>
        <v>136026.17527200771</v>
      </c>
      <c r="W303" s="159">
        <f>V$303*(1-Data!$E$312)</f>
        <v>130816.37275908981</v>
      </c>
      <c r="X303" s="159">
        <f>W$303*(1-Data!$E$312)</f>
        <v>125806.10568241666</v>
      </c>
      <c r="Y303" s="159">
        <f>X$303*(1-Data!$E$312)</f>
        <v>120987.7318347801</v>
      </c>
      <c r="Z303" s="159">
        <f>Y$303*(1-Data!$E$312)</f>
        <v>116353.90170550803</v>
      </c>
      <c r="AA303" s="159">
        <f>Z$303*(1-Data!$E$312)</f>
        <v>111897.54727018707</v>
      </c>
      <c r="AB303" s="159">
        <f>AA$303*(1-Data!$E$312)</f>
        <v>107611.87120973891</v>
      </c>
      <c r="AC303" s="159">
        <f>AB$303*(1-Data!$E$312)</f>
        <v>103490.3365424059</v>
      </c>
      <c r="AD303" s="159"/>
      <c r="AE303" s="159"/>
      <c r="AF303" s="159"/>
      <c r="AG303" s="159"/>
      <c r="AH303" s="159"/>
      <c r="AI303" s="159"/>
      <c r="AJ303" s="159"/>
      <c r="AK303" s="159"/>
      <c r="AL303" s="159"/>
      <c r="AM303" s="159"/>
      <c r="AN303" s="159"/>
      <c r="AO303" s="159"/>
      <c r="AP303" s="17"/>
    </row>
    <row r="304" spans="1:42" outlineLevel="1" x14ac:dyDescent="0.25">
      <c r="A304" s="23"/>
      <c r="B304" s="23"/>
      <c r="C304" s="24" t="s">
        <v>505</v>
      </c>
      <c r="D304" s="24"/>
      <c r="E304" s="25"/>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7"/>
    </row>
    <row r="305" spans="1:42" outlineLevel="1" x14ac:dyDescent="0.25">
      <c r="A305" s="12"/>
      <c r="B305" s="13"/>
      <c r="C305" s="14"/>
      <c r="D305" s="14"/>
      <c r="E305" s="15"/>
      <c r="F305" s="16"/>
      <c r="G305" s="14"/>
      <c r="H305" s="14"/>
      <c r="I305" s="159"/>
      <c r="J305" s="159"/>
      <c r="K305" s="159"/>
      <c r="L305" s="159"/>
      <c r="M305" s="159"/>
      <c r="N305" s="159"/>
      <c r="O305" s="159"/>
      <c r="P305" s="159"/>
      <c r="Q305" s="159"/>
      <c r="R305" s="159"/>
      <c r="S305" s="159"/>
      <c r="T305" s="159"/>
      <c r="U305" s="159"/>
      <c r="V305" s="159"/>
      <c r="W305" s="159"/>
      <c r="X305" s="159"/>
      <c r="Y305" s="159"/>
      <c r="Z305" s="159"/>
      <c r="AA305" s="159"/>
      <c r="AB305" s="159"/>
      <c r="AC305" s="14"/>
      <c r="AD305" s="14"/>
      <c r="AE305" s="14"/>
      <c r="AF305" s="14"/>
      <c r="AG305" s="14"/>
      <c r="AH305" s="14"/>
      <c r="AI305" s="14"/>
      <c r="AJ305" s="14"/>
      <c r="AK305" s="14"/>
      <c r="AL305" s="14"/>
      <c r="AM305" s="14"/>
      <c r="AN305" s="14"/>
      <c r="AO305" s="14"/>
      <c r="AP305" s="17"/>
    </row>
    <row r="306" spans="1:42" outlineLevel="1" x14ac:dyDescent="0.25">
      <c r="A306" s="12"/>
      <c r="B306" s="13"/>
      <c r="C306" s="37" t="s">
        <v>508</v>
      </c>
      <c r="D306" s="37"/>
      <c r="E306" s="38"/>
      <c r="F306" s="39"/>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17"/>
    </row>
    <row r="307" spans="1:42" outlineLevel="1" x14ac:dyDescent="0.25">
      <c r="A307" s="12"/>
      <c r="B307" s="13"/>
      <c r="C307" s="95" t="s">
        <v>254</v>
      </c>
      <c r="D307" s="14"/>
      <c r="E307" s="15"/>
      <c r="F307" s="16"/>
      <c r="G307" s="14"/>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29"/>
    </row>
    <row r="308" spans="1:42" outlineLevel="1" x14ac:dyDescent="0.25">
      <c r="A308" s="12"/>
      <c r="B308" s="13"/>
      <c r="C308" s="96" t="s">
        <v>120</v>
      </c>
      <c r="D308" s="14"/>
      <c r="E308" s="15" t="s">
        <v>142</v>
      </c>
      <c r="F308" s="158" t="str">
        <f>Dashboard!$I$63</f>
        <v>3 Axle Double Decker Bus</v>
      </c>
      <c r="G308" s="14"/>
      <c r="H308" s="150">
        <f>IF(C308=F308,Data!$E$236,0)</f>
        <v>0</v>
      </c>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29"/>
    </row>
    <row r="309" spans="1:42" outlineLevel="1" x14ac:dyDescent="0.25">
      <c r="A309" s="12"/>
      <c r="B309" s="13"/>
      <c r="C309" s="96" t="s">
        <v>124</v>
      </c>
      <c r="D309" s="14"/>
      <c r="E309" s="15" t="s">
        <v>142</v>
      </c>
      <c r="F309" s="158" t="str">
        <f>Dashboard!$I$63</f>
        <v>3 Axle Double Decker Bus</v>
      </c>
      <c r="G309" s="14"/>
      <c r="H309" s="150">
        <f>IF(C309=F309,Data!$E$237,0)</f>
        <v>0</v>
      </c>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29"/>
    </row>
    <row r="310" spans="1:42" outlineLevel="1" x14ac:dyDescent="0.25">
      <c r="A310" s="12"/>
      <c r="B310" s="13"/>
      <c r="C310" s="96" t="s">
        <v>126</v>
      </c>
      <c r="D310" s="14"/>
      <c r="E310" s="15" t="s">
        <v>142</v>
      </c>
      <c r="F310" s="158" t="str">
        <f>Dashboard!$I$63</f>
        <v>3 Axle Double Decker Bus</v>
      </c>
      <c r="G310" s="14"/>
      <c r="H310" s="150">
        <f>IF(C310=F310,Data!$E$238,0)</f>
        <v>500000</v>
      </c>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29"/>
    </row>
    <row r="311" spans="1:42" outlineLevel="1" x14ac:dyDescent="0.25">
      <c r="A311" s="12"/>
      <c r="B311" s="13"/>
      <c r="C311" s="96"/>
      <c r="D311" s="14"/>
      <c r="E311" s="15"/>
      <c r="F311" s="158"/>
      <c r="G311" s="14"/>
      <c r="H311" s="150"/>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29"/>
    </row>
    <row r="312" spans="1:42" outlineLevel="1" x14ac:dyDescent="0.25">
      <c r="A312" s="12"/>
      <c r="B312" s="13"/>
      <c r="C312" s="95" t="s">
        <v>545</v>
      </c>
      <c r="D312" s="14"/>
      <c r="E312" s="15"/>
      <c r="F312" s="158"/>
      <c r="G312" s="14"/>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1"/>
      <c r="AI312" s="151"/>
      <c r="AJ312" s="151"/>
      <c r="AK312" s="151"/>
      <c r="AL312" s="151"/>
      <c r="AM312" s="151"/>
      <c r="AN312" s="151"/>
      <c r="AO312" s="151"/>
      <c r="AP312" s="29"/>
    </row>
    <row r="313" spans="1:42" outlineLevel="1" x14ac:dyDescent="0.25">
      <c r="A313" s="12"/>
      <c r="B313" s="13"/>
      <c r="C313" s="96" t="s">
        <v>120</v>
      </c>
      <c r="D313" s="14"/>
      <c r="E313" s="15" t="s">
        <v>142</v>
      </c>
      <c r="F313" s="158" t="str">
        <f>Dashboard!$I$63</f>
        <v>3 Axle Double Decker Bus</v>
      </c>
      <c r="G313" s="14"/>
      <c r="H313" s="151"/>
      <c r="I313" s="151"/>
      <c r="J313" s="151"/>
      <c r="K313" s="151"/>
      <c r="L313" s="151"/>
      <c r="M313" s="151"/>
      <c r="N313" s="151"/>
      <c r="O313" s="151"/>
      <c r="P313" s="151"/>
      <c r="Q313" s="151">
        <f>IF(Dashboard!$I$32&gt;Data!$E$242, IF($F$313=$C$313,Q301,0),0)</f>
        <v>0</v>
      </c>
      <c r="R313" s="151"/>
      <c r="S313" s="151"/>
      <c r="T313" s="151"/>
      <c r="U313" s="151"/>
      <c r="V313" s="151"/>
      <c r="W313" s="151"/>
      <c r="X313" s="151"/>
      <c r="Y313" s="151"/>
      <c r="Z313" s="151"/>
      <c r="AA313" s="151"/>
      <c r="AB313" s="151"/>
      <c r="AC313" s="151"/>
      <c r="AD313" s="151"/>
      <c r="AE313" s="151"/>
      <c r="AF313" s="151"/>
      <c r="AG313" s="151"/>
      <c r="AH313" s="151"/>
      <c r="AI313" s="151"/>
      <c r="AJ313" s="151"/>
      <c r="AK313" s="151"/>
      <c r="AL313" s="151"/>
      <c r="AM313" s="151"/>
      <c r="AN313" s="151"/>
      <c r="AO313" s="151"/>
      <c r="AP313" s="29"/>
    </row>
    <row r="314" spans="1:42" outlineLevel="1" x14ac:dyDescent="0.25">
      <c r="A314" s="12"/>
      <c r="B314" s="13"/>
      <c r="C314" s="96" t="s">
        <v>124</v>
      </c>
      <c r="D314" s="14"/>
      <c r="E314" s="15" t="s">
        <v>142</v>
      </c>
      <c r="F314" s="158" t="str">
        <f>Dashboard!$I$63</f>
        <v>3 Axle Double Decker Bus</v>
      </c>
      <c r="G314" s="14"/>
      <c r="H314" s="151"/>
      <c r="I314" s="151"/>
      <c r="J314" s="151"/>
      <c r="K314" s="151"/>
      <c r="L314" s="151"/>
      <c r="M314" s="151"/>
      <c r="N314" s="151"/>
      <c r="O314" s="151"/>
      <c r="P314" s="151"/>
      <c r="Q314" s="151">
        <f>IF(Dashboard!$I$32&gt;Data!$E$242, IF($F$314=$C$314,Q302,0),0)</f>
        <v>0</v>
      </c>
      <c r="R314" s="151"/>
      <c r="S314" s="151"/>
      <c r="T314" s="151"/>
      <c r="U314" s="151"/>
      <c r="V314" s="151"/>
      <c r="W314" s="151"/>
      <c r="X314" s="151"/>
      <c r="Y314" s="151"/>
      <c r="Z314" s="151"/>
      <c r="AA314" s="151"/>
      <c r="AB314" s="151"/>
      <c r="AC314" s="151"/>
      <c r="AD314" s="151"/>
      <c r="AE314" s="151"/>
      <c r="AF314" s="151"/>
      <c r="AG314" s="151"/>
      <c r="AH314" s="151"/>
      <c r="AI314" s="151"/>
      <c r="AJ314" s="151"/>
      <c r="AK314" s="151"/>
      <c r="AL314" s="151"/>
      <c r="AM314" s="151"/>
      <c r="AN314" s="151"/>
      <c r="AO314" s="151"/>
      <c r="AP314" s="29"/>
    </row>
    <row r="315" spans="1:42" outlineLevel="1" x14ac:dyDescent="0.25">
      <c r="A315" s="12"/>
      <c r="B315" s="13"/>
      <c r="C315" s="96" t="s">
        <v>126</v>
      </c>
      <c r="D315" s="14"/>
      <c r="E315" s="15" t="s">
        <v>142</v>
      </c>
      <c r="F315" s="158" t="str">
        <f>Dashboard!$I$63</f>
        <v>3 Axle Double Decker Bus</v>
      </c>
      <c r="G315" s="14"/>
      <c r="H315" s="151"/>
      <c r="I315" s="151"/>
      <c r="J315" s="151"/>
      <c r="K315" s="151"/>
      <c r="L315" s="151"/>
      <c r="M315" s="151"/>
      <c r="N315" s="151"/>
      <c r="O315" s="151"/>
      <c r="P315" s="151"/>
      <c r="Q315" s="151">
        <f>IF(Dashboard!$I$32&gt;Data!$E$242, IF($F$315=$C$315,Q303,0),0)</f>
        <v>0</v>
      </c>
      <c r="R315" s="151"/>
      <c r="S315" s="151"/>
      <c r="T315" s="151"/>
      <c r="U315" s="151"/>
      <c r="V315" s="151"/>
      <c r="W315" s="151"/>
      <c r="X315" s="151"/>
      <c r="Y315" s="151"/>
      <c r="Z315" s="151"/>
      <c r="AA315" s="151"/>
      <c r="AB315" s="151"/>
      <c r="AC315" s="151"/>
      <c r="AD315" s="151"/>
      <c r="AE315" s="151"/>
      <c r="AF315" s="151"/>
      <c r="AG315" s="151"/>
      <c r="AH315" s="151"/>
      <c r="AI315" s="151"/>
      <c r="AJ315" s="151"/>
      <c r="AK315" s="151"/>
      <c r="AL315" s="151"/>
      <c r="AM315" s="151"/>
      <c r="AN315" s="151"/>
      <c r="AO315" s="151"/>
      <c r="AP315" s="29"/>
    </row>
    <row r="316" spans="1:42" outlineLevel="1" x14ac:dyDescent="0.25">
      <c r="A316" s="12"/>
      <c r="B316" s="13"/>
      <c r="C316" s="20"/>
      <c r="D316" s="14"/>
      <c r="E316" s="15"/>
      <c r="F316" s="16"/>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7"/>
    </row>
    <row r="317" spans="1:42" outlineLevel="1" x14ac:dyDescent="0.25">
      <c r="A317" s="12"/>
      <c r="B317" s="13"/>
      <c r="C317" s="140" t="s">
        <v>306</v>
      </c>
      <c r="D317" s="14"/>
      <c r="E317" s="15"/>
      <c r="F317" s="16"/>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7"/>
    </row>
    <row r="318" spans="1:42" outlineLevel="1" x14ac:dyDescent="0.25">
      <c r="A318" s="12"/>
      <c r="B318" s="13"/>
      <c r="C318" s="14" t="s">
        <v>546</v>
      </c>
      <c r="D318" s="14"/>
      <c r="E318" s="15" t="s">
        <v>142</v>
      </c>
      <c r="F318" s="16"/>
      <c r="G318" s="14"/>
      <c r="H318" s="150">
        <f>Data!$E$252</f>
        <v>62335</v>
      </c>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7"/>
    </row>
    <row r="319" spans="1:42" outlineLevel="1" x14ac:dyDescent="0.25">
      <c r="A319" s="12"/>
      <c r="B319" s="13"/>
      <c r="C319" s="14" t="s">
        <v>547</v>
      </c>
      <c r="D319" s="14"/>
      <c r="E319" s="15" t="s">
        <v>142</v>
      </c>
      <c r="F319" s="16"/>
      <c r="G319" s="14"/>
      <c r="H319" s="150">
        <f>Data!$E$253</f>
        <v>70444.868888888886</v>
      </c>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7"/>
    </row>
    <row r="320" spans="1:42" outlineLevel="1" x14ac:dyDescent="0.25">
      <c r="A320" s="12"/>
      <c r="B320" s="13"/>
      <c r="C320" s="136" t="s">
        <v>310</v>
      </c>
      <c r="D320" s="14"/>
      <c r="E320" s="15" t="s">
        <v>142</v>
      </c>
      <c r="F320" s="158">
        <f>Dashboard!$I$64</f>
        <v>1</v>
      </c>
      <c r="G320" s="14"/>
      <c r="H320" s="177">
        <f>(Data!$E$254*Repowered!F320)/Dashboard!$I$61</f>
        <v>12615.384615384615</v>
      </c>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7"/>
    </row>
    <row r="321" spans="1:42" outlineLevel="1" x14ac:dyDescent="0.25">
      <c r="A321" s="12"/>
      <c r="B321" s="13"/>
      <c r="C321" s="14" t="s">
        <v>311</v>
      </c>
      <c r="D321" s="14"/>
      <c r="E321" s="15" t="s">
        <v>142</v>
      </c>
      <c r="F321" s="16"/>
      <c r="G321" s="14"/>
      <c r="H321" s="177">
        <f>(Data!$E$255*F320)/Dashboard!$I$61</f>
        <v>13866.71842372945</v>
      </c>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7"/>
    </row>
    <row r="322" spans="1:42" outlineLevel="1" x14ac:dyDescent="0.25">
      <c r="A322" s="12"/>
      <c r="B322" s="13"/>
      <c r="C322" s="45"/>
      <c r="D322" s="45"/>
      <c r="E322" s="15"/>
      <c r="F322" s="16"/>
      <c r="G322" s="14"/>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9"/>
    </row>
    <row r="323" spans="1:42" outlineLevel="1" x14ac:dyDescent="0.25">
      <c r="A323" s="12"/>
      <c r="B323" s="13"/>
      <c r="C323" s="19" t="s">
        <v>510</v>
      </c>
      <c r="D323" s="45"/>
      <c r="E323" s="15"/>
      <c r="F323" s="16"/>
      <c r="G323" s="14"/>
      <c r="H323" s="182">
        <f>SUM(H308:H322)</f>
        <v>659261.97192800289</v>
      </c>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9"/>
    </row>
    <row r="324" spans="1:42" s="140" customFormat="1" outlineLevel="1" x14ac:dyDescent="0.25">
      <c r="A324" s="78"/>
      <c r="B324" s="19"/>
      <c r="C324" s="95" t="s">
        <v>511</v>
      </c>
      <c r="D324" s="20"/>
      <c r="E324" s="21"/>
      <c r="F324" s="48"/>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370"/>
    </row>
    <row r="325" spans="1:42" s="140" customFormat="1" outlineLevel="1" x14ac:dyDescent="0.25">
      <c r="A325" s="78"/>
      <c r="B325" s="19"/>
      <c r="C325" s="95" t="s">
        <v>511</v>
      </c>
      <c r="D325" s="20"/>
      <c r="E325" s="21"/>
      <c r="F325" s="48"/>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370"/>
    </row>
    <row r="326" spans="1:42" s="140" customFormat="1" outlineLevel="1" x14ac:dyDescent="0.25">
      <c r="A326" s="78"/>
      <c r="B326" s="19"/>
      <c r="C326" s="414" t="s">
        <v>511</v>
      </c>
      <c r="D326" s="415" t="s">
        <v>548</v>
      </c>
      <c r="E326" s="416" t="s">
        <v>304</v>
      </c>
      <c r="F326" s="48"/>
      <c r="G326" s="20"/>
      <c r="H326" s="14"/>
      <c r="I326" s="369"/>
      <c r="J326" s="369"/>
      <c r="K326" s="369"/>
      <c r="L326" s="369"/>
      <c r="M326" s="369"/>
      <c r="N326" s="369"/>
      <c r="O326" s="369"/>
      <c r="P326" s="369"/>
      <c r="Q326" s="369"/>
      <c r="R326" s="369"/>
      <c r="S326" s="369"/>
      <c r="T326" s="369"/>
      <c r="U326" s="369"/>
      <c r="V326" s="369"/>
      <c r="W326" s="369"/>
      <c r="X326" s="369"/>
      <c r="Y326" s="369"/>
      <c r="Z326" s="369"/>
      <c r="AA326" s="369"/>
      <c r="AB326" s="369"/>
      <c r="AC326" s="369"/>
      <c r="AD326" s="369"/>
      <c r="AE326" s="369"/>
      <c r="AF326" s="369"/>
      <c r="AG326" s="369"/>
      <c r="AH326" s="369"/>
      <c r="AI326" s="369"/>
      <c r="AJ326" s="369"/>
      <c r="AK326" s="369"/>
      <c r="AL326" s="369"/>
      <c r="AM326" s="369"/>
      <c r="AN326" s="369"/>
      <c r="AO326" s="369"/>
      <c r="AP326" s="370"/>
    </row>
    <row r="327" spans="1:42" s="140" customFormat="1" ht="14.25" customHeight="1" outlineLevel="1" x14ac:dyDescent="0.25">
      <c r="A327" s="78"/>
      <c r="B327" s="19"/>
      <c r="C327" s="414" t="s">
        <v>549</v>
      </c>
      <c r="D327" s="417">
        <f>H323</f>
        <v>659261.97192800289</v>
      </c>
      <c r="E327" s="418">
        <f>Dashboard!$I$32</f>
        <v>12</v>
      </c>
      <c r="F327" s="48"/>
      <c r="G327" s="20"/>
      <c r="H327" s="14"/>
      <c r="I327" s="244">
        <f>IF(I297&gt;0,-PMT(Data!$E$10,$E$327,$H$323,0,0),0)</f>
        <v>70245.795478222761</v>
      </c>
      <c r="J327" s="244">
        <f>IF(J297&gt;0,-PMT(Data!$E$10,$E$327,$H$323,0,0),0)</f>
        <v>70245.795478222761</v>
      </c>
      <c r="K327" s="244">
        <f>IF(K297&gt;0,-PMT(Data!$E$10,$E$327,$H$323,0,0),0)</f>
        <v>70245.795478222761</v>
      </c>
      <c r="L327" s="244">
        <f>IF(L297&gt;0,-PMT(Data!$E$10,$E$327,$H$323,0,0),0)</f>
        <v>70245.795478222761</v>
      </c>
      <c r="M327" s="244">
        <f>IF(M297&gt;0,-PMT(Data!$E$10,$E$327,$H$323,0,0),0)</f>
        <v>70245.795478222761</v>
      </c>
      <c r="N327" s="244">
        <f>IF(N297&gt;0,-PMT(Data!$E$10,$E$327,$H$323,0,0),0)</f>
        <v>70245.795478222761</v>
      </c>
      <c r="O327" s="244">
        <f>IF(O297&gt;0,-PMT(Data!$E$10,$E$327,$H$323,0,0),0)</f>
        <v>70245.795478222761</v>
      </c>
      <c r="P327" s="244">
        <f>IF(P297&gt;0,-PMT(Data!$E$10,$E$327,$H$323,0,0),0)</f>
        <v>70245.795478222761</v>
      </c>
      <c r="Q327" s="244">
        <f>IF(Q297&gt;0,-PMT(Data!$E$10,$E$327,$H$323,0,0),0)</f>
        <v>70245.795478222761</v>
      </c>
      <c r="R327" s="244">
        <f>IF(R297&gt;0,-PMT(Data!$E$10,$E$327,$H$323,0,0),0)</f>
        <v>70245.795478222761</v>
      </c>
      <c r="S327" s="244">
        <f>IF(S297&gt;0,-PMT(Data!$E$10,$E$327,$H$323,0,0),0)</f>
        <v>70245.795478222761</v>
      </c>
      <c r="T327" s="244">
        <f>IF(T297&gt;0,-PMT(Data!$E$10,$E$327,$H$323,0,0),0)</f>
        <v>70245.795478222761</v>
      </c>
      <c r="U327" s="244">
        <f>IF(U297&gt;0,-PMT(Data!$E$10,$E$327,$H$323,0,0),0)</f>
        <v>0</v>
      </c>
      <c r="V327" s="244">
        <f>IF(V297&gt;0,-PMT(Data!$E$10,$E$327,$H$323,0,0),0)</f>
        <v>0</v>
      </c>
      <c r="W327" s="244">
        <f>IF(W297&gt;0,-PMT(Data!$E$10,$E$327,$H$323,0,0),0)</f>
        <v>0</v>
      </c>
      <c r="X327" s="244">
        <f>IF(X297&gt;0,-PMT(Data!$E$10,$E$327,$H$323,0,0),0)</f>
        <v>0</v>
      </c>
      <c r="Y327" s="244">
        <f>IF(Y297&gt;0,-PMT(Data!$E$10,$E$327,$H$323,0,0),0)</f>
        <v>0</v>
      </c>
      <c r="Z327" s="244">
        <f>IF(Z297&gt;0,-PMT(Data!$E$10,$E$327,$H$323,0,0),0)</f>
        <v>0</v>
      </c>
      <c r="AA327" s="244">
        <f>IF(AA297&gt;0,-PMT(Data!$E$10,$E$327,$H$323,0,0),0)</f>
        <v>0</v>
      </c>
      <c r="AB327" s="244">
        <f>IF(AB297&gt;0,-PMT(Data!$E$10,$E$327,$H$323,0,0),0)</f>
        <v>0</v>
      </c>
      <c r="AC327" s="244">
        <f>IF(AC297&gt;0,-PMT(Data!$E$10,$E$327,$H$323,0,0),0)</f>
        <v>0</v>
      </c>
      <c r="AD327" s="244">
        <f>IF(AD297&gt;0,-PMT(Data!$E$10,$E$327,$H$323,0,0),0)</f>
        <v>0</v>
      </c>
      <c r="AE327" s="244">
        <f>IF(AE297&gt;0,-PMT(Data!$E$10,$E$327,$H$323,0,0),0)</f>
        <v>0</v>
      </c>
      <c r="AF327" s="244">
        <f>IF(AF297&gt;0,-PMT(Data!$E$10,$E$327,$H$323,0,0),0)</f>
        <v>0</v>
      </c>
      <c r="AG327" s="244">
        <f>IF(AG297&gt;0,-PMT(Data!$E$10,$E$327,$H$323,0,0),0)</f>
        <v>0</v>
      </c>
      <c r="AH327" s="244">
        <f>IF(AH297&gt;0,-PMT(Data!$E$10,$E$327,$H$323,0,0),0)</f>
        <v>0</v>
      </c>
      <c r="AI327" s="244">
        <f>IF(AI297&gt;0,-PMT(Data!$E$10,$E$327,$H$323,0,0),0)</f>
        <v>0</v>
      </c>
      <c r="AJ327" s="244">
        <f>IF(AJ297&gt;0,-PMT(Data!$E$10,$E$327,$H$323,0,0),0)</f>
        <v>0</v>
      </c>
      <c r="AK327" s="244">
        <f>IF(AK297&gt;0,-PMT(Data!$E$10,$E$327,$H$323,0,0),0)</f>
        <v>0</v>
      </c>
      <c r="AL327" s="244">
        <f>IF(AL297&gt;0,-PMT(Data!$E$10,$E$327,$H$323,0,0),0)</f>
        <v>0</v>
      </c>
      <c r="AM327" s="244">
        <f>IF(AM297&gt;0,-PMT(Data!$E$10,$E$327,$H$323,0,0),0)</f>
        <v>0</v>
      </c>
      <c r="AN327" s="244">
        <f>IF(AN297&gt;0,-PMT(Data!$E$10,$E$327,$H$323,0,0),0)</f>
        <v>0</v>
      </c>
      <c r="AO327" s="244">
        <f>IF(AO297&gt;0,-PMT(Data!$E$10,$E$327,$H$323,0,0),0)</f>
        <v>0</v>
      </c>
      <c r="AP327" s="370"/>
    </row>
    <row r="328" spans="1:42" s="140" customFormat="1" outlineLevel="1" x14ac:dyDescent="0.25">
      <c r="A328" s="78"/>
      <c r="B328" s="19"/>
      <c r="C328" s="414" t="s">
        <v>550</v>
      </c>
      <c r="D328" s="417">
        <f>SUM(Q309:Q316)</f>
        <v>0</v>
      </c>
      <c r="E328" s="418">
        <f>IF(SUM(Q309:Q316)&gt;0,(E327-Data!$E$241),0)</f>
        <v>0</v>
      </c>
      <c r="F328" s="48"/>
      <c r="G328" s="20"/>
      <c r="H328" s="14"/>
      <c r="I328"/>
      <c r="J328" s="369"/>
      <c r="K328" s="369"/>
      <c r="L328" s="369"/>
      <c r="M328" s="369"/>
      <c r="N328" s="369"/>
      <c r="O328" s="369"/>
      <c r="P328" s="369"/>
      <c r="Q328"/>
      <c r="R328" s="369">
        <f>IFERROR(IF(R327&gt;0,-PMT(Data!$E$10,$E$328,$D$328,0,0),0),)</f>
        <v>0</v>
      </c>
      <c r="S328" s="369">
        <f>IFERROR(IF(S327&gt;0,-PMT(Data!$E$10,$E$328,$D$328,0,0),0),)</f>
        <v>0</v>
      </c>
      <c r="T328" s="369">
        <f>IFERROR(IF(T327&gt;0,-PMT(Data!$E$10,$E$328,$D$328,0,0),0),)</f>
        <v>0</v>
      </c>
      <c r="U328" s="369">
        <f>IFERROR(IF(U327&gt;0,-PMT(Data!$E$10,$E$328,$D$328,0,0),0),)</f>
        <v>0</v>
      </c>
      <c r="V328" s="369">
        <f>IFERROR(IF(V327&gt;0,-PMT(Data!$E$10,$E$328,$D$328,0,0),0),)</f>
        <v>0</v>
      </c>
      <c r="W328" s="369">
        <f>IFERROR(IF(W327&gt;0,-PMT(Data!$E$10,$E$328,$D$328,0,0),0),)</f>
        <v>0</v>
      </c>
      <c r="X328" s="369">
        <f>IFERROR(IF(X327&gt;0,-PMT(Data!$E$10,$E$328,$D$328,0,0),0),)</f>
        <v>0</v>
      </c>
      <c r="Y328" s="369">
        <f>IFERROR(IF(Y327&gt;0,-PMT(Data!$E$10,$E$328,$D$328,0,0),0),)</f>
        <v>0</v>
      </c>
      <c r="Z328" s="369">
        <f>IFERROR(IF(Z327&gt;0,-PMT(Data!$E$10,$E$328,$D$328,0,0),0),)</f>
        <v>0</v>
      </c>
      <c r="AA328" s="369">
        <f>IFERROR(IF(AA327&gt;0,-PMT(Data!$E$10,$E$328,$D$328,0,0),0),)</f>
        <v>0</v>
      </c>
      <c r="AB328" s="369">
        <f>IFERROR(IF(AB327&gt;0,-PMT(Data!$E$10,$E$328,$D$328,0,0),0),)</f>
        <v>0</v>
      </c>
      <c r="AC328" s="369">
        <f>IFERROR(IF(AC327&gt;0,-PMT(Data!$E$10,$E$328,$D$328,0,0),0),)</f>
        <v>0</v>
      </c>
      <c r="AD328" s="369">
        <f>IFERROR(IF(AD327&gt;0,-PMT(Data!$E$10,$E$328,$D$328,0,0),0),)</f>
        <v>0</v>
      </c>
      <c r="AE328" s="369">
        <f>IFERROR(IF(AE327&gt;0,-PMT(Data!$E$10,$E$328,$D$328,0,0),0),)</f>
        <v>0</v>
      </c>
      <c r="AF328" s="369">
        <f>IFERROR(IF(AF327&gt;0,-PMT(Data!$E$10,$E$328,$D$328,0,0),0),)</f>
        <v>0</v>
      </c>
      <c r="AG328" s="369">
        <f>IFERROR(IF(AG327&gt;0,-PMT(Data!$E$10,$E$328,$D$328,0,0),0),)</f>
        <v>0</v>
      </c>
      <c r="AH328" s="369">
        <f>IFERROR(IF(AH327&gt;0,-PMT(Data!$E$10,$E$328,$D$328,0,0),0),)</f>
        <v>0</v>
      </c>
      <c r="AI328" s="369">
        <f>IFERROR(IF(AI327&gt;0,-PMT(Data!$E$10,$E$328,$D$328,0,0),0),)</f>
        <v>0</v>
      </c>
      <c r="AJ328" s="369">
        <f>IFERROR(IF(AJ327&gt;0,-PMT(Data!$E$10,$E$328,$D$328,0,0),0),)</f>
        <v>0</v>
      </c>
      <c r="AK328" s="369">
        <f>IFERROR(IF(AK327&gt;0,-PMT(Data!$E$10,$E$328,$D$328,0,0),0),)</f>
        <v>0</v>
      </c>
      <c r="AL328" s="369">
        <f>IFERROR(IF(AL327&gt;0,-PMT(Data!$E$10,$E$328,$D$328,0,0),0),)</f>
        <v>0</v>
      </c>
      <c r="AM328" s="369">
        <f>IFERROR(IF(AM327&gt;0,-PMT(Data!$E$10,$E$328,$D$328,0,0),0),)</f>
        <v>0</v>
      </c>
      <c r="AN328" s="369">
        <f>IFERROR(IF(AN327&gt;0,-PMT(Data!$E$10,$E$328,$D$328,0,0),0),)</f>
        <v>0</v>
      </c>
      <c r="AO328" s="369"/>
      <c r="AP328" s="370"/>
    </row>
    <row r="329" spans="1:42" s="140" customFormat="1" outlineLevel="1" x14ac:dyDescent="0.25">
      <c r="A329" s="78"/>
      <c r="B329" s="19"/>
      <c r="C329" s="95"/>
      <c r="D329" s="20"/>
      <c r="E329" s="21"/>
      <c r="F329" s="48"/>
      <c r="G329" s="20"/>
      <c r="H329" s="20"/>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AI329" s="244"/>
      <c r="AJ329" s="244"/>
      <c r="AK329" s="244"/>
      <c r="AL329" s="244"/>
      <c r="AM329" s="244"/>
      <c r="AN329" s="244"/>
      <c r="AO329" s="244"/>
      <c r="AP329" s="370"/>
    </row>
    <row r="330" spans="1:42" outlineLevel="1" x14ac:dyDescent="0.25">
      <c r="A330" s="12"/>
      <c r="B330" s="13"/>
      <c r="C330" s="19" t="s">
        <v>510</v>
      </c>
      <c r="D330" s="45"/>
      <c r="E330" s="15"/>
      <c r="F330" s="16"/>
      <c r="G330" s="14"/>
      <c r="H330" s="20"/>
      <c r="I330" s="413">
        <f>I327+I328</f>
        <v>70245.795478222761</v>
      </c>
      <c r="J330" s="413">
        <f t="shared" ref="J330:AM330" si="51">J327+J328</f>
        <v>70245.795478222761</v>
      </c>
      <c r="K330" s="413">
        <f t="shared" si="51"/>
        <v>70245.795478222761</v>
      </c>
      <c r="L330" s="413">
        <f t="shared" si="51"/>
        <v>70245.795478222761</v>
      </c>
      <c r="M330" s="413">
        <f t="shared" si="51"/>
        <v>70245.795478222761</v>
      </c>
      <c r="N330" s="413">
        <f t="shared" si="51"/>
        <v>70245.795478222761</v>
      </c>
      <c r="O330" s="413">
        <f t="shared" si="51"/>
        <v>70245.795478222761</v>
      </c>
      <c r="P330" s="413">
        <f t="shared" si="51"/>
        <v>70245.795478222761</v>
      </c>
      <c r="Q330" s="413">
        <f t="shared" si="51"/>
        <v>70245.795478222761</v>
      </c>
      <c r="R330" s="413">
        <f t="shared" si="51"/>
        <v>70245.795478222761</v>
      </c>
      <c r="S330" s="413">
        <f t="shared" si="51"/>
        <v>70245.795478222761</v>
      </c>
      <c r="T330" s="413">
        <f t="shared" si="51"/>
        <v>70245.795478222761</v>
      </c>
      <c r="U330" s="413">
        <f t="shared" si="51"/>
        <v>0</v>
      </c>
      <c r="V330" s="413">
        <f t="shared" si="51"/>
        <v>0</v>
      </c>
      <c r="W330" s="413">
        <f t="shared" si="51"/>
        <v>0</v>
      </c>
      <c r="X330" s="413">
        <f t="shared" si="51"/>
        <v>0</v>
      </c>
      <c r="Y330" s="413">
        <f t="shared" si="51"/>
        <v>0</v>
      </c>
      <c r="Z330" s="413">
        <f t="shared" si="51"/>
        <v>0</v>
      </c>
      <c r="AA330" s="413">
        <f t="shared" si="51"/>
        <v>0</v>
      </c>
      <c r="AB330" s="413">
        <f t="shared" si="51"/>
        <v>0</v>
      </c>
      <c r="AC330" s="413">
        <f t="shared" si="51"/>
        <v>0</v>
      </c>
      <c r="AD330" s="413">
        <f t="shared" si="51"/>
        <v>0</v>
      </c>
      <c r="AE330" s="413">
        <f t="shared" si="51"/>
        <v>0</v>
      </c>
      <c r="AF330" s="413">
        <f t="shared" si="51"/>
        <v>0</v>
      </c>
      <c r="AG330" s="413">
        <f t="shared" si="51"/>
        <v>0</v>
      </c>
      <c r="AH330" s="413">
        <f t="shared" si="51"/>
        <v>0</v>
      </c>
      <c r="AI330" s="413">
        <f t="shared" si="51"/>
        <v>0</v>
      </c>
      <c r="AJ330" s="413">
        <f t="shared" si="51"/>
        <v>0</v>
      </c>
      <c r="AK330" s="413">
        <f t="shared" si="51"/>
        <v>0</v>
      </c>
      <c r="AL330" s="413">
        <f t="shared" si="51"/>
        <v>0</v>
      </c>
      <c r="AM330" s="413">
        <f t="shared" si="51"/>
        <v>0</v>
      </c>
      <c r="AN330" s="28"/>
      <c r="AO330" s="28"/>
      <c r="AP330" s="29"/>
    </row>
    <row r="331" spans="1:42" outlineLevel="1" x14ac:dyDescent="0.25">
      <c r="A331" s="12"/>
      <c r="B331" s="13"/>
      <c r="C331" s="19"/>
      <c r="D331" s="45"/>
      <c r="E331" s="15"/>
      <c r="F331" s="16"/>
      <c r="G331" s="14"/>
      <c r="H331" s="20"/>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28"/>
      <c r="AI331" s="28"/>
      <c r="AJ331" s="28"/>
      <c r="AK331" s="28"/>
      <c r="AL331" s="28"/>
      <c r="AM331" s="28"/>
      <c r="AN331" s="28"/>
      <c r="AO331" s="28"/>
      <c r="AP331" s="29"/>
    </row>
    <row r="332" spans="1:42" outlineLevel="1" x14ac:dyDescent="0.25">
      <c r="A332" s="12"/>
      <c r="B332" s="13"/>
      <c r="C332" s="37" t="s">
        <v>472</v>
      </c>
      <c r="D332" s="37"/>
      <c r="E332" s="38"/>
      <c r="F332" s="39"/>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17"/>
    </row>
    <row r="333" spans="1:42" outlineLevel="1" x14ac:dyDescent="0.25">
      <c r="A333" s="12"/>
      <c r="B333" s="13"/>
      <c r="C333" s="44" t="s">
        <v>258</v>
      </c>
      <c r="D333" s="44"/>
      <c r="E333" s="15"/>
      <c r="F333" s="16"/>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7"/>
    </row>
    <row r="334" spans="1:42" outlineLevel="1" x14ac:dyDescent="0.25">
      <c r="A334" s="12"/>
      <c r="B334" s="13"/>
      <c r="C334" s="45" t="s">
        <v>120</v>
      </c>
      <c r="D334" s="45"/>
      <c r="E334" s="15" t="s">
        <v>474</v>
      </c>
      <c r="F334" s="158" t="str">
        <f>Dashboard!$I$63</f>
        <v>3 Axle Double Decker Bus</v>
      </c>
      <c r="G334" s="14"/>
      <c r="H334" s="177"/>
      <c r="I334" s="177">
        <f>IF($C$334=$F$334,Data!$E$260*I$297,0)</f>
        <v>0</v>
      </c>
      <c r="J334" s="177">
        <f>IF($C$334=$F$334,Data!$E$260*J$297,0)</f>
        <v>0</v>
      </c>
      <c r="K334" s="177">
        <f>IF($C$334=$F$334,Data!$E$260*K$297,0)</f>
        <v>0</v>
      </c>
      <c r="L334" s="177">
        <f>IF($C$334=$F$334,Data!$E$260*L$297,0)</f>
        <v>0</v>
      </c>
      <c r="M334" s="177">
        <f>IF($C$334=$F$334,Data!$E$260*M$297,0)</f>
        <v>0</v>
      </c>
      <c r="N334" s="177">
        <f>IF($C$334=$F$334,Data!$E$260*N$297,0)</f>
        <v>0</v>
      </c>
      <c r="O334" s="177">
        <f>IF($C$334=$F$334,Data!$E$260*O$297,0)</f>
        <v>0</v>
      </c>
      <c r="P334" s="177">
        <f>IF($C$334=$F$334,Data!$E$260*P$297,0)</f>
        <v>0</v>
      </c>
      <c r="Q334" s="177">
        <f>IF($C$334=$F$334,Data!$E$260*Q$297,0)</f>
        <v>0</v>
      </c>
      <c r="R334" s="177">
        <f>IF($C$334=$F$334,Data!$E$260*R$297,0)</f>
        <v>0</v>
      </c>
      <c r="S334" s="177">
        <f>IF($C$334=$F$334,Data!$E$260*S$297,0)</f>
        <v>0</v>
      </c>
      <c r="T334" s="177">
        <f>IF($C$334=$F$334,Data!$E$260*T$297,0)</f>
        <v>0</v>
      </c>
      <c r="U334" s="177">
        <f>IF($C$334=$F$334,Data!$E$260*U$297,0)</f>
        <v>0</v>
      </c>
      <c r="V334" s="177">
        <f>IF($C$334=$F$334,Data!$E$260*V$297,0)</f>
        <v>0</v>
      </c>
      <c r="W334" s="177">
        <f>IF($C$334=$F$334,Data!$E$260*W$297,0)</f>
        <v>0</v>
      </c>
      <c r="X334" s="177">
        <f>IF($C$334=$F$334,Data!$E$260*X$297,0)</f>
        <v>0</v>
      </c>
      <c r="Y334" s="177">
        <f>IF($C$334=$F$334,Data!$E$260*Y$297,0)</f>
        <v>0</v>
      </c>
      <c r="Z334" s="177">
        <f>IF($C$334=$F$334,Data!$E$260*Z$297,0)</f>
        <v>0</v>
      </c>
      <c r="AA334" s="177">
        <f>IF($C$334=$F$334,Data!$E$260*AA$297,0)</f>
        <v>0</v>
      </c>
      <c r="AB334" s="177">
        <f>IF($C$334=$F$334,Data!$E$260*AB$297,0)</f>
        <v>0</v>
      </c>
      <c r="AC334" s="177">
        <f>IF($C$334=$F$334,Data!$E$260*AC$297,0)</f>
        <v>0</v>
      </c>
      <c r="AD334" s="177">
        <f>IF($C$334=$F$334,Data!$E$260*AD$297,0)</f>
        <v>0</v>
      </c>
      <c r="AE334" s="177">
        <f>IF($C$334=$F$334,Data!$E$260*AE$297,0)</f>
        <v>0</v>
      </c>
      <c r="AF334" s="177">
        <f>IF($C$334=$F$334,Data!$E$260*AF$297,0)</f>
        <v>0</v>
      </c>
      <c r="AG334" s="177">
        <f>IF($C$334=$F$334,Data!$E$260*AG$297,0)</f>
        <v>0</v>
      </c>
      <c r="AH334" s="177">
        <f>IF($C$334=$F$334,Data!$E$260*AH$297,0)</f>
        <v>0</v>
      </c>
      <c r="AI334" s="177">
        <f>IF($C$334=$F$334,Data!$E$260*AI$297,0)</f>
        <v>0</v>
      </c>
      <c r="AJ334" s="177">
        <f>IF($C$334=$F$334,Data!$E$260*AJ$297,0)</f>
        <v>0</v>
      </c>
      <c r="AK334" s="177">
        <f>IF($C$334=$F$334,Data!$E$260*AK$297,0)</f>
        <v>0</v>
      </c>
      <c r="AL334" s="177">
        <f>IF($C$334=$F$334,Data!$E$260*AL$297,0)</f>
        <v>0</v>
      </c>
      <c r="AM334" s="177">
        <f>IF($C$334=$F$334,Data!$E$260*AM$297,0)</f>
        <v>0</v>
      </c>
      <c r="AN334" s="177">
        <f>IF($C$334=$F$334,Data!$E$260*AN$297,0)</f>
        <v>0</v>
      </c>
      <c r="AO334" s="177">
        <f>IF($C$334=$F$334,Data!$E$260*AO$297,0)</f>
        <v>0</v>
      </c>
      <c r="AP334" s="29"/>
    </row>
    <row r="335" spans="1:42" outlineLevel="1" x14ac:dyDescent="0.25">
      <c r="A335" s="12"/>
      <c r="B335" s="13"/>
      <c r="C335" s="45" t="s">
        <v>124</v>
      </c>
      <c r="D335" s="45"/>
      <c r="E335" s="15" t="s">
        <v>474</v>
      </c>
      <c r="F335" s="158" t="str">
        <f>Dashboard!$I$63</f>
        <v>3 Axle Double Decker Bus</v>
      </c>
      <c r="G335" s="14"/>
      <c r="H335" s="177"/>
      <c r="I335" s="177">
        <f>IF($C$335=$F$335,Data!$E$261*I$297,0)</f>
        <v>0</v>
      </c>
      <c r="J335" s="177">
        <f>IF($C$335=$F$335,Data!$E$261*J$297,0)</f>
        <v>0</v>
      </c>
      <c r="K335" s="177">
        <f>IF($C$335=$F$335,Data!$E$261*K$297,0)</f>
        <v>0</v>
      </c>
      <c r="L335" s="177">
        <f>IF($C$335=$F$335,Data!$E$261*L$297,0)</f>
        <v>0</v>
      </c>
      <c r="M335" s="177">
        <f>IF($C$335=$F$335,Data!$E$261*M$297,0)</f>
        <v>0</v>
      </c>
      <c r="N335" s="177">
        <f>IF($C$335=$F$335,Data!$E$261*N$297,0)</f>
        <v>0</v>
      </c>
      <c r="O335" s="177">
        <f>IF($C$335=$F$335,Data!$E$261*O$297,0)</f>
        <v>0</v>
      </c>
      <c r="P335" s="177">
        <f>IF($C$335=$F$335,Data!$E$261*P$297,0)</f>
        <v>0</v>
      </c>
      <c r="Q335" s="177">
        <f>IF($C$335=$F$335,Data!$E$261*Q$297,0)</f>
        <v>0</v>
      </c>
      <c r="R335" s="177">
        <f>IF($C$335=$F$335,Data!$E$261*R$297,0)</f>
        <v>0</v>
      </c>
      <c r="S335" s="177">
        <f>IF($C$335=$F$335,Data!$E$261*S$297,0)</f>
        <v>0</v>
      </c>
      <c r="T335" s="177">
        <f>IF($C$335=$F$335,Data!$E$261*T$297,0)</f>
        <v>0</v>
      </c>
      <c r="U335" s="177">
        <f>IF($C$335=$F$335,Data!$E$261*U$297,0)</f>
        <v>0</v>
      </c>
      <c r="V335" s="177">
        <f>IF($C$335=$F$335,Data!$E$261*V$297,0)</f>
        <v>0</v>
      </c>
      <c r="W335" s="177">
        <f>IF($C$335=$F$335,Data!$E$261*W$297,0)</f>
        <v>0</v>
      </c>
      <c r="X335" s="177">
        <f>IF($C$335=$F$335,Data!$E$261*X$297,0)</f>
        <v>0</v>
      </c>
      <c r="Y335" s="177">
        <f>IF($C$335=$F$335,Data!$E$261*Y$297,0)</f>
        <v>0</v>
      </c>
      <c r="Z335" s="177">
        <f>IF($C$335=$F$335,Data!$E$261*Z$297,0)</f>
        <v>0</v>
      </c>
      <c r="AA335" s="177">
        <f>IF($C$335=$F$335,Data!$E$261*AA$297,0)</f>
        <v>0</v>
      </c>
      <c r="AB335" s="177">
        <f>IF($C$335=$F$335,Data!$E$261*AB$297,0)</f>
        <v>0</v>
      </c>
      <c r="AC335" s="177">
        <f>IF($C$335=$F$335,Data!$E$261*AC$297,0)</f>
        <v>0</v>
      </c>
      <c r="AD335" s="177">
        <f>IF($C$335=$F$335,Data!$E$261*AD$297,0)</f>
        <v>0</v>
      </c>
      <c r="AE335" s="177">
        <f>IF($C$335=$F$335,Data!$E$261*AE$297,0)</f>
        <v>0</v>
      </c>
      <c r="AF335" s="177">
        <f>IF($C$335=$F$335,Data!$E$261*AF$297,0)</f>
        <v>0</v>
      </c>
      <c r="AG335" s="177">
        <f>IF($C$335=$F$335,Data!$E$261*AG$297,0)</f>
        <v>0</v>
      </c>
      <c r="AH335" s="177">
        <f>IF($C$335=$F$335,Data!$E$261*AH$297,0)</f>
        <v>0</v>
      </c>
      <c r="AI335" s="177">
        <f>IF($C$335=$F$335,Data!$E$261*AI$297,0)</f>
        <v>0</v>
      </c>
      <c r="AJ335" s="177">
        <f>IF($C$335=$F$335,Data!$E$261*AJ$297,0)</f>
        <v>0</v>
      </c>
      <c r="AK335" s="177">
        <f>IF($C$335=$F$335,Data!$E$261*AK$297,0)</f>
        <v>0</v>
      </c>
      <c r="AL335" s="177">
        <f>IF($C$335=$F$335,Data!$E$261*AL$297,0)</f>
        <v>0</v>
      </c>
      <c r="AM335" s="177">
        <f>IF($C$335=$F$335,Data!$E$261*AM$297,0)</f>
        <v>0</v>
      </c>
      <c r="AN335" s="177">
        <f>IF($C$335=$F$335,Data!$E$261*AN$297,0)</f>
        <v>0</v>
      </c>
      <c r="AO335" s="177">
        <f>IF($C$335=$F$335,Data!$E$261*AO$297,0)</f>
        <v>0</v>
      </c>
      <c r="AP335" s="29"/>
    </row>
    <row r="336" spans="1:42" outlineLevel="1" x14ac:dyDescent="0.25">
      <c r="A336" s="12"/>
      <c r="B336" s="13"/>
      <c r="C336" s="45" t="s">
        <v>126</v>
      </c>
      <c r="D336" s="45"/>
      <c r="E336" s="15" t="s">
        <v>474</v>
      </c>
      <c r="F336" s="158" t="str">
        <f>Dashboard!$I$63</f>
        <v>3 Axle Double Decker Bus</v>
      </c>
      <c r="G336" s="14"/>
      <c r="H336" s="177"/>
      <c r="I336" s="177">
        <f>IF($C$336=$F$336,Data!$E$262*I$297,0)</f>
        <v>47455.19999999999</v>
      </c>
      <c r="J336" s="177">
        <f>IF($C$336=$F$336,Data!$E$262*J$297,0)</f>
        <v>47455.19999999999</v>
      </c>
      <c r="K336" s="177">
        <f>IF($C$336=$F$336,Data!$E$262*K$297,0)</f>
        <v>47455.19999999999</v>
      </c>
      <c r="L336" s="177">
        <f>IF($C$336=$F$336,Data!$E$262*L$297,0)</f>
        <v>47455.19999999999</v>
      </c>
      <c r="M336" s="177">
        <f>IF($C$336=$F$336,Data!$E$262*M$297,0)</f>
        <v>47455.19999999999</v>
      </c>
      <c r="N336" s="177">
        <f>IF($C$336=$F$336,Data!$E$262*N$297,0)</f>
        <v>47455.19999999999</v>
      </c>
      <c r="O336" s="177">
        <f>IF($C$336=$F$336,Data!$E$262*O$297,0)</f>
        <v>47455.19999999999</v>
      </c>
      <c r="P336" s="177">
        <f>IF($C$336=$F$336,Data!$E$262*P$297,0)</f>
        <v>47455.19999999999</v>
      </c>
      <c r="Q336" s="177">
        <f>IF($C$336=$F$336,Data!$E$262*Q$297,0)</f>
        <v>47455.19999999999</v>
      </c>
      <c r="R336" s="177">
        <f>IF($C$336=$F$336,Data!$E$262*R$297,0)</f>
        <v>47455.19999999999</v>
      </c>
      <c r="S336" s="177">
        <f>IF($C$336=$F$336,Data!$E$262*S$297,0)</f>
        <v>47455.19999999999</v>
      </c>
      <c r="T336" s="177">
        <f>IF($C$336=$F$336,Data!$E$262*T$297,0)</f>
        <v>47455.19999999999</v>
      </c>
      <c r="U336" s="177">
        <f>IF($C$336=$F$336,Data!$E$262*U$297,0)</f>
        <v>0</v>
      </c>
      <c r="V336" s="177">
        <f>IF($C$336=$F$336,Data!$E$262*V$297,0)</f>
        <v>0</v>
      </c>
      <c r="W336" s="177">
        <f>IF($C$336=$F$336,Data!$E$262*W$297,0)</f>
        <v>0</v>
      </c>
      <c r="X336" s="177">
        <f>IF($C$336=$F$336,Data!$E$262*X$297,0)</f>
        <v>0</v>
      </c>
      <c r="Y336" s="177">
        <f>IF($C$336=$F$336,Data!$E$262*Y$297,0)</f>
        <v>0</v>
      </c>
      <c r="Z336" s="177">
        <f>IF($C$336=$F$336,Data!$E$262*Z$297,0)</f>
        <v>0</v>
      </c>
      <c r="AA336" s="177">
        <f>IF($C$336=$F$336,Data!$E$262*AA$297,0)</f>
        <v>0</v>
      </c>
      <c r="AB336" s="177">
        <f>IF($C$336=$F$336,Data!$E$262*AB$297,0)</f>
        <v>0</v>
      </c>
      <c r="AC336" s="177">
        <f>IF($C$336=$F$336,Data!$E$262*AC$297,0)</f>
        <v>0</v>
      </c>
      <c r="AD336" s="177">
        <f>IF($C$336=$F$336,Data!$E$262*AD$297,0)</f>
        <v>0</v>
      </c>
      <c r="AE336" s="177">
        <f>IF($C$336=$F$336,Data!$E$262*AE$297,0)</f>
        <v>0</v>
      </c>
      <c r="AF336" s="177">
        <f>IF($C$336=$F$336,Data!$E$262*AF$297,0)</f>
        <v>0</v>
      </c>
      <c r="AG336" s="177">
        <f>IF($C$336=$F$336,Data!$E$262*AG$297,0)</f>
        <v>0</v>
      </c>
      <c r="AH336" s="177">
        <f>IF($C$336=$F$336,Data!$E$262*AH$297,0)</f>
        <v>0</v>
      </c>
      <c r="AI336" s="177">
        <f>IF($C$336=$F$336,Data!$E$262*AI$297,0)</f>
        <v>0</v>
      </c>
      <c r="AJ336" s="177">
        <f>IF($C$336=$F$336,Data!$E$262*AJ$297,0)</f>
        <v>0</v>
      </c>
      <c r="AK336" s="177">
        <f>IF($C$336=$F$336,Data!$E$262*AK$297,0)</f>
        <v>0</v>
      </c>
      <c r="AL336" s="177">
        <f>IF($C$336=$F$336,Data!$E$262*AL$297,0)</f>
        <v>0</v>
      </c>
      <c r="AM336" s="177">
        <f>IF($C$336=$F$336,Data!$E$262*AM$297,0)</f>
        <v>0</v>
      </c>
      <c r="AN336" s="177">
        <f>IF($C$336=$F$336,Data!$E$262*AN$297,0)</f>
        <v>0</v>
      </c>
      <c r="AO336" s="177">
        <f>IF($C$336=$F$336,Data!$E$262*AO$297,0)</f>
        <v>0</v>
      </c>
      <c r="AP336" s="29"/>
    </row>
    <row r="337" spans="1:42" outlineLevel="1" x14ac:dyDescent="0.25">
      <c r="A337" s="12"/>
      <c r="B337" s="13"/>
      <c r="C337" s="45"/>
      <c r="D337" s="45"/>
      <c r="E337" s="15"/>
      <c r="F337" s="16"/>
      <c r="G337" s="14"/>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9"/>
    </row>
    <row r="338" spans="1:42" outlineLevel="1" x14ac:dyDescent="0.25">
      <c r="A338" s="12"/>
      <c r="B338" s="13"/>
      <c r="C338" s="44" t="s">
        <v>532</v>
      </c>
      <c r="D338" s="45"/>
      <c r="E338" s="15"/>
      <c r="F338" s="16"/>
      <c r="G338" s="14"/>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9"/>
    </row>
    <row r="339" spans="1:42" outlineLevel="1" x14ac:dyDescent="0.25">
      <c r="A339" s="12"/>
      <c r="B339" s="13"/>
      <c r="C339" s="45" t="s">
        <v>408</v>
      </c>
      <c r="D339" s="45"/>
      <c r="E339" s="15" t="s">
        <v>318</v>
      </c>
      <c r="F339" s="16"/>
      <c r="G339" s="14"/>
      <c r="H339" s="28"/>
      <c r="I339" s="28">
        <f>IF(I297&gt;0,Data!$E$265,0)</f>
        <v>0</v>
      </c>
      <c r="J339" s="28">
        <f>IF(J297&gt;0,Data!$E$265,0)</f>
        <v>0</v>
      </c>
      <c r="K339" s="28">
        <f>IF(K297&gt;0,Data!$E$265,0)</f>
        <v>0</v>
      </c>
      <c r="L339" s="28">
        <f>IF(L297&gt;0,Data!$E$265,0)</f>
        <v>0</v>
      </c>
      <c r="M339" s="28">
        <f>IF(M297&gt;0,Data!$E$265,0)</f>
        <v>0</v>
      </c>
      <c r="N339" s="28">
        <f>IF(N297&gt;0,Data!$E$265,0)</f>
        <v>0</v>
      </c>
      <c r="O339" s="28">
        <f>IF(O297&gt;0,Data!$E$265,0)</f>
        <v>0</v>
      </c>
      <c r="P339" s="28">
        <f>IF(P297&gt;0,Data!$E$265,0)</f>
        <v>0</v>
      </c>
      <c r="Q339" s="28">
        <f>IF(Q297&gt;0,Data!$E$265,0)</f>
        <v>0</v>
      </c>
      <c r="R339" s="28">
        <f>IF(R297&gt;0,Data!$E$265,0)</f>
        <v>0</v>
      </c>
      <c r="S339" s="28">
        <f>IF(S297&gt;0,Data!$E$265,0)</f>
        <v>0</v>
      </c>
      <c r="T339" s="28">
        <f>IF(T297&gt;0,Data!$E$265,0)</f>
        <v>0</v>
      </c>
      <c r="U339" s="28">
        <f>IF(U297&gt;0,Data!$E$265,0)</f>
        <v>0</v>
      </c>
      <c r="V339" s="28">
        <f>IF(V297&gt;0,Data!$E$265,0)</f>
        <v>0</v>
      </c>
      <c r="W339" s="28">
        <f>IF(W297&gt;0,Data!$E$265,0)</f>
        <v>0</v>
      </c>
      <c r="X339" s="28">
        <f>IF(X297&gt;0,Data!$E$265,0)</f>
        <v>0</v>
      </c>
      <c r="Y339" s="28">
        <f>IF(Y297&gt;0,Data!$E$265,0)</f>
        <v>0</v>
      </c>
      <c r="Z339" s="28">
        <f>IF(Z297&gt;0,Data!$E$265,0)</f>
        <v>0</v>
      </c>
      <c r="AA339" s="28">
        <f>IF(AA297&gt;0,Data!$E$265,0)</f>
        <v>0</v>
      </c>
      <c r="AB339" s="28">
        <f>IF(AB297&gt;0,Data!$E$265,0)</f>
        <v>0</v>
      </c>
      <c r="AC339" s="28">
        <f>IF(AC297&gt;0,Data!$E$265,0)</f>
        <v>0</v>
      </c>
      <c r="AD339" s="28">
        <f>IF(AD297&gt;0,Data!$E$265,0)</f>
        <v>0</v>
      </c>
      <c r="AE339" s="28">
        <f>IF(AE297&gt;0,Data!$E$265,0)</f>
        <v>0</v>
      </c>
      <c r="AF339" s="28">
        <f>IF(AF297&gt;0,Data!$E$265,0)</f>
        <v>0</v>
      </c>
      <c r="AG339" s="28">
        <f>IF(AG297&gt;0,Data!$E$265,0)</f>
        <v>0</v>
      </c>
      <c r="AH339" s="28">
        <f>IF(AH297&gt;0,Data!$E$265,0)</f>
        <v>0</v>
      </c>
      <c r="AI339" s="28">
        <f>IF(AI297&gt;0,Data!$E$265,0)</f>
        <v>0</v>
      </c>
      <c r="AJ339" s="28">
        <f>IF(AJ297&gt;0,Data!$E$265,0)</f>
        <v>0</v>
      </c>
      <c r="AK339" s="28">
        <f>IF(AK297&gt;0,Data!$E$265,0)</f>
        <v>0</v>
      </c>
      <c r="AL339" s="28">
        <f>IF(AL297&gt;0,Data!$E$265,0)</f>
        <v>0</v>
      </c>
      <c r="AM339" s="28">
        <f>IF(AM297&gt;0,Data!$E$265,0)</f>
        <v>0</v>
      </c>
      <c r="AN339" s="28">
        <f>IF(AN297&gt;0,Data!$E$265,0)</f>
        <v>0</v>
      </c>
      <c r="AO339" s="28">
        <f>IF(AO297&gt;0,Data!$E$265,0)</f>
        <v>0</v>
      </c>
      <c r="AP339" s="29"/>
    </row>
    <row r="340" spans="1:42" s="167" customFormat="1" outlineLevel="1" x14ac:dyDescent="0.25">
      <c r="A340" s="96"/>
      <c r="B340" s="96"/>
      <c r="C340" s="134" t="s">
        <v>415</v>
      </c>
      <c r="D340" s="134"/>
      <c r="E340" s="112" t="s">
        <v>318</v>
      </c>
      <c r="F340" s="164"/>
      <c r="G340" s="96"/>
      <c r="H340" s="165"/>
      <c r="I340" s="165">
        <f>IF(I297&gt;0,(Data!$E$266*$F$320)/Dashboard!$I$61,0)</f>
        <v>2003.2615384615385</v>
      </c>
      <c r="J340" s="165">
        <f>IF(J297&gt;0,(Data!$E$266*$F$320)/Dashboard!$I$61,0)</f>
        <v>2003.2615384615385</v>
      </c>
      <c r="K340" s="165">
        <f>IF(K297&gt;0,(Data!$E$266*$F$320)/Dashboard!$I$61,0)</f>
        <v>2003.2615384615385</v>
      </c>
      <c r="L340" s="165">
        <f>IF(L297&gt;0,(Data!$E$266*$F$320)/Dashboard!$I$61,0)</f>
        <v>2003.2615384615385</v>
      </c>
      <c r="M340" s="165">
        <f>IF(M297&gt;0,(Data!$E$266*$F$320)/Dashboard!$I$61,0)</f>
        <v>2003.2615384615385</v>
      </c>
      <c r="N340" s="165">
        <f>IF(N297&gt;0,(Data!$E$266*$F$320)/Dashboard!$I$61,0)</f>
        <v>2003.2615384615385</v>
      </c>
      <c r="O340" s="165">
        <f>IF(O297&gt;0,(Data!$E$266*$F$320)/Dashboard!$I$61,0)</f>
        <v>2003.2615384615385</v>
      </c>
      <c r="P340" s="165">
        <f>IF(P297&gt;0,(Data!$E$266*$F$320)/Dashboard!$I$61,0)</f>
        <v>2003.2615384615385</v>
      </c>
      <c r="Q340" s="165">
        <f>IF(Q297&gt;0,(Data!$E$266*$F$320)/Dashboard!$I$61,0)</f>
        <v>2003.2615384615385</v>
      </c>
      <c r="R340" s="165">
        <f>IF(R297&gt;0,(Data!$E$266*$F$320)/Dashboard!$I$61,0)</f>
        <v>2003.2615384615385</v>
      </c>
      <c r="S340" s="165">
        <f>IF(S297&gt;0,(Data!$E$266*$F$320)/Dashboard!$I$61,0)</f>
        <v>2003.2615384615385</v>
      </c>
      <c r="T340" s="165">
        <f>IF(T297&gt;0,(Data!$E$266*$F$320)/Dashboard!$I$61,0)</f>
        <v>2003.2615384615385</v>
      </c>
      <c r="U340" s="165">
        <f>IF(U297&gt;0,(Data!$E$266*$F$320)/Dashboard!$I$61,0)</f>
        <v>0</v>
      </c>
      <c r="V340" s="165">
        <f>IF(V297&gt;0,(Data!$E$266*$F$320)/Dashboard!$I$61,0)</f>
        <v>0</v>
      </c>
      <c r="W340" s="165">
        <f>IF(W297&gt;0,(Data!$E$266*$F$320)/Dashboard!$I$61,0)</f>
        <v>0</v>
      </c>
      <c r="X340" s="165">
        <f>IF(X297&gt;0,(Data!$E$266*$F$320)/Dashboard!$I$61,0)</f>
        <v>0</v>
      </c>
      <c r="Y340" s="165">
        <f>IF(Y297&gt;0,(Data!$E$266*$F$320)/Dashboard!$I$61,0)</f>
        <v>0</v>
      </c>
      <c r="Z340" s="165">
        <f>IF(Z297&gt;0,(Data!$E$266*$F$320)/Dashboard!$I$61,0)</f>
        <v>0</v>
      </c>
      <c r="AA340" s="165">
        <f>IF(AA297&gt;0,(Data!$E$266*$F$320)/Dashboard!$I$61,0)</f>
        <v>0</v>
      </c>
      <c r="AB340" s="165">
        <f>IF(AB297&gt;0,(Data!$E$266*$F$320)/Dashboard!$I$61,0)</f>
        <v>0</v>
      </c>
      <c r="AC340" s="165">
        <f>IF(AC297&gt;0,(Data!$E$266*$F$320)/Dashboard!$I$61,0)</f>
        <v>0</v>
      </c>
      <c r="AD340" s="165">
        <f>IF(AD297&gt;0,(Data!$E$266*$F$320)/Dashboard!$I$61,0)</f>
        <v>0</v>
      </c>
      <c r="AE340" s="165">
        <f>IF(AE297&gt;0,(Data!$E$266*$F$320)/Dashboard!$I$61,0)</f>
        <v>0</v>
      </c>
      <c r="AF340" s="165">
        <f>IF(AF297&gt;0,(Data!$E$266*$F$320)/Dashboard!$I$61,0)</f>
        <v>0</v>
      </c>
      <c r="AG340" s="165">
        <f>IF(AG297&gt;0,(Data!$E$266*$F$320)/Dashboard!$I$61,0)</f>
        <v>0</v>
      </c>
      <c r="AH340" s="165">
        <f>IF(AH297&gt;0,(Data!$E$266*$F$320)/Dashboard!$I$61,0)</f>
        <v>0</v>
      </c>
      <c r="AI340" s="165">
        <f>IF(AI297&gt;0,(Data!$E$266*$F$320)/Dashboard!$I$61,0)</f>
        <v>0</v>
      </c>
      <c r="AJ340" s="165">
        <f>IF(AJ297&gt;0,(Data!$E$266*$F$320)/Dashboard!$I$61,0)</f>
        <v>0</v>
      </c>
      <c r="AK340" s="165">
        <f>IF(AK297&gt;0,(Data!$E$266*$F$320)/Dashboard!$I$61,0)</f>
        <v>0</v>
      </c>
      <c r="AL340" s="165">
        <f>IF(AL297&gt;0,(Data!$E$266*$F$320)/Dashboard!$I$61,0)</f>
        <v>0</v>
      </c>
      <c r="AM340" s="165">
        <f>IF(AM297&gt;0,(Data!$E$266*$F$320)/Dashboard!$I$61,0)</f>
        <v>0</v>
      </c>
      <c r="AN340" s="165">
        <f>IF(AN297&gt;0,(Data!$E$266*$F$320)/Dashboard!$I$61,0)</f>
        <v>0</v>
      </c>
      <c r="AO340" s="165">
        <f>IF(AO297&gt;0,(Data!$E$266*$F$320)/Dashboard!$I$61,0)</f>
        <v>0</v>
      </c>
      <c r="AP340" s="166"/>
    </row>
    <row r="341" spans="1:42" outlineLevel="1" x14ac:dyDescent="0.25">
      <c r="A341" s="12"/>
      <c r="B341" s="13"/>
      <c r="C341" s="44"/>
      <c r="D341" s="45"/>
      <c r="E341" s="15"/>
      <c r="F341" s="16"/>
      <c r="G341" s="14"/>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9"/>
    </row>
    <row r="342" spans="1:42" s="167" customFormat="1" outlineLevel="1" x14ac:dyDescent="0.25">
      <c r="A342" s="96"/>
      <c r="B342" s="96"/>
      <c r="C342" s="513" t="s">
        <v>260</v>
      </c>
      <c r="D342" s="96"/>
      <c r="E342" s="112" t="s">
        <v>318</v>
      </c>
      <c r="F342" s="164"/>
      <c r="G342" s="96"/>
      <c r="H342" s="151"/>
      <c r="I342" s="151"/>
      <c r="J342" s="151"/>
      <c r="K342" s="151">
        <f>IF(K297&gt;0,Data!$E$268*K$297,0)</f>
        <v>33733.440000000002</v>
      </c>
      <c r="L342" s="151">
        <f>IF(L297&gt;0,Data!$E$268*L$297,0)</f>
        <v>33733.440000000002</v>
      </c>
      <c r="M342" s="151">
        <f>IF(M297&gt;0,Data!$E$268*M$297,0)</f>
        <v>33733.440000000002</v>
      </c>
      <c r="N342" s="151">
        <f>IF(N297&gt;0,Data!$E$268*N$297,0)</f>
        <v>33733.440000000002</v>
      </c>
      <c r="O342" s="151">
        <f>IF(O297&gt;0,Data!$E$268*O$297,0)</f>
        <v>33733.440000000002</v>
      </c>
      <c r="P342" s="151">
        <f>IF(P297&gt;0,Data!$E$268*P$297,0)</f>
        <v>33733.440000000002</v>
      </c>
      <c r="Q342" s="151">
        <f>IF(Q297&gt;0,Data!$E$268*Q$297,0)</f>
        <v>33733.440000000002</v>
      </c>
      <c r="R342" s="151">
        <f>IF(R297&gt;0,Data!$E$268*R$297,0)</f>
        <v>33733.440000000002</v>
      </c>
      <c r="S342" s="151">
        <f>IF(S297&gt;0,Data!$E$268*S$297,0)</f>
        <v>33733.440000000002</v>
      </c>
      <c r="T342" s="151">
        <f>IF(T297&gt;0,Data!$E$268*T$297,0)</f>
        <v>33733.440000000002</v>
      </c>
      <c r="U342" s="151">
        <f>IF(U297&gt;0,Data!$E$268*U$297,0)</f>
        <v>0</v>
      </c>
      <c r="V342" s="151">
        <f>IF(V297&gt;0,Data!$E$268*V$297,0)</f>
        <v>0</v>
      </c>
      <c r="W342" s="151">
        <f>IF(W297&gt;0,Data!$E$268*W$297,0)</f>
        <v>0</v>
      </c>
      <c r="X342" s="151">
        <f>IF(X297&gt;0,Data!$E$268*X$297,0)</f>
        <v>0</v>
      </c>
      <c r="Y342" s="151">
        <f>IF(Y297&gt;0,Data!$E$268*Y$297,0)</f>
        <v>0</v>
      </c>
      <c r="Z342" s="151">
        <f>IF(Z297&gt;0,Data!$E$268*Z$297,0)</f>
        <v>0</v>
      </c>
      <c r="AA342" s="151">
        <f>IF(AA297&gt;0,Data!$E$268*AA$297,0)</f>
        <v>0</v>
      </c>
      <c r="AB342" s="151">
        <f>IF(AB297&gt;0,Data!$E$268*AB$297,0)</f>
        <v>0</v>
      </c>
      <c r="AC342" s="151">
        <f>IF(AC297&gt;0,Data!$E$268*AC$297,0)</f>
        <v>0</v>
      </c>
      <c r="AD342" s="151">
        <f>IF(AD297&gt;0,Data!$E$268*AD$297,0)</f>
        <v>0</v>
      </c>
      <c r="AE342" s="151">
        <f>IF(AE297&gt;0,Data!$E$268*AE$297,0)</f>
        <v>0</v>
      </c>
      <c r="AF342" s="151">
        <f>IF(AF297&gt;0,Data!$E$268*AF$297,0)</f>
        <v>0</v>
      </c>
      <c r="AG342" s="151">
        <f>IF(AG297&gt;0,Data!$E$268*AG$297,0)</f>
        <v>0</v>
      </c>
      <c r="AH342" s="151">
        <f>IF(AH297&gt;0,Data!$E$268*AH$297,0)</f>
        <v>0</v>
      </c>
      <c r="AI342" s="151">
        <f>IF(AI297&gt;0,Data!$E$268*AI$297,0)</f>
        <v>0</v>
      </c>
      <c r="AJ342" s="151">
        <f>IF(AJ297&gt;0,Data!$E$268*AJ$297,0)</f>
        <v>0</v>
      </c>
      <c r="AK342" s="151">
        <f>IF(AK297&gt;0,Data!$E$268*AK$297,0)</f>
        <v>0</v>
      </c>
      <c r="AL342" s="151">
        <f>IF(AL297&gt;0,Data!$E$268*AL$297,0)</f>
        <v>0</v>
      </c>
      <c r="AM342" s="151">
        <f>IF(AM297&gt;0,Data!$E$268*AM$297,0)</f>
        <v>0</v>
      </c>
      <c r="AN342" s="151">
        <f>IF(AN297&gt;0,Data!$E$268*AN$297,0)</f>
        <v>0</v>
      </c>
      <c r="AO342" s="151">
        <f>IF(AO297&gt;0,Data!$E$268*AO$297,0)</f>
        <v>0</v>
      </c>
      <c r="AP342" s="514"/>
    </row>
    <row r="343" spans="1:42" outlineLevel="1" x14ac:dyDescent="0.25">
      <c r="A343" s="12"/>
      <c r="B343" s="13"/>
      <c r="C343" s="44"/>
      <c r="D343" s="44"/>
      <c r="E343" s="15"/>
      <c r="F343" s="16"/>
      <c r="G343" s="14"/>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17"/>
    </row>
    <row r="344" spans="1:42" outlineLevel="1" x14ac:dyDescent="0.25">
      <c r="A344" s="12"/>
      <c r="B344" s="13"/>
      <c r="C344" s="44" t="s">
        <v>398</v>
      </c>
      <c r="D344" s="45"/>
      <c r="E344" s="15"/>
      <c r="F344" s="16"/>
      <c r="G344" s="14"/>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9"/>
    </row>
    <row r="345" spans="1:42" outlineLevel="1" x14ac:dyDescent="0.25">
      <c r="A345" s="12"/>
      <c r="B345" s="13"/>
      <c r="C345" s="45" t="s">
        <v>127</v>
      </c>
      <c r="D345" s="45"/>
      <c r="E345" s="15" t="s">
        <v>475</v>
      </c>
      <c r="F345" s="158" t="str">
        <f>Dashboard!$I$62</f>
        <v>Hilly (Gradient  6%)</v>
      </c>
      <c r="G345" s="14"/>
      <c r="H345" s="62"/>
      <c r="I345" s="181" cm="1">
        <f t="array" ref="I345">INDEX('Control panel'!$F$17:$F$19,MATCH($F$345,'Control panel'!$C$17:$C$19,0),0)</f>
        <v>0.15</v>
      </c>
      <c r="J345" s="181" cm="1">
        <f t="array" ref="J345">INDEX('Control panel'!$F$17:$F$19,MATCH($F$345,'Control panel'!$C$17:$C$19,0),0)</f>
        <v>0.15</v>
      </c>
      <c r="K345" s="181" cm="1">
        <f t="array" ref="K345">INDEX('Control panel'!$F$17:$F$19,MATCH($F$345,'Control panel'!$C$17:$C$19,0),0)</f>
        <v>0.15</v>
      </c>
      <c r="L345" s="181" cm="1">
        <f t="array" ref="L345">INDEX('Control panel'!$F$17:$F$19,MATCH($F$345,'Control panel'!$C$17:$C$19,0),0)</f>
        <v>0.15</v>
      </c>
      <c r="M345" s="181" cm="1">
        <f t="array" ref="M345">INDEX('Control panel'!$F$17:$F$19,MATCH($F$345,'Control panel'!$C$17:$C$19,0),0)</f>
        <v>0.15</v>
      </c>
      <c r="N345" s="181" cm="1">
        <f t="array" ref="N345">INDEX('Control panel'!$F$17:$F$19,MATCH($F$345,'Control panel'!$C$17:$C$19,0),0)</f>
        <v>0.15</v>
      </c>
      <c r="O345" s="181" cm="1">
        <f t="array" ref="O345">INDEX('Control panel'!$F$17:$F$19,MATCH($F$345,'Control panel'!$C$17:$C$19,0),0)</f>
        <v>0.15</v>
      </c>
      <c r="P345" s="181" cm="1">
        <f t="array" ref="P345">INDEX('Control panel'!$F$17:$F$19,MATCH($F$345,'Control panel'!$C$17:$C$19,0),0)</f>
        <v>0.15</v>
      </c>
      <c r="Q345" s="181" cm="1">
        <f t="array" ref="Q345">INDEX('Control panel'!$F$17:$F$19,MATCH($F$345,'Control panel'!$C$17:$C$19,0),0)</f>
        <v>0.15</v>
      </c>
      <c r="R345" s="181" cm="1">
        <f t="array" ref="R345">INDEX('Control panel'!$F$17:$F$19,MATCH($F$345,'Control panel'!$C$17:$C$19,0),0)</f>
        <v>0.15</v>
      </c>
      <c r="S345" s="181" cm="1">
        <f t="array" ref="S345">INDEX('Control panel'!$F$17:$F$19,MATCH($F$345,'Control panel'!$C$17:$C$19,0),0)</f>
        <v>0.15</v>
      </c>
      <c r="T345" s="181" cm="1">
        <f t="array" ref="T345">INDEX('Control panel'!$F$17:$F$19,MATCH($F$345,'Control panel'!$C$17:$C$19,0),0)</f>
        <v>0.15</v>
      </c>
      <c r="U345" s="181" cm="1">
        <f t="array" ref="U345">INDEX('Control panel'!$F$17:$F$19,MATCH($F$345,'Control panel'!$C$17:$C$19,0),0)</f>
        <v>0.15</v>
      </c>
      <c r="V345" s="181" cm="1">
        <f t="array" ref="V345">INDEX('Control panel'!$F$17:$F$19,MATCH($F$345,'Control panel'!$C$17:$C$19,0),0)</f>
        <v>0.15</v>
      </c>
      <c r="W345" s="181" cm="1">
        <f t="array" ref="W345">INDEX('Control panel'!$F$17:$F$19,MATCH($F$345,'Control panel'!$C$17:$C$19,0),0)</f>
        <v>0.15</v>
      </c>
      <c r="X345" s="181" cm="1">
        <f t="array" ref="X345">INDEX('Control panel'!$F$17:$F$19,MATCH($F$345,'Control panel'!$C$17:$C$19,0),0)</f>
        <v>0.15</v>
      </c>
      <c r="Y345" s="181" cm="1">
        <f t="array" ref="Y345">INDEX('Control panel'!$F$17:$F$19,MATCH($F$345,'Control panel'!$C$17:$C$19,0),0)</f>
        <v>0.15</v>
      </c>
      <c r="Z345" s="181" cm="1">
        <f t="array" ref="Z345">INDEX('Control panel'!$F$17:$F$19,MATCH($F$345,'Control panel'!$C$17:$C$19,0),0)</f>
        <v>0.15</v>
      </c>
      <c r="AA345" s="181" cm="1">
        <f t="array" ref="AA345">INDEX('Control panel'!$F$17:$F$19,MATCH($F$345,'Control panel'!$C$17:$C$19,0),0)</f>
        <v>0.15</v>
      </c>
      <c r="AB345" s="181" cm="1">
        <f t="array" ref="AB345">INDEX('Control panel'!$F$17:$F$19,MATCH($F$345,'Control panel'!$C$17:$C$19,0),0)</f>
        <v>0.15</v>
      </c>
      <c r="AC345" s="181" cm="1">
        <f t="array" ref="AC345">INDEX('Control panel'!$F$17:$F$19,MATCH($F$345,'Control panel'!$C$17:$C$19,0),0)</f>
        <v>0.15</v>
      </c>
      <c r="AD345" s="181" cm="1">
        <f t="array" ref="AD345">INDEX('Control panel'!$F$17:$F$19,MATCH($F$345,'Control panel'!$C$17:$C$19,0),0)</f>
        <v>0.15</v>
      </c>
      <c r="AE345" s="181" cm="1">
        <f t="array" ref="AE345">INDEX('Control panel'!$F$17:$F$19,MATCH($F$345,'Control panel'!$C$17:$C$19,0),0)</f>
        <v>0.15</v>
      </c>
      <c r="AF345" s="181" cm="1">
        <f t="array" ref="AF345">INDEX('Control panel'!$F$17:$F$19,MATCH($F$345,'Control panel'!$C$17:$C$19,0),0)</f>
        <v>0.15</v>
      </c>
      <c r="AG345" s="181" cm="1">
        <f t="array" ref="AG345">INDEX('Control panel'!$F$17:$F$19,MATCH($F$345,'Control panel'!$C$17:$C$19,0),0)</f>
        <v>0.15</v>
      </c>
      <c r="AH345" s="181" cm="1">
        <f t="array" ref="AH345">INDEX('Control panel'!$F$17:$F$19,MATCH($F$345,'Control panel'!$C$17:$C$19,0),0)</f>
        <v>0.15</v>
      </c>
      <c r="AI345" s="181" cm="1">
        <f t="array" ref="AI345">INDEX('Control panel'!$F$17:$F$19,MATCH($F$345,'Control panel'!$C$17:$C$19,0),0)</f>
        <v>0.15</v>
      </c>
      <c r="AJ345" s="181" cm="1">
        <f t="array" ref="AJ345">INDEX('Control panel'!$F$17:$F$19,MATCH($F$345,'Control panel'!$C$17:$C$19,0),0)</f>
        <v>0.15</v>
      </c>
      <c r="AK345" s="181" cm="1">
        <f t="array" ref="AK345">INDEX('Control panel'!$F$17:$F$19,MATCH($F$345,'Control panel'!$C$17:$C$19,0),0)</f>
        <v>0.15</v>
      </c>
      <c r="AL345" s="181" cm="1">
        <f t="array" ref="AL345">INDEX('Control panel'!$F$17:$F$19,MATCH($F$345,'Control panel'!$C$17:$C$19,0),0)</f>
        <v>0.15</v>
      </c>
      <c r="AM345" s="181" cm="1">
        <f t="array" ref="AM345">INDEX('Control panel'!$F$17:$F$19,MATCH($F$345,'Control panel'!$C$17:$C$19,0),0)</f>
        <v>0.15</v>
      </c>
      <c r="AN345" s="181" cm="1">
        <f t="array" ref="AN345">INDEX('Control panel'!$F$17:$F$19,MATCH($F$345,'Control panel'!$C$17:$C$19,0),0)</f>
        <v>0.15</v>
      </c>
      <c r="AO345" s="181" cm="1">
        <f t="array" ref="AO345">INDEX('Control panel'!$F$17:$F$19,MATCH($F$345,'Control panel'!$C$17:$C$19,0),0)</f>
        <v>0.15</v>
      </c>
      <c r="AP345" s="29"/>
    </row>
    <row r="346" spans="1:42" outlineLevel="1" x14ac:dyDescent="0.25">
      <c r="A346" s="12"/>
      <c r="B346" s="13"/>
      <c r="C346" s="45" t="s">
        <v>120</v>
      </c>
      <c r="D346" s="45"/>
      <c r="E346" s="15" t="s">
        <v>318</v>
      </c>
      <c r="F346" s="158" t="str">
        <f>Dashboard!$I$63</f>
        <v>3 Axle Double Decker Bus</v>
      </c>
      <c r="G346" s="14"/>
      <c r="H346" s="62"/>
      <c r="I346" s="177">
        <f>IF($C$346=$F$346,I$297*Data!$E$275*Data!H$76,0)*(1+I345)*(1+Data!$E$93)</f>
        <v>0</v>
      </c>
      <c r="J346" s="177">
        <f>IF($C$346=$F$346,J$297*Data!$E$275*Data!I$76,0)*(1+J345)*(1+Data!$E$93)</f>
        <v>0</v>
      </c>
      <c r="K346" s="177">
        <f>IF($C$346=$F$346,K$297*Data!$E$275*Data!J$76,0)*(1+K345)*(1+Data!$E$93)</f>
        <v>0</v>
      </c>
      <c r="L346" s="177">
        <f>IF($C$346=$F$346,L$297*Data!$E$275*Data!K$76,0)*(1+L345)*(1+Data!$E$93)</f>
        <v>0</v>
      </c>
      <c r="M346" s="177">
        <f>IF($C$346=$F$346,M$297*Data!$E$275*Data!L$76,0)*(1+M345)*(1+Data!$E$93)</f>
        <v>0</v>
      </c>
      <c r="N346" s="177">
        <f>IF($C$346=$F$346,N$297*Data!$E$275*Data!M$76,0)*(1+N345)*(1+Data!$E$93)</f>
        <v>0</v>
      </c>
      <c r="O346" s="177">
        <f>IF($C$346=$F$346,O$297*Data!$E$275*Data!N$76,0)*(1+O345)*(1+Data!$E$93)</f>
        <v>0</v>
      </c>
      <c r="P346" s="177">
        <f>IF($C$346=$F$346,P$297*Data!$E$275*Data!O$76,0)*(1+P345)*(1+Data!$E$93)</f>
        <v>0</v>
      </c>
      <c r="Q346" s="177">
        <f>IF($C$346=$F$346,Q$297*Data!$E$275*Data!P$76,0)*(1+Q345)*(1+Data!$E$93)</f>
        <v>0</v>
      </c>
      <c r="R346" s="177">
        <f>IF($C$346=$F$346,R$297*Data!$E$275*Data!Q$76,0)*(1+R345)*(1+Data!$E$93)</f>
        <v>0</v>
      </c>
      <c r="S346" s="177">
        <f>IF($C$346=$F$346,S$297*Data!$E$275*Data!R$76,0)*(1+S345)*(1+Data!$E$93)</f>
        <v>0</v>
      </c>
      <c r="T346" s="177">
        <f>IF($C$346=$F$346,T$297*Data!$E$275*Data!S$76,0)*(1+T345)*(1+Data!$E$93)</f>
        <v>0</v>
      </c>
      <c r="U346" s="177">
        <f>IF($C$346=$F$346,U$297*Data!$E$275*Data!T$76,0)*(1+U345)*(1+Data!$E$93)</f>
        <v>0</v>
      </c>
      <c r="V346" s="177">
        <f>IF($C$346=$F$346,V$297*Data!$E$275*Data!U$76,0)*(1+V345)*(1+Data!$E$93)</f>
        <v>0</v>
      </c>
      <c r="W346" s="177">
        <f>IF($C$346=$F$346,W$297*Data!$E$275*Data!V$76,0)*(1+W345)*(1+Data!$E$93)</f>
        <v>0</v>
      </c>
      <c r="X346" s="177">
        <f>IF($C$346=$F$346,X$297*Data!$E$275*Data!W$76,0)*(1+X345)*(1+Data!$E$93)</f>
        <v>0</v>
      </c>
      <c r="Y346" s="177">
        <f>IF($C$346=$F$346,Y$297*Data!$E$275*Data!X$76,0)*(1+Y345)*(1+Data!$E$93)</f>
        <v>0</v>
      </c>
      <c r="Z346" s="177">
        <f>IF($C$346=$F$346,Z$297*Data!$E$275*Data!Y$76,0)*(1+Z345)*(1+Data!$E$93)</f>
        <v>0</v>
      </c>
      <c r="AA346" s="177">
        <f>IF($C$346=$F$346,AA$297*Data!$E$275*Data!Z$76,0)*(1+AA345)*(1+Data!$E$93)</f>
        <v>0</v>
      </c>
      <c r="AB346" s="177">
        <f>IF($C$346=$F$346,AB$297*Data!$E$275*Data!AA$76,0)*(1+AB345)*(1+Data!$E$93)</f>
        <v>0</v>
      </c>
      <c r="AC346" s="177">
        <f>IF($C$346=$F$346,AC$297*Data!$E$275*Data!AB$76,0)*(1+AC345)*(1+Data!$E$93)</f>
        <v>0</v>
      </c>
      <c r="AD346" s="177">
        <f>IF($C$346=$F$346,AD$297*Data!$E$275*Data!AC$76,0)*(1+AD345)*(1+Data!$E$93)</f>
        <v>0</v>
      </c>
      <c r="AE346" s="177">
        <f>IF($C$346=$F$346,AE$297*Data!$E$275*Data!AD$76,0)*(1+AE345)*(1+Data!$E$93)</f>
        <v>0</v>
      </c>
      <c r="AF346" s="177">
        <f>IF($C$346=$F$346,AF$297*Data!$E$275*Data!AE$76,0)*(1+AF345)*(1+Data!$E$93)</f>
        <v>0</v>
      </c>
      <c r="AG346" s="177">
        <f>IF($C$346=$F$346,AG$297*Data!$E$275*Data!AF$76,0)*(1+AG345)*(1+Data!$E$93)</f>
        <v>0</v>
      </c>
      <c r="AH346" s="177">
        <f>IF($C$346=$F$346,AH$297*Data!$E$275*Data!AG$76,0)*(1+AH345)*(1+Data!$E$93)</f>
        <v>0</v>
      </c>
      <c r="AI346" s="177">
        <f>IF($C$346=$F$346,AI$297*Data!$E$275*Data!AH$76,0)*(1+AI345)*(1+Data!$E$93)</f>
        <v>0</v>
      </c>
      <c r="AJ346" s="177">
        <f>IF($C$346=$F$346,AJ$297*Data!$E$275*Data!AI$76,0)*(1+AJ345)*(1+Data!$E$93)</f>
        <v>0</v>
      </c>
      <c r="AK346" s="177">
        <f>IF($C$346=$F$346,AK$297*Data!$E$275*Data!AJ$76,0)*(1+AK345)*(1+Data!$E$93)</f>
        <v>0</v>
      </c>
      <c r="AL346" s="177">
        <f>IF($C$346=$F$346,AL$297*Data!$E$275*Data!AK$76,0)*(1+AL345)*(1+Data!$E$93)</f>
        <v>0</v>
      </c>
      <c r="AM346" s="177">
        <f>IF($C$346=$F$346,AM$297*Data!$E$275*Data!AL$76,0)*(1+AM345)*(1+Data!$E$93)</f>
        <v>0</v>
      </c>
      <c r="AN346" s="177">
        <f>IF($C$346=$F$346,AN$297*Data!$E$275*Data!AM$76,0)*(1+AN345)*(1+Data!$E$93)</f>
        <v>0</v>
      </c>
      <c r="AO346" s="177">
        <f>IF($C$346=$F$346,AO$297*Data!$E$275*Data!AN$76,0)*(1+AO345)*(1+Data!$E$93)</f>
        <v>0</v>
      </c>
      <c r="AP346" s="29"/>
    </row>
    <row r="347" spans="1:42" outlineLevel="1" x14ac:dyDescent="0.25">
      <c r="A347" s="12"/>
      <c r="B347" s="13"/>
      <c r="C347" s="45" t="s">
        <v>124</v>
      </c>
      <c r="D347" s="45"/>
      <c r="E347" s="15" t="s">
        <v>318</v>
      </c>
      <c r="F347" s="158" t="str">
        <f>Dashboard!$I$63</f>
        <v>3 Axle Double Decker Bus</v>
      </c>
      <c r="G347" s="14"/>
      <c r="H347" s="62"/>
      <c r="I347" s="177">
        <f>IF($C$347=$F$347,I$297*Data!$E$276*Data!H$76,0)*(1+I345)*(1+Data!$E$93)</f>
        <v>0</v>
      </c>
      <c r="J347" s="177">
        <f>IF($C$347=$F$347,J$297*Data!$E$276*Data!I$76,0)*(1+J345)*(1+Data!$E$93)</f>
        <v>0</v>
      </c>
      <c r="K347" s="177">
        <f>IF($C$347=$F$347,K$297*Data!$E$276*Data!J$76,0)*(1+K345)*(1+Data!$E$93)</f>
        <v>0</v>
      </c>
      <c r="L347" s="177">
        <f>IF($C$347=$F$347,L$297*Data!$E$276*Data!K$76,0)*(1+L345)*(1+Data!$E$93)</f>
        <v>0</v>
      </c>
      <c r="M347" s="177">
        <f>IF($C$347=$F$347,M$297*Data!$E$276*Data!L$76,0)*(1+M345)*(1+Data!$E$93)</f>
        <v>0</v>
      </c>
      <c r="N347" s="177">
        <f>IF($C$347=$F$347,N$297*Data!$E$276*Data!M$76,0)*(1+N345)*(1+Data!$E$93)</f>
        <v>0</v>
      </c>
      <c r="O347" s="177">
        <f>IF($C$347=$F$347,O$297*Data!$E$276*Data!N$76,0)*(1+O345)*(1+Data!$E$93)</f>
        <v>0</v>
      </c>
      <c r="P347" s="177">
        <f>IF($C$347=$F$347,P$297*Data!$E$276*Data!O$76,0)*(1+P345)*(1+Data!$E$93)</f>
        <v>0</v>
      </c>
      <c r="Q347" s="177">
        <f>IF($C$347=$F$347,Q$297*Data!$E$276*Data!P$76,0)*(1+Q345)*(1+Data!$E$93)</f>
        <v>0</v>
      </c>
      <c r="R347" s="177">
        <f>IF($C$347=$F$347,R$297*Data!$E$276*Data!Q$76,0)*(1+R345)*(1+Data!$E$93)</f>
        <v>0</v>
      </c>
      <c r="S347" s="177">
        <f>IF($C$347=$F$347,S$297*Data!$E$276*Data!R$76,0)*(1+S345)*(1+Data!$E$93)</f>
        <v>0</v>
      </c>
      <c r="T347" s="177">
        <f>IF($C$347=$F$347,T$297*Data!$E$276*Data!S$76,0)*(1+T345)*(1+Data!$E$93)</f>
        <v>0</v>
      </c>
      <c r="U347" s="177">
        <f>IF($C$347=$F$347,U$297*Data!$E$276*Data!T$76,0)*(1+U345)*(1+Data!$E$93)</f>
        <v>0</v>
      </c>
      <c r="V347" s="177">
        <f>IF($C$347=$F$347,V$297*Data!$E$276*Data!U$76,0)*(1+V345)*(1+Data!$E$93)</f>
        <v>0</v>
      </c>
      <c r="W347" s="177">
        <f>IF($C$347=$F$347,W$297*Data!$E$276*Data!V$76,0)*(1+W345)*(1+Data!$E$93)</f>
        <v>0</v>
      </c>
      <c r="X347" s="177">
        <f>IF($C$347=$F$347,X$297*Data!$E$276*Data!W$76,0)*(1+X345)*(1+Data!$E$93)</f>
        <v>0</v>
      </c>
      <c r="Y347" s="177">
        <f>IF($C$347=$F$347,Y$297*Data!$E$276*Data!X$76,0)*(1+Y345)*(1+Data!$E$93)</f>
        <v>0</v>
      </c>
      <c r="Z347" s="177">
        <f>IF($C$347=$F$347,Z$297*Data!$E$276*Data!Y$76,0)*(1+Z345)*(1+Data!$E$93)</f>
        <v>0</v>
      </c>
      <c r="AA347" s="177">
        <f>IF($C$347=$F$347,AA$297*Data!$E$276*Data!Z$76,0)*(1+AA345)*(1+Data!$E$93)</f>
        <v>0</v>
      </c>
      <c r="AB347" s="177">
        <f>IF($C$347=$F$347,AB$297*Data!$E$276*Data!AA$76,0)*(1+AB345)*(1+Data!$E$93)</f>
        <v>0</v>
      </c>
      <c r="AC347" s="177">
        <f>IF($C$347=$F$347,AC$297*Data!$E$276*Data!AB$76,0)*(1+AC345)*(1+Data!$E$93)</f>
        <v>0</v>
      </c>
      <c r="AD347" s="177">
        <f>IF($C$347=$F$347,AD$297*Data!$E$276*Data!AC$76,0)*(1+AD345)*(1+Data!$E$93)</f>
        <v>0</v>
      </c>
      <c r="AE347" s="177">
        <f>IF($C$347=$F$347,AE$297*Data!$E$276*Data!AD$76,0)*(1+AE345)*(1+Data!$E$93)</f>
        <v>0</v>
      </c>
      <c r="AF347" s="177">
        <f>IF($C$347=$F$347,AF$297*Data!$E$276*Data!AE$76,0)*(1+AF345)*(1+Data!$E$93)</f>
        <v>0</v>
      </c>
      <c r="AG347" s="177">
        <f>IF($C$347=$F$347,AG$297*Data!$E$276*Data!AF$76,0)*(1+AG345)*(1+Data!$E$93)</f>
        <v>0</v>
      </c>
      <c r="AH347" s="177">
        <f>IF($C$347=$F$347,AH$297*Data!$E$276*Data!AG$76,0)*(1+AH345)*(1+Data!$E$93)</f>
        <v>0</v>
      </c>
      <c r="AI347" s="177">
        <f>IF($C$347=$F$347,AI$297*Data!$E$276*Data!AH$76,0)*(1+AI345)*(1+Data!$E$93)</f>
        <v>0</v>
      </c>
      <c r="AJ347" s="177">
        <f>IF($C$347=$F$347,AJ$297*Data!$E$276*Data!AI$76,0)*(1+AJ345)*(1+Data!$E$93)</f>
        <v>0</v>
      </c>
      <c r="AK347" s="177">
        <f>IF($C$347=$F$347,AK$297*Data!$E$276*Data!AJ$76,0)*(1+AK345)*(1+Data!$E$93)</f>
        <v>0</v>
      </c>
      <c r="AL347" s="177">
        <f>IF($C$347=$F$347,AL$297*Data!$E$276*Data!AK$76,0)*(1+AL345)*(1+Data!$E$93)</f>
        <v>0</v>
      </c>
      <c r="AM347" s="177">
        <f>IF($C$347=$F$347,AM$297*Data!$E$276*Data!AL$76,0)*(1+AM345)*(1+Data!$E$93)</f>
        <v>0</v>
      </c>
      <c r="AN347" s="177">
        <f>IF($C$347=$F$347,AN$297*Data!$E$276*Data!AM$76,0)*(1+AN345)*(1+Data!$E$93)</f>
        <v>0</v>
      </c>
      <c r="AO347" s="177">
        <f>IF($C$347=$F$347,AO$297*Data!$E$276*Data!AN$76,0)*(1+AO345)*(1+Data!$E$93)</f>
        <v>0</v>
      </c>
      <c r="AP347" s="29"/>
    </row>
    <row r="348" spans="1:42" outlineLevel="1" x14ac:dyDescent="0.25">
      <c r="A348" s="12"/>
      <c r="B348" s="13"/>
      <c r="C348" s="45" t="s">
        <v>126</v>
      </c>
      <c r="D348" s="45"/>
      <c r="E348" s="15" t="s">
        <v>318</v>
      </c>
      <c r="F348" s="158" t="str">
        <f>Dashboard!$I$63</f>
        <v>3 Axle Double Decker Bus</v>
      </c>
      <c r="G348" s="14"/>
      <c r="H348" s="62"/>
      <c r="I348" s="177">
        <f>IF($C$348=$F$348,I$297*Data!$E$277*Data!H$76,0)*(1+I345)*(1+Data!$E$93)</f>
        <v>15578.632245316576</v>
      </c>
      <c r="J348" s="177">
        <f>IF($C$348=$F$348,J$297*Data!$E$277*Data!I$76,0)*(1+J345)*(1+Data!$E$93)</f>
        <v>15529.4483621159</v>
      </c>
      <c r="K348" s="177">
        <f>IF($C$348=$F$348,K$297*Data!$E$277*Data!J$76,0)*(1+K345)*(1+Data!$E$93)</f>
        <v>15436.436508526118</v>
      </c>
      <c r="L348" s="177">
        <f>IF($C$348=$F$348,L$297*Data!$E$277*Data!K$76,0)*(1+L345)*(1+Data!$E$93)</f>
        <v>15323.118781636224</v>
      </c>
      <c r="M348" s="177">
        <f>IF($C$348=$F$348,M$297*Data!$E$277*Data!L$76,0)*(1+M345)*(1+Data!$E$93)</f>
        <v>15197.16605298098</v>
      </c>
      <c r="N348" s="177">
        <f>IF($C$348=$F$348,N$297*Data!$E$277*Data!M$76,0)*(1+N345)*(1+Data!$E$93)</f>
        <v>15068.178719975067</v>
      </c>
      <c r="O348" s="177">
        <f>IF($C$348=$F$348,O$297*Data!$E$277*Data!N$76,0)*(1+O345)*(1+Data!$E$93)</f>
        <v>14940.135093194038</v>
      </c>
      <c r="P348" s="177">
        <f>IF($C$348=$F$348,P$297*Data!$E$277*Data!O$76,0)*(1+P345)*(1+Data!$E$93)</f>
        <v>14807.573260529474</v>
      </c>
      <c r="Q348" s="177">
        <f>IF($C$348=$F$348,Q$297*Data!$E$277*Data!P$76,0)*(1+Q345)*(1+Data!$E$93)</f>
        <v>14737.102857733709</v>
      </c>
      <c r="R348" s="177">
        <f>IF($C$348=$F$348,R$297*Data!$E$277*Data!Q$76,0)*(1+R345)*(1+Data!$E$93)</f>
        <v>14667.806136529858</v>
      </c>
      <c r="S348" s="177">
        <f>IF($C$348=$F$348,S$297*Data!$E$277*Data!R$76,0)*(1+S345)*(1+Data!$E$93)</f>
        <v>14599.286943007364</v>
      </c>
      <c r="T348" s="177">
        <f>IF($C$348=$F$348,T$297*Data!$E$277*Data!S$76,0)*(1+T345)*(1+Data!$E$93)</f>
        <v>14532.594563194889</v>
      </c>
      <c r="U348" s="177">
        <f>IF($C$348=$F$348,U$297*Data!$E$277*Data!T$76,0)*(1+U345)*(1+Data!$E$93)</f>
        <v>0</v>
      </c>
      <c r="V348" s="177">
        <f>IF($C$348=$F$348,V$297*Data!$E$277*Data!U$76,0)*(1+V345)*(1+Data!$E$93)</f>
        <v>0</v>
      </c>
      <c r="W348" s="177">
        <f>IF($C$348=$F$348,W$297*Data!$E$277*Data!V$76,0)*(1+W345)*(1+Data!$E$93)</f>
        <v>0</v>
      </c>
      <c r="X348" s="177">
        <f>IF($C$348=$F$348,X$297*Data!$E$277*Data!W$76,0)*(1+X345)*(1+Data!$E$93)</f>
        <v>0</v>
      </c>
      <c r="Y348" s="177">
        <f>IF($C$348=$F$348,Y$297*Data!$E$277*Data!X$76,0)*(1+Y345)*(1+Data!$E$93)</f>
        <v>0</v>
      </c>
      <c r="Z348" s="177">
        <f>IF($C$348=$F$348,Z$297*Data!$E$277*Data!Y$76,0)*(1+Z345)*(1+Data!$E$93)</f>
        <v>0</v>
      </c>
      <c r="AA348" s="177">
        <f>IF($C$348=$F$348,AA$297*Data!$E$277*Data!Z$76,0)*(1+AA345)*(1+Data!$E$93)</f>
        <v>0</v>
      </c>
      <c r="AB348" s="177">
        <f>IF($C$348=$F$348,AB$297*Data!$E$277*Data!AA$76,0)*(1+AB345)*(1+Data!$E$93)</f>
        <v>0</v>
      </c>
      <c r="AC348" s="177">
        <f>IF($C$348=$F$348,AC$297*Data!$E$277*Data!AB$76,0)*(1+AC345)*(1+Data!$E$93)</f>
        <v>0</v>
      </c>
      <c r="AD348" s="177">
        <f>IF($C$348=$F$348,AD$297*Data!$E$277*Data!AC$76,0)*(1+AD345)*(1+Data!$E$93)</f>
        <v>0</v>
      </c>
      <c r="AE348" s="177">
        <f>IF($C$348=$F$348,AE$297*Data!$E$277*Data!AD$76,0)*(1+AE345)*(1+Data!$E$93)</f>
        <v>0</v>
      </c>
      <c r="AF348" s="177">
        <f>IF($C$348=$F$348,AF$297*Data!$E$277*Data!AE$76,0)*(1+AF345)*(1+Data!$E$93)</f>
        <v>0</v>
      </c>
      <c r="AG348" s="177">
        <f>IF($C$348=$F$348,AG$297*Data!$E$277*Data!AF$76,0)*(1+AG345)*(1+Data!$E$93)</f>
        <v>0</v>
      </c>
      <c r="AH348" s="177">
        <f>IF($C$348=$F$348,AH$297*Data!$E$277*Data!AG$76,0)*(1+AH345)*(1+Data!$E$93)</f>
        <v>0</v>
      </c>
      <c r="AI348" s="177">
        <f>IF($C$348=$F$348,AI$297*Data!$E$277*Data!AH$76,0)*(1+AI345)*(1+Data!$E$93)</f>
        <v>0</v>
      </c>
      <c r="AJ348" s="177">
        <f>IF($C$348=$F$348,AJ$297*Data!$E$277*Data!AI$76,0)*(1+AJ345)*(1+Data!$E$93)</f>
        <v>0</v>
      </c>
      <c r="AK348" s="177">
        <f>IF($C$348=$F$348,AK$297*Data!$E$277*Data!AJ$76,0)*(1+AK345)*(1+Data!$E$93)</f>
        <v>0</v>
      </c>
      <c r="AL348" s="177">
        <f>IF($C$348=$F$348,AL$297*Data!$E$277*Data!AK$76,0)*(1+AL345)*(1+Data!$E$93)</f>
        <v>0</v>
      </c>
      <c r="AM348" s="177">
        <f>IF($C$348=$F$348,AM$297*Data!$E$277*Data!AL$76,0)*(1+AM345)*(1+Data!$E$93)</f>
        <v>0</v>
      </c>
      <c r="AN348" s="177">
        <f>IF($C$348=$F$348,AN$297*Data!$E$277*Data!AM$76,0)*(1+AN345)*(1+Data!$E$93)</f>
        <v>0</v>
      </c>
      <c r="AO348" s="177">
        <f>IF($C$348=$F$348,AO$297*Data!$E$277*Data!AN$76,0)*(1+AO345)*(1+Data!$E$93)</f>
        <v>0</v>
      </c>
      <c r="AP348" s="17"/>
    </row>
    <row r="349" spans="1:42" outlineLevel="1" x14ac:dyDescent="0.25">
      <c r="A349" s="12"/>
      <c r="B349" s="13"/>
      <c r="C349" s="44"/>
      <c r="D349" s="44"/>
      <c r="E349" s="15"/>
      <c r="F349" s="16"/>
      <c r="G349" s="14"/>
      <c r="H349" s="46"/>
      <c r="I349" s="96"/>
      <c r="J349" s="96"/>
      <c r="K349" s="96"/>
      <c r="L349" s="96"/>
      <c r="M349" s="96"/>
      <c r="N349" s="96"/>
      <c r="O349" s="96"/>
      <c r="P349" s="96"/>
      <c r="Q349" s="96"/>
      <c r="R349" s="96"/>
      <c r="S349" s="96"/>
      <c r="T349" s="96"/>
      <c r="U349" s="96"/>
      <c r="V349" s="96"/>
      <c r="W349" s="96"/>
      <c r="X349" s="96"/>
      <c r="Y349" s="96"/>
      <c r="Z349" s="96"/>
      <c r="AA349" s="96"/>
      <c r="AB349" s="96"/>
      <c r="AC349" s="46"/>
      <c r="AD349" s="46"/>
      <c r="AE349" s="46"/>
      <c r="AF349" s="46"/>
      <c r="AG349" s="46"/>
      <c r="AH349" s="46"/>
      <c r="AI349" s="46"/>
      <c r="AJ349" s="46"/>
      <c r="AK349" s="46"/>
      <c r="AL349" s="46"/>
      <c r="AM349" s="46"/>
      <c r="AN349" s="46"/>
      <c r="AO349" s="46"/>
      <c r="AP349" s="17"/>
    </row>
    <row r="350" spans="1:42" outlineLevel="1" x14ac:dyDescent="0.25">
      <c r="A350" s="12"/>
      <c r="B350" s="13"/>
      <c r="C350" s="19" t="s">
        <v>512</v>
      </c>
      <c r="D350" s="45"/>
      <c r="E350" s="15"/>
      <c r="F350" s="158"/>
      <c r="G350" s="14"/>
      <c r="H350" s="28"/>
      <c r="I350" s="182">
        <f>SUM(I334:I336)+I339+I340+I342+SUM(I346:I348)</f>
        <v>65037.093783778109</v>
      </c>
      <c r="J350" s="182">
        <f>SUM(J334:J336)+J339+J340+J342+SUM(J346:J348)</f>
        <v>64987.909900577433</v>
      </c>
      <c r="K350" s="182">
        <f t="shared" ref="K350:AO350" si="52">SUM(K334:K336)+K339+K340+K342+SUM(K346:K348)</f>
        <v>98628.338046987657</v>
      </c>
      <c r="L350" s="182">
        <f t="shared" si="52"/>
        <v>98515.020320097756</v>
      </c>
      <c r="M350" s="182">
        <f t="shared" si="52"/>
        <v>98389.067591442508</v>
      </c>
      <c r="N350" s="182">
        <f t="shared" si="52"/>
        <v>98260.080258436603</v>
      </c>
      <c r="O350" s="182">
        <f t="shared" si="52"/>
        <v>98132.036631655574</v>
      </c>
      <c r="P350" s="182">
        <f t="shared" si="52"/>
        <v>97999.47479899101</v>
      </c>
      <c r="Q350" s="182">
        <f t="shared" si="52"/>
        <v>97929.004396195247</v>
      </c>
      <c r="R350" s="182">
        <f t="shared" si="52"/>
        <v>97859.707674991398</v>
      </c>
      <c r="S350" s="182">
        <f t="shared" si="52"/>
        <v>97791.188481468896</v>
      </c>
      <c r="T350" s="182">
        <f t="shared" si="52"/>
        <v>97724.496101656419</v>
      </c>
      <c r="U350" s="182">
        <f t="shared" si="52"/>
        <v>0</v>
      </c>
      <c r="V350" s="182">
        <f t="shared" si="52"/>
        <v>0</v>
      </c>
      <c r="W350" s="182">
        <f t="shared" si="52"/>
        <v>0</v>
      </c>
      <c r="X350" s="182">
        <f t="shared" si="52"/>
        <v>0</v>
      </c>
      <c r="Y350" s="182">
        <f t="shared" si="52"/>
        <v>0</v>
      </c>
      <c r="Z350" s="182">
        <f t="shared" si="52"/>
        <v>0</v>
      </c>
      <c r="AA350" s="182">
        <f t="shared" si="52"/>
        <v>0</v>
      </c>
      <c r="AB350" s="182">
        <f t="shared" si="52"/>
        <v>0</v>
      </c>
      <c r="AC350" s="182">
        <f t="shared" si="52"/>
        <v>0</v>
      </c>
      <c r="AD350" s="182">
        <f t="shared" si="52"/>
        <v>0</v>
      </c>
      <c r="AE350" s="182">
        <f t="shared" si="52"/>
        <v>0</v>
      </c>
      <c r="AF350" s="182">
        <f t="shared" si="52"/>
        <v>0</v>
      </c>
      <c r="AG350" s="182">
        <f t="shared" si="52"/>
        <v>0</v>
      </c>
      <c r="AH350" s="182">
        <f t="shared" si="52"/>
        <v>0</v>
      </c>
      <c r="AI350" s="182">
        <f t="shared" si="52"/>
        <v>0</v>
      </c>
      <c r="AJ350" s="182">
        <f t="shared" si="52"/>
        <v>0</v>
      </c>
      <c r="AK350" s="182">
        <f t="shared" si="52"/>
        <v>0</v>
      </c>
      <c r="AL350" s="182">
        <f t="shared" si="52"/>
        <v>0</v>
      </c>
      <c r="AM350" s="182">
        <f t="shared" si="52"/>
        <v>0</v>
      </c>
      <c r="AN350" s="182">
        <f t="shared" si="52"/>
        <v>0</v>
      </c>
      <c r="AO350" s="182">
        <f t="shared" si="52"/>
        <v>0</v>
      </c>
      <c r="AP350" s="29"/>
    </row>
    <row r="351" spans="1:42" outlineLevel="1" x14ac:dyDescent="0.25">
      <c r="A351" s="12"/>
      <c r="B351" s="13"/>
      <c r="C351" s="45"/>
      <c r="D351" s="45"/>
      <c r="E351" s="15"/>
      <c r="F351" s="16"/>
      <c r="G351" s="14"/>
      <c r="H351" s="28"/>
      <c r="I351" s="177"/>
      <c r="J351" s="177"/>
      <c r="K351" s="177"/>
      <c r="L351" s="177"/>
      <c r="M351" s="177"/>
      <c r="N351" s="177"/>
      <c r="O351" s="177"/>
      <c r="P351" s="177"/>
      <c r="Q351" s="177"/>
      <c r="R351" s="177"/>
      <c r="S351" s="177"/>
      <c r="T351" s="177"/>
      <c r="U351" s="177"/>
      <c r="V351" s="177"/>
      <c r="W351" s="177"/>
      <c r="X351" s="28"/>
      <c r="Y351" s="28"/>
      <c r="Z351" s="28"/>
      <c r="AA351" s="28"/>
      <c r="AB351" s="28"/>
      <c r="AC351" s="28"/>
      <c r="AD351" s="28"/>
      <c r="AE351" s="28"/>
      <c r="AF351" s="28"/>
      <c r="AG351" s="28"/>
      <c r="AH351" s="28"/>
      <c r="AI351" s="28"/>
      <c r="AJ351" s="28"/>
      <c r="AK351" s="28"/>
      <c r="AL351" s="28"/>
      <c r="AM351" s="28"/>
      <c r="AN351" s="28"/>
      <c r="AO351" s="28"/>
      <c r="AP351" s="29"/>
    </row>
    <row r="352" spans="1:42" outlineLevel="1" x14ac:dyDescent="0.25">
      <c r="A352" s="12"/>
      <c r="B352" s="13"/>
      <c r="C352" s="37" t="s">
        <v>513</v>
      </c>
      <c r="D352" s="37"/>
      <c r="E352" s="38"/>
      <c r="F352" s="39"/>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17"/>
    </row>
    <row r="353" spans="1:42" s="140" customFormat="1" outlineLevel="1" x14ac:dyDescent="0.25">
      <c r="A353" s="78"/>
      <c r="B353" s="19"/>
      <c r="C353" s="44" t="s">
        <v>249</v>
      </c>
      <c r="D353" s="44"/>
      <c r="E353" s="21" t="s">
        <v>142</v>
      </c>
      <c r="F353" s="375" t="str">
        <f>Dashboard!I63</f>
        <v>3 Axle Double Decker Bus</v>
      </c>
      <c r="G353" s="20"/>
      <c r="H353" s="49"/>
      <c r="I353" s="182" cm="1">
        <f t="array" ref="I353">-IF(COUNT($I$3:I$3)=(Dashboard!$I$32+1),INDEX(Data!$E$286:$E$288,MATCH(Repowered!$F$353,Data!$B$286:$B$288,0),0))</f>
        <v>0</v>
      </c>
      <c r="J353" s="182" cm="1">
        <f t="array" ref="J353">-IF(COUNT($I$3:J$3)=(Dashboard!$I$32+1),INDEX(Data!$E$286:$E$288,MATCH(Repowered!$F$353,Data!$B$286:$B$288,0),0))</f>
        <v>0</v>
      </c>
      <c r="K353" s="182" cm="1">
        <f t="array" ref="K353">-IF(COUNT($I$3:K$3)=(Dashboard!$I$32+1),INDEX(Data!$E$286:$E$288,MATCH(Repowered!$F$353,Data!$B$286:$B$288,0),0))</f>
        <v>0</v>
      </c>
      <c r="L353" s="182" cm="1">
        <f t="array" ref="L353">-IF(COUNT($I$3:L$3)=(Dashboard!$I$32+1),INDEX(Data!$E$286:$E$288,MATCH(Repowered!$F$353,Data!$B$286:$B$288,0),0))</f>
        <v>0</v>
      </c>
      <c r="M353" s="182" cm="1">
        <f t="array" ref="M353">-IF(COUNT($I$3:M$3)=(Dashboard!$I$32+1),INDEX(Data!$E$286:$E$288,MATCH(Repowered!$F$353,Data!$B$286:$B$288,0),0))</f>
        <v>0</v>
      </c>
      <c r="N353" s="182" cm="1">
        <f t="array" ref="N353">-IF(COUNT($I$3:N$3)=(Dashboard!$I$32+1),INDEX(Data!$E$286:$E$288,MATCH(Repowered!$F$353,Data!$B$286:$B$288,0),0))</f>
        <v>0</v>
      </c>
      <c r="O353" s="182" cm="1">
        <f t="array" ref="O353">-IF(COUNT($I$3:O$3)=(Dashboard!$I$32+1),INDEX(Data!$E$286:$E$288,MATCH(Repowered!$F$353,Data!$B$286:$B$288,0),0))</f>
        <v>0</v>
      </c>
      <c r="P353" s="182" cm="1">
        <f t="array" ref="P353">-IF(COUNT($I$3:P$3)=(Dashboard!$I$32+1),INDEX(Data!$E$286:$E$288,MATCH(Repowered!$F$353,Data!$B$286:$B$288,0),0))</f>
        <v>0</v>
      </c>
      <c r="Q353" s="182" cm="1">
        <f t="array" ref="Q353">-IF(COUNT($I$3:Q$3)=(Dashboard!$I$32+1),INDEX(Data!$E$286:$E$288,MATCH(Repowered!$F$353,Data!$B$286:$B$288,0),0))</f>
        <v>0</v>
      </c>
      <c r="R353" s="182" cm="1">
        <f t="array" ref="R353">-IF(COUNT($I$3:R$3)=(Dashboard!$I$32+1),INDEX(Data!$E$286:$E$288,MATCH(Repowered!$F$353,Data!$B$286:$B$288,0),0))</f>
        <v>0</v>
      </c>
      <c r="S353" s="182" cm="1">
        <f t="array" ref="S353">-IF(COUNT($I$3:S$3)=(Dashboard!$I$32+1),INDEX(Data!$E$286:$E$288,MATCH(Repowered!$F$353,Data!$B$286:$B$288,0),0))</f>
        <v>0</v>
      </c>
      <c r="T353" s="182" cm="1">
        <f t="array" ref="T353">-IF(COUNT($I$3:T$3)=(Dashboard!$I$32+1),INDEX(Data!$E$286:$E$288,MATCH(Repowered!$F$353,Data!$B$286:$B$288,0),0))</f>
        <v>0</v>
      </c>
      <c r="U353" s="182" cm="1">
        <f t="array" ref="U353">-IF(COUNT($I$3:U$3)=(Dashboard!$I$32+1),INDEX(Data!$E$286:$E$288,MATCH(Repowered!$F$353,Data!$B$286:$B$288,0),0))</f>
        <v>-75000</v>
      </c>
      <c r="V353" s="182" cm="1">
        <f t="array" ref="V353">-IF(COUNT($I$3:V$3)=(Dashboard!$I$32+1),INDEX(Data!$E$286:$E$288,MATCH(Repowered!$F$353,Data!$B$286:$B$288,0),0))</f>
        <v>0</v>
      </c>
      <c r="W353" s="182" cm="1">
        <f t="array" ref="W353">-IF(COUNT($I$3:W$3)=(Dashboard!$I$32+1),INDEX(Data!$E$286:$E$288,MATCH(Repowered!$F$353,Data!$B$286:$B$288,0),0))</f>
        <v>0</v>
      </c>
      <c r="X353" s="182" cm="1">
        <f t="array" ref="X353">-IF(COUNT($I$3:X$3)=(Dashboard!$I$32+1),INDEX(Data!$E$286:$E$288,MATCH(Repowered!$F$353,Data!$B$286:$B$288,0),0))</f>
        <v>0</v>
      </c>
      <c r="Y353" s="182" cm="1">
        <f t="array" ref="Y353">-IF(COUNT($I$3:Y$3)=(Dashboard!$I$32+1),INDEX(Data!$E$286:$E$288,MATCH(Repowered!$F$353,Data!$B$286:$B$288,0),0))</f>
        <v>0</v>
      </c>
      <c r="Z353" s="182" cm="1">
        <f t="array" ref="Z353">-IF(COUNT($I$3:Z$3)=(Dashboard!$I$32+1),INDEX(Data!$E$286:$E$288,MATCH(Repowered!$F$353,Data!$B$286:$B$288,0),0))</f>
        <v>0</v>
      </c>
      <c r="AA353" s="182" cm="1">
        <f t="array" ref="AA353">-IF(COUNT($I$3:AA$3)=(Dashboard!$I$32+1),INDEX(Data!$E$286:$E$288,MATCH(Repowered!$F$353,Data!$B$286:$B$288,0),0))</f>
        <v>0</v>
      </c>
      <c r="AB353" s="182" cm="1">
        <f t="array" ref="AB353">-IF(COUNT($I$3:AB$3)=(Dashboard!$I$32+1),INDEX(Data!$E$286:$E$288,MATCH(Repowered!$F$353,Data!$B$286:$B$288,0),0))</f>
        <v>0</v>
      </c>
      <c r="AC353" s="182" cm="1">
        <f t="array" ref="AC353">-IF(COUNT($I$3:AC$3)=(Dashboard!$I$32+1),INDEX(Data!$E$286:$E$288,MATCH(Repowered!$F$353,Data!$B$286:$B$288,0),0))</f>
        <v>0</v>
      </c>
      <c r="AD353" s="182" cm="1">
        <f t="array" ref="AD353">-IF(COUNT($I$3:AD$3)=(Dashboard!$I$32+1),INDEX(Data!$E$286:$E$288,MATCH(Repowered!$F$353,Data!$B$286:$B$288,0),0))</f>
        <v>0</v>
      </c>
      <c r="AE353" s="182" cm="1">
        <f t="array" ref="AE353">-IF(COUNT($I$3:AE$3)=(Dashboard!$I$32+1),INDEX(Data!$E$286:$E$288,MATCH(Repowered!$F$353,Data!$B$286:$B$288,0),0))</f>
        <v>0</v>
      </c>
      <c r="AF353" s="182" cm="1">
        <f t="array" ref="AF353">-IF(COUNT($I$3:AF$3)=(Dashboard!$I$32+1),INDEX(Data!$E$286:$E$288,MATCH(Repowered!$F$353,Data!$B$286:$B$288,0),0))</f>
        <v>0</v>
      </c>
      <c r="AG353" s="182" cm="1">
        <f t="array" ref="AG353">-IF(COUNT($I$3:AG$3)=(Dashboard!$I$32+1),INDEX(Data!$E$286:$E$288,MATCH(Repowered!$F$353,Data!$B$286:$B$288,0),0))</f>
        <v>0</v>
      </c>
      <c r="AH353" s="182" cm="1">
        <f t="array" ref="AH353">-IF(COUNT($I$3:AH$3)=(Dashboard!$I$32+1),INDEX(Data!$E$286:$E$288,MATCH(Repowered!$F$353,Data!$B$286:$B$288,0),0))</f>
        <v>0</v>
      </c>
      <c r="AI353" s="182" cm="1">
        <f t="array" ref="AI353">-IF(COUNT($I$3:AI$3)=(Dashboard!$I$32+1),INDEX(Data!$E$286:$E$288,MATCH(Repowered!$F$353,Data!$B$286:$B$288,0),0))</f>
        <v>0</v>
      </c>
      <c r="AJ353" s="182" cm="1">
        <f t="array" ref="AJ353">-IF(COUNT($I$3:AJ$3)=(Dashboard!$I$32+1),INDEX(Data!$E$286:$E$288,MATCH(Repowered!$F$353,Data!$B$286:$B$288,0),0))</f>
        <v>0</v>
      </c>
      <c r="AK353" s="182" cm="1">
        <f t="array" ref="AK353">-IF(COUNT($I$3:AK$3)=(Dashboard!$I$32+1),INDEX(Data!$E$286:$E$288,MATCH(Repowered!$F$353,Data!$B$286:$B$288,0),0))</f>
        <v>0</v>
      </c>
      <c r="AL353" s="182" cm="1">
        <f t="array" ref="AL353">-IF(COUNT($I$3:AL$3)=(Dashboard!$I$32+1),INDEX(Data!$E$286:$E$288,MATCH(Repowered!$F$353,Data!$B$286:$B$288,0),0))</f>
        <v>0</v>
      </c>
      <c r="AM353" s="182" cm="1">
        <f t="array" ref="AM353">-IF(COUNT($I$3:AM$3)=(Dashboard!$I$32+1),INDEX(Data!$E$286:$E$288,MATCH(Repowered!$F$353,Data!$B$286:$B$288,0),0))</f>
        <v>0</v>
      </c>
      <c r="AN353" s="182" cm="1">
        <f t="array" ref="AN353">-IF(COUNT($I$3:AN$3)=(Dashboard!$I$32+1),INDEX(Data!$E$286:$E$288,MATCH(Repowered!$F$353,Data!$B$286:$B$288,0),0))</f>
        <v>0</v>
      </c>
      <c r="AO353" s="182" cm="1">
        <f t="array" ref="AO353">-IF(COUNT($I$3:AO$3)=(Dashboard!$I$32+1),INDEX(Data!$E$286:$E$288,MATCH(Repowered!$F$353,Data!$B$286:$B$288,0),0))</f>
        <v>0</v>
      </c>
      <c r="AP353" s="50"/>
    </row>
    <row r="354" spans="1:42" outlineLevel="1" x14ac:dyDescent="0.25">
      <c r="A354" s="12"/>
      <c r="B354" s="13"/>
      <c r="C354" s="45"/>
      <c r="D354" s="45"/>
      <c r="E354" s="15"/>
      <c r="F354" s="16"/>
      <c r="G354" s="14"/>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9"/>
    </row>
    <row r="355" spans="1:42" outlineLevel="1" x14ac:dyDescent="0.25">
      <c r="A355" s="12"/>
      <c r="B355" s="13"/>
      <c r="C355" s="20" t="s">
        <v>478</v>
      </c>
      <c r="D355" s="14"/>
      <c r="E355" s="15" t="s">
        <v>142</v>
      </c>
      <c r="F355" s="16"/>
      <c r="G355" s="231">
        <f>SUM(I355:AO355)</f>
        <v>813649.2763902914</v>
      </c>
      <c r="H355" s="46"/>
      <c r="I355" s="46">
        <f>(I350+I353)*Data!H$9</f>
        <v>62535.667099786639</v>
      </c>
      <c r="J355" s="46">
        <f>(J350+J353)*Data!I$9</f>
        <v>60084.975869616705</v>
      </c>
      <c r="K355" s="46">
        <f>(K350+K353)*Data!J$9</f>
        <v>87680.233385536078</v>
      </c>
      <c r="L355" s="46">
        <f>(L350+L353)*Data!K$9</f>
        <v>84211.052248998152</v>
      </c>
      <c r="M355" s="46">
        <f>(M350+M353)*Data!L$9</f>
        <v>80868.641662184615</v>
      </c>
      <c r="N355" s="46">
        <f>(N350+N353)*Data!M$9</f>
        <v>77656.368727652371</v>
      </c>
      <c r="O355" s="46">
        <f>(O350+O353)*Data!N$9</f>
        <v>74572.282682192468</v>
      </c>
      <c r="P355" s="46">
        <f>(P350+P353)*Data!O$9</f>
        <v>71607.256330961478</v>
      </c>
      <c r="Q355" s="46">
        <f>(Q350+Q353)*Data!P$9</f>
        <v>68803.619517207757</v>
      </c>
      <c r="R355" s="46">
        <f>(R350+R353)*Data!Q$9</f>
        <v>66110.512076991174</v>
      </c>
      <c r="S355" s="46">
        <f>(S350+S353)*Data!R$9</f>
        <v>63523.29131247168</v>
      </c>
      <c r="T355" s="46">
        <f>(T350+T353)*Data!S$9</f>
        <v>61038.431936793175</v>
      </c>
      <c r="U355" s="46">
        <f>(U350+U353)*Data!T$9</f>
        <v>-45043.056460100852</v>
      </c>
      <c r="V355" s="46">
        <f>(V350+V353)*Data!U$9</f>
        <v>0</v>
      </c>
      <c r="W355" s="46">
        <f>(W350+W353)*Data!V$9</f>
        <v>0</v>
      </c>
      <c r="X355" s="46">
        <f>(X350+X353)*Data!W$9</f>
        <v>0</v>
      </c>
      <c r="Y355" s="46">
        <f>(Y350+Y353)*Data!X$9</f>
        <v>0</v>
      </c>
      <c r="Z355" s="46">
        <f>(Z350+Z353)*Data!Y$9</f>
        <v>0</v>
      </c>
      <c r="AA355" s="46">
        <f>(AA350+AA353)*Data!Z$9</f>
        <v>0</v>
      </c>
      <c r="AB355" s="46">
        <f>(AB350+AB353)*Data!AA$9</f>
        <v>0</v>
      </c>
      <c r="AC355" s="46">
        <f>(AC350+AC353)*Data!AB$9</f>
        <v>0</v>
      </c>
      <c r="AD355" s="46">
        <f>(AD350+AD353)*Data!AC$9</f>
        <v>0</v>
      </c>
      <c r="AE355" s="46">
        <f>(AE350+AE353)*Data!AD$9</f>
        <v>0</v>
      </c>
      <c r="AF355" s="46">
        <f>(AF350+AF353)*Data!AE$9</f>
        <v>0</v>
      </c>
      <c r="AG355" s="46">
        <f>(AG350+AG353)*Data!AF$9</f>
        <v>0</v>
      </c>
      <c r="AH355" s="46">
        <f>(AH350+AH353)*Data!AG$9</f>
        <v>0</v>
      </c>
      <c r="AI355" s="46">
        <f>(AI350+AI353)*Data!AH$9</f>
        <v>0</v>
      </c>
      <c r="AJ355" s="46">
        <f>(AJ350+AJ353)*Data!AI$9</f>
        <v>0</v>
      </c>
      <c r="AK355" s="46">
        <f>(AK350+AK353)*Data!AJ$9</f>
        <v>0</v>
      </c>
      <c r="AL355" s="46">
        <f>(AL350+AL353)*Data!AK$9</f>
        <v>0</v>
      </c>
      <c r="AM355" s="46">
        <f>(AM350+AM353)*Data!AL$9</f>
        <v>0</v>
      </c>
      <c r="AN355" s="46">
        <f>(AN350+AN353)*Data!AM$9</f>
        <v>0</v>
      </c>
      <c r="AO355" s="46">
        <f>(AO350+AO353)*Data!AN$9</f>
        <v>0</v>
      </c>
      <c r="AP355" s="17"/>
    </row>
    <row r="356" spans="1:42" outlineLevel="1" x14ac:dyDescent="0.25">
      <c r="A356" s="12"/>
      <c r="B356" s="13"/>
      <c r="C356" s="14"/>
      <c r="D356" s="14"/>
      <c r="E356" s="15"/>
      <c r="F356" s="16"/>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7"/>
    </row>
    <row r="357" spans="1:42" outlineLevel="1" x14ac:dyDescent="0.25">
      <c r="A357" s="12"/>
      <c r="B357" s="13"/>
      <c r="C357" s="37" t="s">
        <v>479</v>
      </c>
      <c r="D357" s="37"/>
      <c r="E357" s="38" t="s">
        <v>54</v>
      </c>
      <c r="F357" s="39"/>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17"/>
    </row>
    <row r="358" spans="1:42" outlineLevel="1" x14ac:dyDescent="0.25">
      <c r="A358" s="12"/>
      <c r="B358" s="13"/>
      <c r="C358" s="14" t="s">
        <v>479</v>
      </c>
      <c r="D358" s="14"/>
      <c r="E358" s="15" t="s">
        <v>54</v>
      </c>
      <c r="F358" s="16"/>
      <c r="G358" s="96"/>
      <c r="H358" s="165"/>
      <c r="I358" s="165">
        <f>I350+I330+I353</f>
        <v>135282.88926200086</v>
      </c>
      <c r="J358" s="165">
        <f t="shared" ref="J358:AO358" si="53">J350+J330+J353</f>
        <v>135233.70537880019</v>
      </c>
      <c r="K358" s="165">
        <f t="shared" si="53"/>
        <v>168874.13352521043</v>
      </c>
      <c r="L358" s="165">
        <f t="shared" si="53"/>
        <v>168760.81579832052</v>
      </c>
      <c r="M358" s="165">
        <f t="shared" si="53"/>
        <v>168634.86306966527</v>
      </c>
      <c r="N358" s="165">
        <f t="shared" si="53"/>
        <v>168505.87573665936</v>
      </c>
      <c r="O358" s="165">
        <f t="shared" si="53"/>
        <v>168377.83210987833</v>
      </c>
      <c r="P358" s="165">
        <f t="shared" si="53"/>
        <v>168245.27027721377</v>
      </c>
      <c r="Q358" s="165">
        <f t="shared" si="53"/>
        <v>168174.79987441801</v>
      </c>
      <c r="R358" s="165">
        <f t="shared" si="53"/>
        <v>168105.50315321417</v>
      </c>
      <c r="S358" s="165">
        <f t="shared" si="53"/>
        <v>168036.98395969166</v>
      </c>
      <c r="T358" s="165">
        <f t="shared" si="53"/>
        <v>167970.29157987918</v>
      </c>
      <c r="U358" s="165">
        <f t="shared" si="53"/>
        <v>-75000</v>
      </c>
      <c r="V358" s="165">
        <f t="shared" si="53"/>
        <v>0</v>
      </c>
      <c r="W358" s="165">
        <f>W350+W330+W353</f>
        <v>0</v>
      </c>
      <c r="X358" s="165">
        <f t="shared" si="53"/>
        <v>0</v>
      </c>
      <c r="Y358" s="165">
        <f t="shared" si="53"/>
        <v>0</v>
      </c>
      <c r="Z358" s="165">
        <f t="shared" si="53"/>
        <v>0</v>
      </c>
      <c r="AA358" s="165">
        <f t="shared" si="53"/>
        <v>0</v>
      </c>
      <c r="AB358" s="165">
        <f t="shared" si="53"/>
        <v>0</v>
      </c>
      <c r="AC358" s="165">
        <f t="shared" si="53"/>
        <v>0</v>
      </c>
      <c r="AD358" s="165">
        <f t="shared" si="53"/>
        <v>0</v>
      </c>
      <c r="AE358" s="165">
        <f t="shared" si="53"/>
        <v>0</v>
      </c>
      <c r="AF358" s="165">
        <f t="shared" si="53"/>
        <v>0</v>
      </c>
      <c r="AG358" s="165">
        <f t="shared" si="53"/>
        <v>0</v>
      </c>
      <c r="AH358" s="165">
        <f t="shared" si="53"/>
        <v>0</v>
      </c>
      <c r="AI358" s="165">
        <f t="shared" si="53"/>
        <v>0</v>
      </c>
      <c r="AJ358" s="165">
        <f t="shared" si="53"/>
        <v>0</v>
      </c>
      <c r="AK358" s="165">
        <f t="shared" si="53"/>
        <v>0</v>
      </c>
      <c r="AL358" s="165">
        <f t="shared" si="53"/>
        <v>0</v>
      </c>
      <c r="AM358" s="165">
        <f t="shared" si="53"/>
        <v>0</v>
      </c>
      <c r="AN358" s="165">
        <f t="shared" si="53"/>
        <v>0</v>
      </c>
      <c r="AO358" s="165">
        <f t="shared" si="53"/>
        <v>0</v>
      </c>
      <c r="AP358" s="29"/>
    </row>
    <row r="359" spans="1:42" s="140" customFormat="1" outlineLevel="1" x14ac:dyDescent="0.25">
      <c r="A359" s="78"/>
      <c r="B359" s="19"/>
      <c r="C359" s="20" t="s">
        <v>480</v>
      </c>
      <c r="D359" s="20"/>
      <c r="E359" s="15" t="s">
        <v>54</v>
      </c>
      <c r="F359" s="48"/>
      <c r="G359" s="95"/>
      <c r="H359" s="182"/>
      <c r="I359" s="182">
        <f>I358*Data!H$9</f>
        <v>130079.70121346235</v>
      </c>
      <c r="J359" s="182">
        <f>J358*Data!I$9</f>
        <v>125031.16251738182</v>
      </c>
      <c r="K359" s="182">
        <f>K358*Data!J$9</f>
        <v>150128.48977761794</v>
      </c>
      <c r="L359" s="182">
        <f>L358*Data!K$9</f>
        <v>144257.45262599993</v>
      </c>
      <c r="M359" s="182">
        <f>M358*Data!L$9</f>
        <v>138605.56510160939</v>
      </c>
      <c r="N359" s="182">
        <f>N358*Data!M$9</f>
        <v>133172.64126556081</v>
      </c>
      <c r="O359" s="182">
        <f>O358*Data!N$9</f>
        <v>127953.31396864291</v>
      </c>
      <c r="P359" s="182">
        <f>P358*Data!O$9</f>
        <v>122935.1710294715</v>
      </c>
      <c r="Q359" s="182">
        <f>Q358*Data!P$9</f>
        <v>118157.38365039045</v>
      </c>
      <c r="R359" s="182">
        <f>R358*Data!Q$9</f>
        <v>113566.05451274378</v>
      </c>
      <c r="S359" s="182">
        <f>S358*Data!R$9</f>
        <v>109153.62057761841</v>
      </c>
      <c r="T359" s="182">
        <f>T358*Data!S$9</f>
        <v>104913.74853789579</v>
      </c>
      <c r="U359" s="182">
        <f>U358*Data!T$9</f>
        <v>-45043.056460100852</v>
      </c>
      <c r="V359" s="182">
        <f>V358*Data!U$9</f>
        <v>0</v>
      </c>
      <c r="W359" s="182">
        <f>W358*Data!V$9</f>
        <v>0</v>
      </c>
      <c r="X359" s="182">
        <f>X358*Data!W$9</f>
        <v>0</v>
      </c>
      <c r="Y359" s="182">
        <f>Y358*Data!X$9</f>
        <v>0</v>
      </c>
      <c r="Z359" s="182">
        <f>Z358*Data!Y$9</f>
        <v>0</v>
      </c>
      <c r="AA359" s="182">
        <f>AA358*Data!Z$9</f>
        <v>0</v>
      </c>
      <c r="AB359" s="182">
        <f>AB358*Data!AA$9</f>
        <v>0</v>
      </c>
      <c r="AC359" s="182">
        <f>AC358*Data!AB$9</f>
        <v>0</v>
      </c>
      <c r="AD359" s="182">
        <f>AD358*Data!AC$9</f>
        <v>0</v>
      </c>
      <c r="AE359" s="182">
        <f>AE358*Data!AD$9</f>
        <v>0</v>
      </c>
      <c r="AF359" s="182">
        <f>AF358*Data!AE$9</f>
        <v>0</v>
      </c>
      <c r="AG359" s="182">
        <f>AG358*Data!AF$9</f>
        <v>0</v>
      </c>
      <c r="AH359" s="182">
        <f>AH358*Data!AG$9</f>
        <v>0</v>
      </c>
      <c r="AI359" s="182">
        <f>AI358*Data!AH$9</f>
        <v>0</v>
      </c>
      <c r="AJ359" s="182">
        <f>AJ358*Data!AI$9</f>
        <v>0</v>
      </c>
      <c r="AK359" s="182">
        <f>AK358*Data!AJ$9</f>
        <v>0</v>
      </c>
      <c r="AL359" s="182">
        <f>AL358*Data!AK$9</f>
        <v>0</v>
      </c>
      <c r="AM359" s="182">
        <f>AM358*Data!AL$9</f>
        <v>0</v>
      </c>
      <c r="AN359" s="182">
        <f>AN358*Data!AM$9</f>
        <v>0</v>
      </c>
      <c r="AO359" s="182">
        <f>AO358*Data!AN$9</f>
        <v>0</v>
      </c>
      <c r="AP359" s="50"/>
    </row>
    <row r="360" spans="1:42" outlineLevel="1" x14ac:dyDescent="0.25">
      <c r="A360" s="12"/>
      <c r="B360" s="13"/>
      <c r="C360" s="14" t="s">
        <v>479</v>
      </c>
      <c r="D360" s="14"/>
      <c r="E360" s="15" t="s">
        <v>142</v>
      </c>
      <c r="F360" s="16"/>
      <c r="G360" s="165">
        <f>SUM(H359:AO359)</f>
        <v>1472911.2483182943</v>
      </c>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9"/>
    </row>
    <row r="361" spans="1:42" outlineLevel="1" x14ac:dyDescent="0.25">
      <c r="A361" s="12"/>
      <c r="B361" s="13"/>
      <c r="C361" s="44" t="s">
        <v>514</v>
      </c>
      <c r="D361" s="44"/>
      <c r="E361" s="15" t="s">
        <v>261</v>
      </c>
      <c r="F361" s="16"/>
      <c r="G361" s="183">
        <f>G360/SUM(I297:AO297)</f>
        <v>1.3113526071209884</v>
      </c>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7"/>
    </row>
    <row r="362" spans="1:42" outlineLevel="1" x14ac:dyDescent="0.25">
      <c r="A362" s="12"/>
      <c r="B362" s="13"/>
      <c r="C362" s="14"/>
      <c r="D362" s="14"/>
      <c r="E362" s="15"/>
      <c r="F362" s="16"/>
      <c r="G362" s="14"/>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17"/>
    </row>
    <row r="363" spans="1:42" outlineLevel="1" x14ac:dyDescent="0.25">
      <c r="A363" s="12"/>
      <c r="B363" s="13"/>
      <c r="C363" s="19"/>
      <c r="D363" s="19"/>
      <c r="E363" s="15"/>
      <c r="F363" s="16"/>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row>
    <row r="364" spans="1:42" outlineLevel="1" x14ac:dyDescent="0.25">
      <c r="A364" s="12"/>
      <c r="B364" s="13"/>
      <c r="C364" s="37" t="s">
        <v>515</v>
      </c>
      <c r="D364" s="37"/>
      <c r="E364" s="38"/>
      <c r="F364" s="39"/>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17"/>
    </row>
    <row r="365" spans="1:42" outlineLevel="1" x14ac:dyDescent="0.25">
      <c r="A365" s="12"/>
      <c r="B365" s="13"/>
      <c r="C365" s="20" t="s">
        <v>516</v>
      </c>
      <c r="D365" s="45"/>
      <c r="E365" s="15"/>
      <c r="F365" s="16"/>
      <c r="G365" s="165"/>
      <c r="H365" s="165"/>
      <c r="I365" s="165"/>
      <c r="J365" s="165"/>
      <c r="K365" s="165"/>
      <c r="L365" s="165"/>
      <c r="M365" s="165"/>
      <c r="N365" s="165"/>
      <c r="O365" s="165"/>
      <c r="P365" s="165"/>
      <c r="Q365" s="165"/>
      <c r="R365" s="165"/>
      <c r="S365" s="165"/>
      <c r="T365" s="165"/>
      <c r="U365" s="28"/>
      <c r="V365" s="28"/>
      <c r="W365" s="28"/>
      <c r="X365" s="28"/>
      <c r="Y365" s="28"/>
      <c r="Z365" s="28"/>
      <c r="AA365" s="28"/>
      <c r="AB365" s="28"/>
      <c r="AC365" s="28"/>
      <c r="AD365" s="28"/>
      <c r="AE365" s="28"/>
      <c r="AF365" s="28"/>
      <c r="AG365" s="28"/>
      <c r="AH365" s="28"/>
      <c r="AI365" s="28"/>
      <c r="AJ365" s="28"/>
      <c r="AK365" s="28"/>
      <c r="AL365" s="28"/>
      <c r="AM365" s="28"/>
      <c r="AN365" s="28"/>
      <c r="AO365" s="28"/>
      <c r="AP365" s="29"/>
    </row>
    <row r="366" spans="1:42" outlineLevel="1" x14ac:dyDescent="0.25">
      <c r="A366" s="12"/>
      <c r="B366" s="13"/>
      <c r="C366" s="45" t="s">
        <v>517</v>
      </c>
      <c r="D366" s="45"/>
      <c r="E366" s="15" t="s">
        <v>342</v>
      </c>
      <c r="F366" s="179">
        <f>Data!$E$291</f>
        <v>47000</v>
      </c>
      <c r="G366" s="165"/>
      <c r="H366" s="165"/>
      <c r="I366" s="165"/>
      <c r="J366" s="165"/>
      <c r="K366" s="165"/>
      <c r="L366" s="165"/>
      <c r="M366" s="165"/>
      <c r="N366" s="165"/>
      <c r="O366" s="165"/>
      <c r="P366" s="165"/>
      <c r="Q366" s="165"/>
      <c r="R366" s="165"/>
      <c r="S366" s="165"/>
      <c r="T366" s="165"/>
      <c r="U366" s="28"/>
      <c r="V366" s="28"/>
      <c r="W366" s="28"/>
      <c r="X366" s="28"/>
      <c r="Y366" s="28"/>
      <c r="Z366" s="28"/>
      <c r="AA366" s="28"/>
      <c r="AB366" s="28"/>
      <c r="AC366" s="28"/>
      <c r="AD366" s="28"/>
      <c r="AE366" s="28"/>
      <c r="AF366" s="28"/>
      <c r="AG366" s="28"/>
      <c r="AH366" s="28"/>
      <c r="AI366" s="28"/>
      <c r="AJ366" s="28"/>
      <c r="AK366" s="28"/>
      <c r="AL366" s="28"/>
      <c r="AM366" s="28"/>
      <c r="AN366" s="28"/>
      <c r="AO366" s="28"/>
      <c r="AP366" s="29"/>
    </row>
    <row r="367" spans="1:42" outlineLevel="1" x14ac:dyDescent="0.25">
      <c r="A367" s="12"/>
      <c r="B367" s="13"/>
      <c r="C367" s="45" t="s">
        <v>518</v>
      </c>
      <c r="D367" s="45"/>
      <c r="E367" s="15" t="s">
        <v>142</v>
      </c>
      <c r="F367" s="179"/>
      <c r="G367" s="186">
        <f>F366*Data!$G$16/1000</f>
        <v>4089</v>
      </c>
      <c r="H367" s="165"/>
      <c r="I367" s="165"/>
      <c r="J367" s="165"/>
      <c r="K367" s="165"/>
      <c r="L367" s="165"/>
      <c r="M367" s="165"/>
      <c r="N367" s="165"/>
      <c r="O367" s="165"/>
      <c r="P367" s="165"/>
      <c r="Q367" s="165"/>
      <c r="R367" s="165"/>
      <c r="S367" s="165"/>
      <c r="T367" s="165"/>
      <c r="U367" s="28"/>
      <c r="V367" s="28"/>
      <c r="W367" s="28"/>
      <c r="X367" s="28"/>
      <c r="Y367" s="28"/>
      <c r="Z367" s="28"/>
      <c r="AA367" s="28"/>
      <c r="AB367" s="28"/>
      <c r="AC367" s="28"/>
      <c r="AD367" s="28"/>
      <c r="AE367" s="28"/>
      <c r="AF367" s="28"/>
      <c r="AG367" s="28"/>
      <c r="AH367" s="28"/>
      <c r="AI367" s="28"/>
      <c r="AJ367" s="28"/>
      <c r="AK367" s="28"/>
      <c r="AL367" s="28"/>
      <c r="AM367" s="28"/>
      <c r="AN367" s="28"/>
      <c r="AO367" s="28"/>
      <c r="AP367" s="29"/>
    </row>
    <row r="368" spans="1:42" outlineLevel="1" x14ac:dyDescent="0.25">
      <c r="A368" s="12"/>
      <c r="B368" s="13"/>
      <c r="C368" s="45" t="s">
        <v>518</v>
      </c>
      <c r="D368" s="45"/>
      <c r="E368" s="15" t="s">
        <v>261</v>
      </c>
      <c r="F368" s="179"/>
      <c r="G368" s="184">
        <f>G367/(SUM(H297:AN297))</f>
        <v>3.640491452991453E-3</v>
      </c>
      <c r="H368" s="165"/>
      <c r="I368" s="165"/>
      <c r="J368" s="165"/>
      <c r="K368" s="165"/>
      <c r="L368" s="165"/>
      <c r="M368" s="165"/>
      <c r="N368" s="165"/>
      <c r="O368" s="165"/>
      <c r="P368" s="165"/>
      <c r="Q368" s="165"/>
      <c r="R368" s="165"/>
      <c r="S368" s="165"/>
      <c r="T368" s="165"/>
      <c r="U368" s="28"/>
      <c r="V368" s="28"/>
      <c r="W368" s="28"/>
      <c r="X368" s="28"/>
      <c r="Y368" s="28"/>
      <c r="Z368" s="28"/>
      <c r="AA368" s="28"/>
      <c r="AB368" s="28"/>
      <c r="AC368" s="28"/>
      <c r="AD368" s="28"/>
      <c r="AE368" s="28"/>
      <c r="AF368" s="28"/>
      <c r="AG368" s="28"/>
      <c r="AH368" s="28"/>
      <c r="AI368" s="28"/>
      <c r="AJ368" s="28"/>
      <c r="AK368" s="28"/>
      <c r="AL368" s="28"/>
      <c r="AM368" s="28"/>
      <c r="AN368" s="28"/>
      <c r="AO368" s="28"/>
      <c r="AP368" s="29"/>
    </row>
    <row r="369" spans="1:42" outlineLevel="1" x14ac:dyDescent="0.25">
      <c r="A369" s="12"/>
      <c r="B369" s="13"/>
      <c r="C369" s="20" t="s">
        <v>519</v>
      </c>
      <c r="D369" s="19"/>
      <c r="E369" s="15"/>
      <c r="F369" s="16"/>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7"/>
    </row>
    <row r="370" spans="1:42" outlineLevel="1" x14ac:dyDescent="0.25">
      <c r="A370" s="12"/>
      <c r="B370" s="13"/>
      <c r="C370" t="s">
        <v>520</v>
      </c>
      <c r="D370" s="14"/>
      <c r="E370" s="15" t="s">
        <v>521</v>
      </c>
      <c r="F370" s="16"/>
      <c r="G370" s="14"/>
      <c r="H370" s="141"/>
      <c r="I370" s="141">
        <f>I297</f>
        <v>93600</v>
      </c>
      <c r="J370" s="141">
        <f t="shared" ref="J370:AO370" si="54">J297</f>
        <v>93600</v>
      </c>
      <c r="K370" s="141">
        <f t="shared" si="54"/>
        <v>93600</v>
      </c>
      <c r="L370" s="141">
        <f t="shared" si="54"/>
        <v>93600</v>
      </c>
      <c r="M370" s="141">
        <f t="shared" si="54"/>
        <v>93600</v>
      </c>
      <c r="N370" s="141">
        <f t="shared" si="54"/>
        <v>93600</v>
      </c>
      <c r="O370" s="141">
        <f t="shared" si="54"/>
        <v>93600</v>
      </c>
      <c r="P370" s="141">
        <f t="shared" si="54"/>
        <v>93600</v>
      </c>
      <c r="Q370" s="141">
        <f t="shared" si="54"/>
        <v>93600</v>
      </c>
      <c r="R370" s="141">
        <f t="shared" si="54"/>
        <v>93600</v>
      </c>
      <c r="S370" s="141">
        <f t="shared" si="54"/>
        <v>93600</v>
      </c>
      <c r="T370" s="141">
        <f t="shared" si="54"/>
        <v>93600</v>
      </c>
      <c r="U370" s="141">
        <f t="shared" si="54"/>
        <v>0</v>
      </c>
      <c r="V370" s="141">
        <f t="shared" si="54"/>
        <v>0</v>
      </c>
      <c r="W370" s="141">
        <f t="shared" si="54"/>
        <v>0</v>
      </c>
      <c r="X370" s="141">
        <f t="shared" si="54"/>
        <v>0</v>
      </c>
      <c r="Y370" s="141">
        <f t="shared" si="54"/>
        <v>0</v>
      </c>
      <c r="Z370" s="141">
        <f t="shared" si="54"/>
        <v>0</v>
      </c>
      <c r="AA370" s="141">
        <f t="shared" si="54"/>
        <v>0</v>
      </c>
      <c r="AB370" s="141">
        <f t="shared" si="54"/>
        <v>0</v>
      </c>
      <c r="AC370" s="141">
        <f t="shared" si="54"/>
        <v>0</v>
      </c>
      <c r="AD370" s="141">
        <f t="shared" si="54"/>
        <v>0</v>
      </c>
      <c r="AE370" s="141">
        <f t="shared" si="54"/>
        <v>0</v>
      </c>
      <c r="AF370" s="141">
        <f t="shared" si="54"/>
        <v>0</v>
      </c>
      <c r="AG370" s="141">
        <f t="shared" si="54"/>
        <v>0</v>
      </c>
      <c r="AH370" s="141">
        <f t="shared" si="54"/>
        <v>0</v>
      </c>
      <c r="AI370" s="141">
        <f t="shared" si="54"/>
        <v>0</v>
      </c>
      <c r="AJ370" s="141">
        <f t="shared" si="54"/>
        <v>0</v>
      </c>
      <c r="AK370" s="141">
        <f t="shared" si="54"/>
        <v>0</v>
      </c>
      <c r="AL370" s="141">
        <f t="shared" si="54"/>
        <v>0</v>
      </c>
      <c r="AM370" s="141">
        <f t="shared" si="54"/>
        <v>0</v>
      </c>
      <c r="AN370" s="141">
        <f t="shared" si="54"/>
        <v>0</v>
      </c>
      <c r="AO370" s="141">
        <f t="shared" si="54"/>
        <v>0</v>
      </c>
      <c r="AP370" s="14"/>
    </row>
    <row r="371" spans="1:42" outlineLevel="1" x14ac:dyDescent="0.25">
      <c r="A371" s="12"/>
      <c r="B371" s="13"/>
      <c r="C371" s="20" t="s">
        <v>483</v>
      </c>
      <c r="D371" s="14"/>
      <c r="E371" s="15"/>
      <c r="F371" s="16"/>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4"/>
    </row>
    <row r="372" spans="1:42" ht="14.25" customHeight="1" outlineLevel="1" x14ac:dyDescent="0.25">
      <c r="A372" s="54"/>
      <c r="B372" s="13"/>
      <c r="C372" s="14" t="s">
        <v>205</v>
      </c>
      <c r="D372" s="14"/>
      <c r="E372" s="70" t="s">
        <v>352</v>
      </c>
      <c r="F372" s="201">
        <f>Data!E586/1000</f>
        <v>0</v>
      </c>
      <c r="G372" s="56"/>
      <c r="H372" s="56"/>
      <c r="I372" s="56">
        <f>I$370*$F372</f>
        <v>0</v>
      </c>
      <c r="J372" s="56">
        <f t="shared" ref="J372:AO378" si="55">J$370*$F372</f>
        <v>0</v>
      </c>
      <c r="K372" s="56">
        <f t="shared" si="55"/>
        <v>0</v>
      </c>
      <c r="L372" s="56">
        <f t="shared" si="55"/>
        <v>0</v>
      </c>
      <c r="M372" s="56">
        <f t="shared" si="55"/>
        <v>0</v>
      </c>
      <c r="N372" s="56">
        <f t="shared" si="55"/>
        <v>0</v>
      </c>
      <c r="O372" s="56">
        <f t="shared" si="55"/>
        <v>0</v>
      </c>
      <c r="P372" s="56">
        <f t="shared" si="55"/>
        <v>0</v>
      </c>
      <c r="Q372" s="56">
        <f t="shared" si="55"/>
        <v>0</v>
      </c>
      <c r="R372" s="56">
        <f t="shared" si="55"/>
        <v>0</v>
      </c>
      <c r="S372" s="56">
        <f t="shared" si="55"/>
        <v>0</v>
      </c>
      <c r="T372" s="56">
        <f t="shared" si="55"/>
        <v>0</v>
      </c>
      <c r="U372" s="56">
        <f t="shared" si="55"/>
        <v>0</v>
      </c>
      <c r="V372" s="56">
        <f t="shared" si="55"/>
        <v>0</v>
      </c>
      <c r="W372" s="56">
        <f t="shared" si="55"/>
        <v>0</v>
      </c>
      <c r="X372" s="56">
        <f t="shared" si="55"/>
        <v>0</v>
      </c>
      <c r="Y372" s="56">
        <f t="shared" si="55"/>
        <v>0</v>
      </c>
      <c r="Z372" s="56">
        <f t="shared" si="55"/>
        <v>0</v>
      </c>
      <c r="AA372" s="56">
        <f t="shared" si="55"/>
        <v>0</v>
      </c>
      <c r="AB372" s="56">
        <f t="shared" si="55"/>
        <v>0</v>
      </c>
      <c r="AC372" s="56">
        <f t="shared" si="55"/>
        <v>0</v>
      </c>
      <c r="AD372" s="56">
        <f t="shared" si="55"/>
        <v>0</v>
      </c>
      <c r="AE372" s="56">
        <f t="shared" si="55"/>
        <v>0</v>
      </c>
      <c r="AF372" s="56">
        <f t="shared" si="55"/>
        <v>0</v>
      </c>
      <c r="AG372" s="56">
        <f t="shared" si="55"/>
        <v>0</v>
      </c>
      <c r="AH372" s="56">
        <f t="shared" si="55"/>
        <v>0</v>
      </c>
      <c r="AI372" s="56">
        <f t="shared" si="55"/>
        <v>0</v>
      </c>
      <c r="AJ372" s="56">
        <f t="shared" si="55"/>
        <v>0</v>
      </c>
      <c r="AK372" s="56">
        <f t="shared" si="55"/>
        <v>0</v>
      </c>
      <c r="AL372" s="56">
        <f t="shared" si="55"/>
        <v>0</v>
      </c>
      <c r="AM372" s="56">
        <f t="shared" si="55"/>
        <v>0</v>
      </c>
      <c r="AN372" s="56">
        <f t="shared" si="55"/>
        <v>0</v>
      </c>
      <c r="AO372" s="56">
        <f t="shared" si="55"/>
        <v>0</v>
      </c>
      <c r="AP372" s="29"/>
    </row>
    <row r="373" spans="1:42" outlineLevel="1" x14ac:dyDescent="0.25">
      <c r="A373" s="54"/>
      <c r="B373" s="13"/>
      <c r="C373" s="14" t="s">
        <v>484</v>
      </c>
      <c r="D373" s="14"/>
      <c r="E373" s="70" t="s">
        <v>352</v>
      </c>
      <c r="F373" s="201">
        <f>Data!E587</f>
        <v>0.14558901827984225</v>
      </c>
      <c r="G373" s="56"/>
      <c r="H373" s="56"/>
      <c r="I373" s="56">
        <f t="shared" ref="I373:X378" si="56">I$370*$F373</f>
        <v>13627.132110993234</v>
      </c>
      <c r="J373" s="56">
        <f t="shared" si="56"/>
        <v>13627.132110993234</v>
      </c>
      <c r="K373" s="56">
        <f t="shared" si="56"/>
        <v>13627.132110993234</v>
      </c>
      <c r="L373" s="56">
        <f t="shared" si="56"/>
        <v>13627.132110993234</v>
      </c>
      <c r="M373" s="56">
        <f t="shared" si="56"/>
        <v>13627.132110993234</v>
      </c>
      <c r="N373" s="56">
        <f t="shared" si="56"/>
        <v>13627.132110993234</v>
      </c>
      <c r="O373" s="56">
        <f t="shared" si="56"/>
        <v>13627.132110993234</v>
      </c>
      <c r="P373" s="56">
        <f t="shared" si="56"/>
        <v>13627.132110993234</v>
      </c>
      <c r="Q373" s="56">
        <f t="shared" si="56"/>
        <v>13627.132110993234</v>
      </c>
      <c r="R373" s="56">
        <f t="shared" si="56"/>
        <v>13627.132110993234</v>
      </c>
      <c r="S373" s="56">
        <f t="shared" si="56"/>
        <v>13627.132110993234</v>
      </c>
      <c r="T373" s="56">
        <f t="shared" si="56"/>
        <v>13627.132110993234</v>
      </c>
      <c r="U373" s="56">
        <f t="shared" si="56"/>
        <v>0</v>
      </c>
      <c r="V373" s="56">
        <f t="shared" si="56"/>
        <v>0</v>
      </c>
      <c r="W373" s="56">
        <f t="shared" si="56"/>
        <v>0</v>
      </c>
      <c r="X373" s="56">
        <f t="shared" si="56"/>
        <v>0</v>
      </c>
      <c r="Y373" s="56">
        <f t="shared" si="55"/>
        <v>0</v>
      </c>
      <c r="Z373" s="56">
        <f t="shared" si="55"/>
        <v>0</v>
      </c>
      <c r="AA373" s="56">
        <f t="shared" si="55"/>
        <v>0</v>
      </c>
      <c r="AB373" s="56">
        <f t="shared" si="55"/>
        <v>0</v>
      </c>
      <c r="AC373" s="56">
        <f t="shared" si="55"/>
        <v>0</v>
      </c>
      <c r="AD373" s="56">
        <f t="shared" si="55"/>
        <v>0</v>
      </c>
      <c r="AE373" s="56">
        <f t="shared" si="55"/>
        <v>0</v>
      </c>
      <c r="AF373" s="56">
        <f t="shared" si="55"/>
        <v>0</v>
      </c>
      <c r="AG373" s="56">
        <f t="shared" si="55"/>
        <v>0</v>
      </c>
      <c r="AH373" s="56">
        <f t="shared" si="55"/>
        <v>0</v>
      </c>
      <c r="AI373" s="56">
        <f t="shared" si="55"/>
        <v>0</v>
      </c>
      <c r="AJ373" s="56">
        <f t="shared" si="55"/>
        <v>0</v>
      </c>
      <c r="AK373" s="56">
        <f t="shared" si="55"/>
        <v>0</v>
      </c>
      <c r="AL373" s="56">
        <f t="shared" si="55"/>
        <v>0</v>
      </c>
      <c r="AM373" s="56">
        <f t="shared" si="55"/>
        <v>0</v>
      </c>
      <c r="AN373" s="56">
        <f t="shared" si="55"/>
        <v>0</v>
      </c>
      <c r="AO373" s="56">
        <f t="shared" si="55"/>
        <v>0</v>
      </c>
      <c r="AP373" s="29"/>
    </row>
    <row r="374" spans="1:42" outlineLevel="1" x14ac:dyDescent="0.25">
      <c r="A374" s="54"/>
      <c r="B374" s="13"/>
      <c r="C374" s="14" t="s">
        <v>285</v>
      </c>
      <c r="D374" s="14"/>
      <c r="E374" s="70" t="s">
        <v>352</v>
      </c>
      <c r="F374" s="201">
        <f>Data!E588/1000</f>
        <v>0</v>
      </c>
      <c r="G374" s="56"/>
      <c r="H374" s="56"/>
      <c r="I374" s="56">
        <f t="shared" si="56"/>
        <v>0</v>
      </c>
      <c r="J374" s="56">
        <f t="shared" si="55"/>
        <v>0</v>
      </c>
      <c r="K374" s="56">
        <f t="shared" si="55"/>
        <v>0</v>
      </c>
      <c r="L374" s="56">
        <f t="shared" si="55"/>
        <v>0</v>
      </c>
      <c r="M374" s="56">
        <f t="shared" si="55"/>
        <v>0</v>
      </c>
      <c r="N374" s="56">
        <f t="shared" si="55"/>
        <v>0</v>
      </c>
      <c r="O374" s="56">
        <f t="shared" si="55"/>
        <v>0</v>
      </c>
      <c r="P374" s="56">
        <f t="shared" si="55"/>
        <v>0</v>
      </c>
      <c r="Q374" s="56">
        <f t="shared" si="55"/>
        <v>0</v>
      </c>
      <c r="R374" s="56">
        <f t="shared" si="55"/>
        <v>0</v>
      </c>
      <c r="S374" s="56">
        <f t="shared" si="55"/>
        <v>0</v>
      </c>
      <c r="T374" s="56">
        <f t="shared" si="55"/>
        <v>0</v>
      </c>
      <c r="U374" s="56">
        <f t="shared" si="55"/>
        <v>0</v>
      </c>
      <c r="V374" s="56">
        <f t="shared" si="55"/>
        <v>0</v>
      </c>
      <c r="W374" s="56">
        <f t="shared" si="55"/>
        <v>0</v>
      </c>
      <c r="X374" s="56">
        <f t="shared" si="55"/>
        <v>0</v>
      </c>
      <c r="Y374" s="56">
        <f t="shared" si="55"/>
        <v>0</v>
      </c>
      <c r="Z374" s="56">
        <f t="shared" si="55"/>
        <v>0</v>
      </c>
      <c r="AA374" s="56">
        <f t="shared" si="55"/>
        <v>0</v>
      </c>
      <c r="AB374" s="56">
        <f t="shared" si="55"/>
        <v>0</v>
      </c>
      <c r="AC374" s="56">
        <f t="shared" si="55"/>
        <v>0</v>
      </c>
      <c r="AD374" s="56">
        <f t="shared" si="55"/>
        <v>0</v>
      </c>
      <c r="AE374" s="56">
        <f t="shared" si="55"/>
        <v>0</v>
      </c>
      <c r="AF374" s="56">
        <f t="shared" si="55"/>
        <v>0</v>
      </c>
      <c r="AG374" s="56">
        <f t="shared" si="55"/>
        <v>0</v>
      </c>
      <c r="AH374" s="56">
        <f t="shared" si="55"/>
        <v>0</v>
      </c>
      <c r="AI374" s="56">
        <f t="shared" si="55"/>
        <v>0</v>
      </c>
      <c r="AJ374" s="56">
        <f t="shared" si="55"/>
        <v>0</v>
      </c>
      <c r="AK374" s="56">
        <f t="shared" si="55"/>
        <v>0</v>
      </c>
      <c r="AL374" s="56">
        <f t="shared" si="55"/>
        <v>0</v>
      </c>
      <c r="AM374" s="56">
        <f t="shared" si="55"/>
        <v>0</v>
      </c>
      <c r="AN374" s="56">
        <f t="shared" si="55"/>
        <v>0</v>
      </c>
      <c r="AO374" s="56">
        <f t="shared" si="55"/>
        <v>0</v>
      </c>
      <c r="AP374" s="29"/>
    </row>
    <row r="375" spans="1:42" outlineLevel="1" x14ac:dyDescent="0.25">
      <c r="A375" s="54"/>
      <c r="B375" s="13"/>
      <c r="C375" s="14" t="s">
        <v>220</v>
      </c>
      <c r="D375" s="14"/>
      <c r="E375" s="70" t="s">
        <v>352</v>
      </c>
      <c r="F375" s="201">
        <f>Data!E589/1000</f>
        <v>0</v>
      </c>
      <c r="G375" s="56"/>
      <c r="H375" s="56"/>
      <c r="I375" s="56">
        <f t="shared" si="56"/>
        <v>0</v>
      </c>
      <c r="J375" s="56">
        <f t="shared" si="55"/>
        <v>0</v>
      </c>
      <c r="K375" s="56">
        <f t="shared" si="55"/>
        <v>0</v>
      </c>
      <c r="L375" s="56">
        <f t="shared" si="55"/>
        <v>0</v>
      </c>
      <c r="M375" s="56">
        <f t="shared" si="55"/>
        <v>0</v>
      </c>
      <c r="N375" s="56">
        <f t="shared" si="55"/>
        <v>0</v>
      </c>
      <c r="O375" s="56">
        <f t="shared" si="55"/>
        <v>0</v>
      </c>
      <c r="P375" s="56">
        <f t="shared" si="55"/>
        <v>0</v>
      </c>
      <c r="Q375" s="56">
        <f t="shared" si="55"/>
        <v>0</v>
      </c>
      <c r="R375" s="56">
        <f t="shared" si="55"/>
        <v>0</v>
      </c>
      <c r="S375" s="56">
        <f t="shared" si="55"/>
        <v>0</v>
      </c>
      <c r="T375" s="56">
        <f t="shared" si="55"/>
        <v>0</v>
      </c>
      <c r="U375" s="56">
        <f t="shared" si="55"/>
        <v>0</v>
      </c>
      <c r="V375" s="56">
        <f t="shared" si="55"/>
        <v>0</v>
      </c>
      <c r="W375" s="56">
        <f t="shared" si="55"/>
        <v>0</v>
      </c>
      <c r="X375" s="56">
        <f t="shared" si="55"/>
        <v>0</v>
      </c>
      <c r="Y375" s="56">
        <f t="shared" si="55"/>
        <v>0</v>
      </c>
      <c r="Z375" s="56">
        <f t="shared" si="55"/>
        <v>0</v>
      </c>
      <c r="AA375" s="56">
        <f t="shared" si="55"/>
        <v>0</v>
      </c>
      <c r="AB375" s="56">
        <f t="shared" si="55"/>
        <v>0</v>
      </c>
      <c r="AC375" s="56">
        <f t="shared" si="55"/>
        <v>0</v>
      </c>
      <c r="AD375" s="56">
        <f t="shared" si="55"/>
        <v>0</v>
      </c>
      <c r="AE375" s="56">
        <f t="shared" si="55"/>
        <v>0</v>
      </c>
      <c r="AF375" s="56">
        <f t="shared" si="55"/>
        <v>0</v>
      </c>
      <c r="AG375" s="56">
        <f t="shared" si="55"/>
        <v>0</v>
      </c>
      <c r="AH375" s="56">
        <f t="shared" si="55"/>
        <v>0</v>
      </c>
      <c r="AI375" s="56">
        <f t="shared" si="55"/>
        <v>0</v>
      </c>
      <c r="AJ375" s="56">
        <f t="shared" si="55"/>
        <v>0</v>
      </c>
      <c r="AK375" s="56">
        <f t="shared" si="55"/>
        <v>0</v>
      </c>
      <c r="AL375" s="56">
        <f t="shared" si="55"/>
        <v>0</v>
      </c>
      <c r="AM375" s="56">
        <f t="shared" si="55"/>
        <v>0</v>
      </c>
      <c r="AN375" s="56">
        <f t="shared" si="55"/>
        <v>0</v>
      </c>
      <c r="AO375" s="56">
        <f t="shared" si="55"/>
        <v>0</v>
      </c>
      <c r="AP375" s="29"/>
    </row>
    <row r="376" spans="1:42" outlineLevel="1" x14ac:dyDescent="0.25">
      <c r="A376" s="54"/>
      <c r="B376" s="13"/>
      <c r="C376" s="14" t="s">
        <v>212</v>
      </c>
      <c r="D376" s="14"/>
      <c r="E376" s="70" t="s">
        <v>352</v>
      </c>
      <c r="F376" s="201">
        <f>Data!E590/1000</f>
        <v>0</v>
      </c>
      <c r="G376" s="56"/>
      <c r="H376" s="56"/>
      <c r="I376" s="56">
        <f t="shared" si="56"/>
        <v>0</v>
      </c>
      <c r="J376" s="56">
        <f t="shared" si="55"/>
        <v>0</v>
      </c>
      <c r="K376" s="56">
        <f t="shared" si="55"/>
        <v>0</v>
      </c>
      <c r="L376" s="56">
        <f t="shared" si="55"/>
        <v>0</v>
      </c>
      <c r="M376" s="56">
        <f t="shared" si="55"/>
        <v>0</v>
      </c>
      <c r="N376" s="56">
        <f t="shared" si="55"/>
        <v>0</v>
      </c>
      <c r="O376" s="56">
        <f t="shared" si="55"/>
        <v>0</v>
      </c>
      <c r="P376" s="56">
        <f t="shared" si="55"/>
        <v>0</v>
      </c>
      <c r="Q376" s="56">
        <f t="shared" si="55"/>
        <v>0</v>
      </c>
      <c r="R376" s="56">
        <f t="shared" si="55"/>
        <v>0</v>
      </c>
      <c r="S376" s="56">
        <f t="shared" si="55"/>
        <v>0</v>
      </c>
      <c r="T376" s="56">
        <f t="shared" si="55"/>
        <v>0</v>
      </c>
      <c r="U376" s="56">
        <f t="shared" si="55"/>
        <v>0</v>
      </c>
      <c r="V376" s="56">
        <f t="shared" si="55"/>
        <v>0</v>
      </c>
      <c r="W376" s="56">
        <f t="shared" si="55"/>
        <v>0</v>
      </c>
      <c r="X376" s="56">
        <f t="shared" si="55"/>
        <v>0</v>
      </c>
      <c r="Y376" s="56">
        <f t="shared" si="55"/>
        <v>0</v>
      </c>
      <c r="Z376" s="56">
        <f t="shared" si="55"/>
        <v>0</v>
      </c>
      <c r="AA376" s="56">
        <f t="shared" si="55"/>
        <v>0</v>
      </c>
      <c r="AB376" s="56">
        <f t="shared" si="55"/>
        <v>0</v>
      </c>
      <c r="AC376" s="56">
        <f t="shared" si="55"/>
        <v>0</v>
      </c>
      <c r="AD376" s="56">
        <f t="shared" si="55"/>
        <v>0</v>
      </c>
      <c r="AE376" s="56">
        <f t="shared" si="55"/>
        <v>0</v>
      </c>
      <c r="AF376" s="56">
        <f t="shared" si="55"/>
        <v>0</v>
      </c>
      <c r="AG376" s="56">
        <f t="shared" si="55"/>
        <v>0</v>
      </c>
      <c r="AH376" s="56">
        <f t="shared" si="55"/>
        <v>0</v>
      </c>
      <c r="AI376" s="56">
        <f t="shared" si="55"/>
        <v>0</v>
      </c>
      <c r="AJ376" s="56">
        <f t="shared" si="55"/>
        <v>0</v>
      </c>
      <c r="AK376" s="56">
        <f t="shared" si="55"/>
        <v>0</v>
      </c>
      <c r="AL376" s="56">
        <f t="shared" si="55"/>
        <v>0</v>
      </c>
      <c r="AM376" s="56">
        <f t="shared" si="55"/>
        <v>0</v>
      </c>
      <c r="AN376" s="56">
        <f t="shared" si="55"/>
        <v>0</v>
      </c>
      <c r="AO376" s="56">
        <f t="shared" si="55"/>
        <v>0</v>
      </c>
      <c r="AP376" s="29"/>
    </row>
    <row r="377" spans="1:42" outlineLevel="1" x14ac:dyDescent="0.25">
      <c r="A377" s="54"/>
      <c r="B377" s="13"/>
      <c r="C377" s="14" t="s">
        <v>485</v>
      </c>
      <c r="D377" s="14"/>
      <c r="E377" s="70" t="s">
        <v>352</v>
      </c>
      <c r="F377" s="201">
        <f>Data!E591/1000</f>
        <v>0</v>
      </c>
      <c r="G377" s="56"/>
      <c r="H377" s="56"/>
      <c r="I377" s="56">
        <f t="shared" si="56"/>
        <v>0</v>
      </c>
      <c r="J377" s="56">
        <f t="shared" si="55"/>
        <v>0</v>
      </c>
      <c r="K377" s="56">
        <f t="shared" si="55"/>
        <v>0</v>
      </c>
      <c r="L377" s="56">
        <f t="shared" si="55"/>
        <v>0</v>
      </c>
      <c r="M377" s="56">
        <f t="shared" si="55"/>
        <v>0</v>
      </c>
      <c r="N377" s="56">
        <f t="shared" si="55"/>
        <v>0</v>
      </c>
      <c r="O377" s="56">
        <f t="shared" si="55"/>
        <v>0</v>
      </c>
      <c r="P377" s="56">
        <f t="shared" si="55"/>
        <v>0</v>
      </c>
      <c r="Q377" s="56">
        <f t="shared" si="55"/>
        <v>0</v>
      </c>
      <c r="R377" s="56">
        <f t="shared" si="55"/>
        <v>0</v>
      </c>
      <c r="S377" s="56">
        <f t="shared" si="55"/>
        <v>0</v>
      </c>
      <c r="T377" s="56">
        <f t="shared" si="55"/>
        <v>0</v>
      </c>
      <c r="U377" s="56">
        <f t="shared" si="55"/>
        <v>0</v>
      </c>
      <c r="V377" s="56">
        <f t="shared" si="55"/>
        <v>0</v>
      </c>
      <c r="W377" s="56">
        <f t="shared" si="55"/>
        <v>0</v>
      </c>
      <c r="X377" s="56">
        <f t="shared" si="55"/>
        <v>0</v>
      </c>
      <c r="Y377" s="56">
        <f t="shared" si="55"/>
        <v>0</v>
      </c>
      <c r="Z377" s="56">
        <f t="shared" si="55"/>
        <v>0</v>
      </c>
      <c r="AA377" s="56">
        <f t="shared" si="55"/>
        <v>0</v>
      </c>
      <c r="AB377" s="56">
        <f t="shared" si="55"/>
        <v>0</v>
      </c>
      <c r="AC377" s="56">
        <f t="shared" si="55"/>
        <v>0</v>
      </c>
      <c r="AD377" s="56">
        <f t="shared" si="55"/>
        <v>0</v>
      </c>
      <c r="AE377" s="56">
        <f t="shared" si="55"/>
        <v>0</v>
      </c>
      <c r="AF377" s="56">
        <f t="shared" si="55"/>
        <v>0</v>
      </c>
      <c r="AG377" s="56">
        <f t="shared" si="55"/>
        <v>0</v>
      </c>
      <c r="AH377" s="56">
        <f t="shared" si="55"/>
        <v>0</v>
      </c>
      <c r="AI377" s="56">
        <f t="shared" si="55"/>
        <v>0</v>
      </c>
      <c r="AJ377" s="56">
        <f t="shared" si="55"/>
        <v>0</v>
      </c>
      <c r="AK377" s="56">
        <f t="shared" si="55"/>
        <v>0</v>
      </c>
      <c r="AL377" s="56">
        <f t="shared" si="55"/>
        <v>0</v>
      </c>
      <c r="AM377" s="56">
        <f t="shared" si="55"/>
        <v>0</v>
      </c>
      <c r="AN377" s="56">
        <f t="shared" si="55"/>
        <v>0</v>
      </c>
      <c r="AO377" s="56">
        <f t="shared" si="55"/>
        <v>0</v>
      </c>
      <c r="AP377" s="29"/>
    </row>
    <row r="378" spans="1:42" outlineLevel="1" x14ac:dyDescent="0.25">
      <c r="A378" s="54"/>
      <c r="B378" s="13"/>
      <c r="C378" s="14" t="s">
        <v>214</v>
      </c>
      <c r="D378" s="14"/>
      <c r="E378" s="70" t="s">
        <v>352</v>
      </c>
      <c r="F378" s="201">
        <f>Data!E592/1000</f>
        <v>7.7953456755433772E-5</v>
      </c>
      <c r="G378" s="56"/>
      <c r="H378" s="56"/>
      <c r="I378" s="56">
        <f t="shared" si="56"/>
        <v>7.2964435523086006</v>
      </c>
      <c r="J378" s="56">
        <f t="shared" si="55"/>
        <v>7.2964435523086006</v>
      </c>
      <c r="K378" s="56">
        <f t="shared" si="55"/>
        <v>7.2964435523086006</v>
      </c>
      <c r="L378" s="56">
        <f t="shared" si="55"/>
        <v>7.2964435523086006</v>
      </c>
      <c r="M378" s="56">
        <f t="shared" si="55"/>
        <v>7.2964435523086006</v>
      </c>
      <c r="N378" s="56">
        <f t="shared" si="55"/>
        <v>7.2964435523086006</v>
      </c>
      <c r="O378" s="56">
        <f t="shared" si="55"/>
        <v>7.2964435523086006</v>
      </c>
      <c r="P378" s="56">
        <f t="shared" si="55"/>
        <v>7.2964435523086006</v>
      </c>
      <c r="Q378" s="56">
        <f t="shared" si="55"/>
        <v>7.2964435523086006</v>
      </c>
      <c r="R378" s="56">
        <f t="shared" si="55"/>
        <v>7.2964435523086006</v>
      </c>
      <c r="S378" s="56">
        <f t="shared" si="55"/>
        <v>7.2964435523086006</v>
      </c>
      <c r="T378" s="56">
        <f t="shared" si="55"/>
        <v>7.2964435523086006</v>
      </c>
      <c r="U378" s="56">
        <f t="shared" si="55"/>
        <v>0</v>
      </c>
      <c r="V378" s="56">
        <f t="shared" si="55"/>
        <v>0</v>
      </c>
      <c r="W378" s="56">
        <f t="shared" si="55"/>
        <v>0</v>
      </c>
      <c r="X378" s="56">
        <f t="shared" si="55"/>
        <v>0</v>
      </c>
      <c r="Y378" s="56">
        <f t="shared" si="55"/>
        <v>0</v>
      </c>
      <c r="Z378" s="56">
        <f t="shared" si="55"/>
        <v>0</v>
      </c>
      <c r="AA378" s="56">
        <f t="shared" si="55"/>
        <v>0</v>
      </c>
      <c r="AB378" s="56">
        <f t="shared" si="55"/>
        <v>0</v>
      </c>
      <c r="AC378" s="56">
        <f t="shared" si="55"/>
        <v>0</v>
      </c>
      <c r="AD378" s="56">
        <f t="shared" si="55"/>
        <v>0</v>
      </c>
      <c r="AE378" s="56">
        <f t="shared" si="55"/>
        <v>0</v>
      </c>
      <c r="AF378" s="56">
        <f t="shared" si="55"/>
        <v>0</v>
      </c>
      <c r="AG378" s="56">
        <f t="shared" si="55"/>
        <v>0</v>
      </c>
      <c r="AH378" s="56">
        <f t="shared" si="55"/>
        <v>0</v>
      </c>
      <c r="AI378" s="56">
        <f t="shared" si="55"/>
        <v>0</v>
      </c>
      <c r="AJ378" s="56">
        <f t="shared" si="55"/>
        <v>0</v>
      </c>
      <c r="AK378" s="56">
        <f t="shared" si="55"/>
        <v>0</v>
      </c>
      <c r="AL378" s="56">
        <f t="shared" si="55"/>
        <v>0</v>
      </c>
      <c r="AM378" s="56">
        <f t="shared" si="55"/>
        <v>0</v>
      </c>
      <c r="AN378" s="56">
        <f t="shared" si="55"/>
        <v>0</v>
      </c>
      <c r="AO378" s="56">
        <f t="shared" si="55"/>
        <v>0</v>
      </c>
      <c r="AP378" s="29"/>
    </row>
    <row r="379" spans="1:42" outlineLevel="1" x14ac:dyDescent="0.25">
      <c r="A379" s="12"/>
      <c r="B379" s="13"/>
      <c r="C379" s="14"/>
      <c r="D379" s="14"/>
      <c r="E379" s="15"/>
      <c r="F379" s="16"/>
      <c r="G379" s="159"/>
      <c r="H379" s="159"/>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14"/>
    </row>
    <row r="380" spans="1:42" outlineLevel="1" x14ac:dyDescent="0.25">
      <c r="A380" s="54"/>
      <c r="B380" s="13"/>
      <c r="C380" s="14" t="s">
        <v>205</v>
      </c>
      <c r="D380" s="14"/>
      <c r="E380" s="70" t="s">
        <v>474</v>
      </c>
      <c r="F380" s="200">
        <f>Data!$E$35/1000</f>
        <v>3.4099438202247192E-3</v>
      </c>
      <c r="G380" s="56"/>
      <c r="H380" s="56"/>
      <c r="I380" s="56">
        <f>I$372*$F380</f>
        <v>0</v>
      </c>
      <c r="J380" s="56">
        <f t="shared" ref="J380:AO380" si="57">J$372*$F380</f>
        <v>0</v>
      </c>
      <c r="K380" s="56">
        <f t="shared" si="57"/>
        <v>0</v>
      </c>
      <c r="L380" s="56">
        <f t="shared" si="57"/>
        <v>0</v>
      </c>
      <c r="M380" s="56">
        <f t="shared" si="57"/>
        <v>0</v>
      </c>
      <c r="N380" s="56">
        <f t="shared" si="57"/>
        <v>0</v>
      </c>
      <c r="O380" s="56">
        <f t="shared" si="57"/>
        <v>0</v>
      </c>
      <c r="P380" s="56">
        <f t="shared" si="57"/>
        <v>0</v>
      </c>
      <c r="Q380" s="56">
        <f t="shared" si="57"/>
        <v>0</v>
      </c>
      <c r="R380" s="56">
        <f t="shared" si="57"/>
        <v>0</v>
      </c>
      <c r="S380" s="56">
        <f t="shared" si="57"/>
        <v>0</v>
      </c>
      <c r="T380" s="56">
        <f t="shared" si="57"/>
        <v>0</v>
      </c>
      <c r="U380" s="56">
        <f t="shared" si="57"/>
        <v>0</v>
      </c>
      <c r="V380" s="56">
        <f t="shared" si="57"/>
        <v>0</v>
      </c>
      <c r="W380" s="56">
        <f t="shared" si="57"/>
        <v>0</v>
      </c>
      <c r="X380" s="56">
        <f t="shared" si="57"/>
        <v>0</v>
      </c>
      <c r="Y380" s="56">
        <f t="shared" si="57"/>
        <v>0</v>
      </c>
      <c r="Z380" s="56">
        <f t="shared" si="57"/>
        <v>0</v>
      </c>
      <c r="AA380" s="56">
        <f t="shared" si="57"/>
        <v>0</v>
      </c>
      <c r="AB380" s="56">
        <f t="shared" si="57"/>
        <v>0</v>
      </c>
      <c r="AC380" s="56">
        <f t="shared" si="57"/>
        <v>0</v>
      </c>
      <c r="AD380" s="56">
        <f t="shared" si="57"/>
        <v>0</v>
      </c>
      <c r="AE380" s="56">
        <f t="shared" si="57"/>
        <v>0</v>
      </c>
      <c r="AF380" s="56">
        <f t="shared" si="57"/>
        <v>0</v>
      </c>
      <c r="AG380" s="56">
        <f t="shared" si="57"/>
        <v>0</v>
      </c>
      <c r="AH380" s="56">
        <f t="shared" si="57"/>
        <v>0</v>
      </c>
      <c r="AI380" s="56">
        <f t="shared" si="57"/>
        <v>0</v>
      </c>
      <c r="AJ380" s="56">
        <f t="shared" si="57"/>
        <v>0</v>
      </c>
      <c r="AK380" s="56">
        <f t="shared" si="57"/>
        <v>0</v>
      </c>
      <c r="AL380" s="56">
        <f t="shared" si="57"/>
        <v>0</v>
      </c>
      <c r="AM380" s="56">
        <f t="shared" si="57"/>
        <v>0</v>
      </c>
      <c r="AN380" s="56">
        <f t="shared" si="57"/>
        <v>0</v>
      </c>
      <c r="AO380" s="56">
        <f t="shared" si="57"/>
        <v>0</v>
      </c>
      <c r="AP380" s="29"/>
    </row>
    <row r="381" spans="1:42" outlineLevel="1" x14ac:dyDescent="0.25">
      <c r="A381" s="54"/>
      <c r="B381" s="13"/>
      <c r="C381" s="14" t="s">
        <v>484</v>
      </c>
      <c r="D381" s="14"/>
      <c r="E381" s="70" t="s">
        <v>474</v>
      </c>
      <c r="F381" s="200"/>
      <c r="G381" s="56"/>
      <c r="H381" s="56"/>
      <c r="I381" s="56">
        <f>I$373*Data!H$16/1000</f>
        <v>1321.8318147663438</v>
      </c>
      <c r="J381" s="56">
        <f>J$373*Data!I$16/1000</f>
        <v>1458.1031358762762</v>
      </c>
      <c r="K381" s="56">
        <f>K$373*Data!J$16/1000</f>
        <v>1580.7473248752151</v>
      </c>
      <c r="L381" s="56">
        <f>L$373*Data!K$16/1000</f>
        <v>1717.0186459851475</v>
      </c>
      <c r="M381" s="56">
        <f>M$373*Data!L$16/1000</f>
        <v>1853.2899670950799</v>
      </c>
      <c r="N381" s="56">
        <f>N$373*Data!M$16/1000</f>
        <v>1989.5612882050123</v>
      </c>
      <c r="O381" s="56">
        <f>O$373*Data!N$16/1000</f>
        <v>2112.2054772039514</v>
      </c>
      <c r="P381" s="56">
        <f>P$373*Data!O$16/1000</f>
        <v>2193.9682698699107</v>
      </c>
      <c r="Q381" s="56">
        <f>Q$373*Data!P$16/1000</f>
        <v>2275.73106253587</v>
      </c>
      <c r="R381" s="56">
        <f>R$373*Data!Q$16/1000</f>
        <v>2371.1209873128228</v>
      </c>
      <c r="S381" s="56">
        <f>S$373*Data!R$16/1000</f>
        <v>2452.8837799787821</v>
      </c>
      <c r="T381" s="56">
        <f>T$373*Data!S$16/1000</f>
        <v>2534.6465726447418</v>
      </c>
      <c r="U381" s="56">
        <f>U$373*Data!T$16/1000</f>
        <v>0</v>
      </c>
      <c r="V381" s="56">
        <f>V$373*Data!U$16/1000</f>
        <v>0</v>
      </c>
      <c r="W381" s="56">
        <f>W$373*Data!V$16/1000</f>
        <v>0</v>
      </c>
      <c r="X381" s="56">
        <f>X$373*Data!W$16/1000</f>
        <v>0</v>
      </c>
      <c r="Y381" s="56">
        <f>Y$373*Data!X$16/1000</f>
        <v>0</v>
      </c>
      <c r="Z381" s="56">
        <f>Z$373*Data!Y$16/1000</f>
        <v>0</v>
      </c>
      <c r="AA381" s="56">
        <f>AA$373*Data!Z$16/1000</f>
        <v>0</v>
      </c>
      <c r="AB381" s="56">
        <f>AB$373*Data!AA$16/1000</f>
        <v>0</v>
      </c>
      <c r="AC381" s="56">
        <f>AC$373*Data!AB$16/1000</f>
        <v>0</v>
      </c>
      <c r="AD381" s="56">
        <f>AD$373*Data!AC$16/1000</f>
        <v>0</v>
      </c>
      <c r="AE381" s="56">
        <f>AE$373*Data!AD$16/1000</f>
        <v>0</v>
      </c>
      <c r="AF381" s="56">
        <f>AF$373*Data!AE$16/1000</f>
        <v>0</v>
      </c>
      <c r="AG381" s="56">
        <f>AG$373*Data!AF$16/1000</f>
        <v>0</v>
      </c>
      <c r="AH381" s="56">
        <f>AH$373*Data!AG$16/1000</f>
        <v>0</v>
      </c>
      <c r="AI381" s="56">
        <f>AI$373*Data!AH$16/1000</f>
        <v>0</v>
      </c>
      <c r="AJ381" s="56">
        <f>AJ$373*Data!AI$16/1000</f>
        <v>0</v>
      </c>
      <c r="AK381" s="56">
        <f>AK$373*Data!AJ$16/1000</f>
        <v>0</v>
      </c>
      <c r="AL381" s="56">
        <f>AL$373*Data!AK$16/1000</f>
        <v>0</v>
      </c>
      <c r="AM381" s="56">
        <f>AM$373*Data!AL$16/1000</f>
        <v>0</v>
      </c>
      <c r="AN381" s="56">
        <f>AN$373*Data!AM$16/1000</f>
        <v>0</v>
      </c>
      <c r="AO381" s="56">
        <f>AO$373*Data!AN$16/1000</f>
        <v>0</v>
      </c>
      <c r="AP381" s="29"/>
    </row>
    <row r="382" spans="1:42" outlineLevel="1" x14ac:dyDescent="0.25">
      <c r="A382" s="54"/>
      <c r="B382" s="13"/>
      <c r="C382" s="14" t="s">
        <v>285</v>
      </c>
      <c r="D382" s="14"/>
      <c r="E382" s="70" t="s">
        <v>474</v>
      </c>
      <c r="F382" s="200">
        <f>Data!$E$36/1000</f>
        <v>1.0822865168539326</v>
      </c>
      <c r="G382" s="56"/>
      <c r="H382" s="56"/>
      <c r="I382" s="56">
        <f>I$374*$F382</f>
        <v>0</v>
      </c>
      <c r="J382" s="56">
        <f t="shared" ref="J382:AO382" si="58">J$374*$F382</f>
        <v>0</v>
      </c>
      <c r="K382" s="56">
        <f t="shared" si="58"/>
        <v>0</v>
      </c>
      <c r="L382" s="56">
        <f t="shared" si="58"/>
        <v>0</v>
      </c>
      <c r="M382" s="56">
        <f t="shared" si="58"/>
        <v>0</v>
      </c>
      <c r="N382" s="56">
        <f t="shared" si="58"/>
        <v>0</v>
      </c>
      <c r="O382" s="56">
        <f t="shared" si="58"/>
        <v>0</v>
      </c>
      <c r="P382" s="56">
        <f t="shared" si="58"/>
        <v>0</v>
      </c>
      <c r="Q382" s="56">
        <f t="shared" si="58"/>
        <v>0</v>
      </c>
      <c r="R382" s="56">
        <f t="shared" si="58"/>
        <v>0</v>
      </c>
      <c r="S382" s="56">
        <f t="shared" si="58"/>
        <v>0</v>
      </c>
      <c r="T382" s="56">
        <f t="shared" si="58"/>
        <v>0</v>
      </c>
      <c r="U382" s="56">
        <f t="shared" si="58"/>
        <v>0</v>
      </c>
      <c r="V382" s="56">
        <f t="shared" si="58"/>
        <v>0</v>
      </c>
      <c r="W382" s="56">
        <f t="shared" si="58"/>
        <v>0</v>
      </c>
      <c r="X382" s="56">
        <f t="shared" si="58"/>
        <v>0</v>
      </c>
      <c r="Y382" s="56">
        <f t="shared" si="58"/>
        <v>0</v>
      </c>
      <c r="Z382" s="56">
        <f t="shared" si="58"/>
        <v>0</v>
      </c>
      <c r="AA382" s="56">
        <f t="shared" si="58"/>
        <v>0</v>
      </c>
      <c r="AB382" s="56">
        <f t="shared" si="58"/>
        <v>0</v>
      </c>
      <c r="AC382" s="56">
        <f t="shared" si="58"/>
        <v>0</v>
      </c>
      <c r="AD382" s="56">
        <f t="shared" si="58"/>
        <v>0</v>
      </c>
      <c r="AE382" s="56">
        <f t="shared" si="58"/>
        <v>0</v>
      </c>
      <c r="AF382" s="56">
        <f t="shared" si="58"/>
        <v>0</v>
      </c>
      <c r="AG382" s="56">
        <f t="shared" si="58"/>
        <v>0</v>
      </c>
      <c r="AH382" s="56">
        <f t="shared" si="58"/>
        <v>0</v>
      </c>
      <c r="AI382" s="56">
        <f t="shared" si="58"/>
        <v>0</v>
      </c>
      <c r="AJ382" s="56">
        <f t="shared" si="58"/>
        <v>0</v>
      </c>
      <c r="AK382" s="56">
        <f t="shared" si="58"/>
        <v>0</v>
      </c>
      <c r="AL382" s="56">
        <f t="shared" si="58"/>
        <v>0</v>
      </c>
      <c r="AM382" s="56">
        <f t="shared" si="58"/>
        <v>0</v>
      </c>
      <c r="AN382" s="56">
        <f t="shared" si="58"/>
        <v>0</v>
      </c>
      <c r="AO382" s="56">
        <f t="shared" si="58"/>
        <v>0</v>
      </c>
      <c r="AP382" s="29"/>
    </row>
    <row r="383" spans="1:42" outlineLevel="1" x14ac:dyDescent="0.25">
      <c r="A383" s="54"/>
      <c r="B383" s="13"/>
      <c r="C383" s="14" t="s">
        <v>220</v>
      </c>
      <c r="D383" s="14"/>
      <c r="E383" s="70" t="s">
        <v>474</v>
      </c>
      <c r="F383" s="200">
        <f>Data!$E$37/1000</f>
        <v>371.00188764044947</v>
      </c>
      <c r="G383" s="56"/>
      <c r="H383" s="56"/>
      <c r="I383" s="56">
        <f>I$375*$F383</f>
        <v>0</v>
      </c>
      <c r="J383" s="56">
        <f t="shared" ref="J383:AO383" si="59">J$375*$F383</f>
        <v>0</v>
      </c>
      <c r="K383" s="56">
        <f t="shared" si="59"/>
        <v>0</v>
      </c>
      <c r="L383" s="56">
        <f t="shared" si="59"/>
        <v>0</v>
      </c>
      <c r="M383" s="56">
        <f t="shared" si="59"/>
        <v>0</v>
      </c>
      <c r="N383" s="56">
        <f t="shared" si="59"/>
        <v>0</v>
      </c>
      <c r="O383" s="56">
        <f t="shared" si="59"/>
        <v>0</v>
      </c>
      <c r="P383" s="56">
        <f t="shared" si="59"/>
        <v>0</v>
      </c>
      <c r="Q383" s="56">
        <f t="shared" si="59"/>
        <v>0</v>
      </c>
      <c r="R383" s="56">
        <f t="shared" si="59"/>
        <v>0</v>
      </c>
      <c r="S383" s="56">
        <f t="shared" si="59"/>
        <v>0</v>
      </c>
      <c r="T383" s="56">
        <f t="shared" si="59"/>
        <v>0</v>
      </c>
      <c r="U383" s="56">
        <f t="shared" si="59"/>
        <v>0</v>
      </c>
      <c r="V383" s="56">
        <f t="shared" si="59"/>
        <v>0</v>
      </c>
      <c r="W383" s="56">
        <f t="shared" si="59"/>
        <v>0</v>
      </c>
      <c r="X383" s="56">
        <f t="shared" si="59"/>
        <v>0</v>
      </c>
      <c r="Y383" s="56">
        <f t="shared" si="59"/>
        <v>0</v>
      </c>
      <c r="Z383" s="56">
        <f t="shared" si="59"/>
        <v>0</v>
      </c>
      <c r="AA383" s="56">
        <f t="shared" si="59"/>
        <v>0</v>
      </c>
      <c r="AB383" s="56">
        <f t="shared" si="59"/>
        <v>0</v>
      </c>
      <c r="AC383" s="56">
        <f t="shared" si="59"/>
        <v>0</v>
      </c>
      <c r="AD383" s="56">
        <f t="shared" si="59"/>
        <v>0</v>
      </c>
      <c r="AE383" s="56">
        <f t="shared" si="59"/>
        <v>0</v>
      </c>
      <c r="AF383" s="56">
        <f t="shared" si="59"/>
        <v>0</v>
      </c>
      <c r="AG383" s="56">
        <f t="shared" si="59"/>
        <v>0</v>
      </c>
      <c r="AH383" s="56">
        <f t="shared" si="59"/>
        <v>0</v>
      </c>
      <c r="AI383" s="56">
        <f t="shared" si="59"/>
        <v>0</v>
      </c>
      <c r="AJ383" s="56">
        <f t="shared" si="59"/>
        <v>0</v>
      </c>
      <c r="AK383" s="56">
        <f t="shared" si="59"/>
        <v>0</v>
      </c>
      <c r="AL383" s="56">
        <f t="shared" si="59"/>
        <v>0</v>
      </c>
      <c r="AM383" s="56">
        <f t="shared" si="59"/>
        <v>0</v>
      </c>
      <c r="AN383" s="56">
        <f t="shared" si="59"/>
        <v>0</v>
      </c>
      <c r="AO383" s="56">
        <f t="shared" si="59"/>
        <v>0</v>
      </c>
      <c r="AP383" s="29"/>
    </row>
    <row r="384" spans="1:42" outlineLevel="1" x14ac:dyDescent="0.25">
      <c r="A384" s="54"/>
      <c r="B384" s="13"/>
      <c r="C384" s="14" t="s">
        <v>212</v>
      </c>
      <c r="D384" s="14"/>
      <c r="E384" s="70" t="s">
        <v>474</v>
      </c>
      <c r="F384" s="200">
        <f>Data!$E$39/1000</f>
        <v>0</v>
      </c>
      <c r="G384" s="56"/>
      <c r="H384" s="56"/>
      <c r="I384" s="56">
        <f>I$376*$F384</f>
        <v>0</v>
      </c>
      <c r="J384" s="56">
        <f t="shared" ref="J384:AO384" si="60">J$376*$F384</f>
        <v>0</v>
      </c>
      <c r="K384" s="56">
        <f t="shared" si="60"/>
        <v>0</v>
      </c>
      <c r="L384" s="56">
        <f t="shared" si="60"/>
        <v>0</v>
      </c>
      <c r="M384" s="56">
        <f t="shared" si="60"/>
        <v>0</v>
      </c>
      <c r="N384" s="56">
        <f t="shared" si="60"/>
        <v>0</v>
      </c>
      <c r="O384" s="56">
        <f t="shared" si="60"/>
        <v>0</v>
      </c>
      <c r="P384" s="56">
        <f t="shared" si="60"/>
        <v>0</v>
      </c>
      <c r="Q384" s="56">
        <f t="shared" si="60"/>
        <v>0</v>
      </c>
      <c r="R384" s="56">
        <f t="shared" si="60"/>
        <v>0</v>
      </c>
      <c r="S384" s="56">
        <f t="shared" si="60"/>
        <v>0</v>
      </c>
      <c r="T384" s="56">
        <f t="shared" si="60"/>
        <v>0</v>
      </c>
      <c r="U384" s="56">
        <f t="shared" si="60"/>
        <v>0</v>
      </c>
      <c r="V384" s="56">
        <f t="shared" si="60"/>
        <v>0</v>
      </c>
      <c r="W384" s="56">
        <f t="shared" si="60"/>
        <v>0</v>
      </c>
      <c r="X384" s="56">
        <f t="shared" si="60"/>
        <v>0</v>
      </c>
      <c r="Y384" s="56">
        <f t="shared" si="60"/>
        <v>0</v>
      </c>
      <c r="Z384" s="56">
        <f t="shared" si="60"/>
        <v>0</v>
      </c>
      <c r="AA384" s="56">
        <f t="shared" si="60"/>
        <v>0</v>
      </c>
      <c r="AB384" s="56">
        <f t="shared" si="60"/>
        <v>0</v>
      </c>
      <c r="AC384" s="56">
        <f t="shared" si="60"/>
        <v>0</v>
      </c>
      <c r="AD384" s="56">
        <f t="shared" si="60"/>
        <v>0</v>
      </c>
      <c r="AE384" s="56">
        <f t="shared" si="60"/>
        <v>0</v>
      </c>
      <c r="AF384" s="56">
        <f t="shared" si="60"/>
        <v>0</v>
      </c>
      <c r="AG384" s="56">
        <f t="shared" si="60"/>
        <v>0</v>
      </c>
      <c r="AH384" s="56">
        <f t="shared" si="60"/>
        <v>0</v>
      </c>
      <c r="AI384" s="56">
        <f t="shared" si="60"/>
        <v>0</v>
      </c>
      <c r="AJ384" s="56">
        <f t="shared" si="60"/>
        <v>0</v>
      </c>
      <c r="AK384" s="56">
        <f t="shared" si="60"/>
        <v>0</v>
      </c>
      <c r="AL384" s="56">
        <f t="shared" si="60"/>
        <v>0</v>
      </c>
      <c r="AM384" s="56">
        <f t="shared" si="60"/>
        <v>0</v>
      </c>
      <c r="AN384" s="56">
        <f t="shared" si="60"/>
        <v>0</v>
      </c>
      <c r="AO384" s="56">
        <f t="shared" si="60"/>
        <v>0</v>
      </c>
      <c r="AP384" s="29"/>
    </row>
    <row r="385" spans="1:42" outlineLevel="1" x14ac:dyDescent="0.25">
      <c r="A385" s="54"/>
      <c r="B385" s="13"/>
      <c r="C385" s="14" t="s">
        <v>485</v>
      </c>
      <c r="D385" s="14"/>
      <c r="E385" s="70" t="s">
        <v>474</v>
      </c>
      <c r="F385" s="200">
        <f>Data!$E$40/1000</f>
        <v>605.20914606741576</v>
      </c>
      <c r="G385" s="56"/>
      <c r="H385" s="56"/>
      <c r="I385" s="56">
        <f>I$377*$F385</f>
        <v>0</v>
      </c>
      <c r="J385" s="56">
        <f t="shared" ref="J385:AO385" si="61">J$377*$F385</f>
        <v>0</v>
      </c>
      <c r="K385" s="56">
        <f t="shared" si="61"/>
        <v>0</v>
      </c>
      <c r="L385" s="56">
        <f t="shared" si="61"/>
        <v>0</v>
      </c>
      <c r="M385" s="56">
        <f t="shared" si="61"/>
        <v>0</v>
      </c>
      <c r="N385" s="56">
        <f t="shared" si="61"/>
        <v>0</v>
      </c>
      <c r="O385" s="56">
        <f t="shared" si="61"/>
        <v>0</v>
      </c>
      <c r="P385" s="56">
        <f t="shared" si="61"/>
        <v>0</v>
      </c>
      <c r="Q385" s="56">
        <f t="shared" si="61"/>
        <v>0</v>
      </c>
      <c r="R385" s="56">
        <f t="shared" si="61"/>
        <v>0</v>
      </c>
      <c r="S385" s="56">
        <f t="shared" si="61"/>
        <v>0</v>
      </c>
      <c r="T385" s="56">
        <f t="shared" si="61"/>
        <v>0</v>
      </c>
      <c r="U385" s="56">
        <f t="shared" si="61"/>
        <v>0</v>
      </c>
      <c r="V385" s="56">
        <f t="shared" si="61"/>
        <v>0</v>
      </c>
      <c r="W385" s="56">
        <f t="shared" si="61"/>
        <v>0</v>
      </c>
      <c r="X385" s="56">
        <f t="shared" si="61"/>
        <v>0</v>
      </c>
      <c r="Y385" s="56">
        <f t="shared" si="61"/>
        <v>0</v>
      </c>
      <c r="Z385" s="56">
        <f t="shared" si="61"/>
        <v>0</v>
      </c>
      <c r="AA385" s="56">
        <f t="shared" si="61"/>
        <v>0</v>
      </c>
      <c r="AB385" s="56">
        <f t="shared" si="61"/>
        <v>0</v>
      </c>
      <c r="AC385" s="56">
        <f t="shared" si="61"/>
        <v>0</v>
      </c>
      <c r="AD385" s="56">
        <f t="shared" si="61"/>
        <v>0</v>
      </c>
      <c r="AE385" s="56">
        <f t="shared" si="61"/>
        <v>0</v>
      </c>
      <c r="AF385" s="56">
        <f t="shared" si="61"/>
        <v>0</v>
      </c>
      <c r="AG385" s="56">
        <f t="shared" si="61"/>
        <v>0</v>
      </c>
      <c r="AH385" s="56">
        <f t="shared" si="61"/>
        <v>0</v>
      </c>
      <c r="AI385" s="56">
        <f t="shared" si="61"/>
        <v>0</v>
      </c>
      <c r="AJ385" s="56">
        <f t="shared" si="61"/>
        <v>0</v>
      </c>
      <c r="AK385" s="56">
        <f t="shared" si="61"/>
        <v>0</v>
      </c>
      <c r="AL385" s="56">
        <f t="shared" si="61"/>
        <v>0</v>
      </c>
      <c r="AM385" s="56">
        <f t="shared" si="61"/>
        <v>0</v>
      </c>
      <c r="AN385" s="56">
        <f t="shared" si="61"/>
        <v>0</v>
      </c>
      <c r="AO385" s="56">
        <f t="shared" si="61"/>
        <v>0</v>
      </c>
      <c r="AP385" s="29"/>
    </row>
    <row r="386" spans="1:42" outlineLevel="1" x14ac:dyDescent="0.25">
      <c r="A386" s="54"/>
      <c r="B386" s="13"/>
      <c r="C386" s="14" t="s">
        <v>214</v>
      </c>
      <c r="D386" s="14"/>
      <c r="E386" s="70" t="s">
        <v>474</v>
      </c>
      <c r="F386" s="200">
        <f>Data!$E$41/1000</f>
        <v>0</v>
      </c>
      <c r="G386" s="56"/>
      <c r="H386" s="56"/>
      <c r="I386" s="56">
        <f>I$378*$F386</f>
        <v>0</v>
      </c>
      <c r="J386" s="56">
        <f t="shared" ref="J386:AO386" si="62">J$378*$F386</f>
        <v>0</v>
      </c>
      <c r="K386" s="56">
        <f t="shared" si="62"/>
        <v>0</v>
      </c>
      <c r="L386" s="56">
        <f t="shared" si="62"/>
        <v>0</v>
      </c>
      <c r="M386" s="56">
        <f t="shared" si="62"/>
        <v>0</v>
      </c>
      <c r="N386" s="56">
        <f t="shared" si="62"/>
        <v>0</v>
      </c>
      <c r="O386" s="56">
        <f t="shared" si="62"/>
        <v>0</v>
      </c>
      <c r="P386" s="56">
        <f t="shared" si="62"/>
        <v>0</v>
      </c>
      <c r="Q386" s="56">
        <f t="shared" si="62"/>
        <v>0</v>
      </c>
      <c r="R386" s="56">
        <f t="shared" si="62"/>
        <v>0</v>
      </c>
      <c r="S386" s="56">
        <f t="shared" si="62"/>
        <v>0</v>
      </c>
      <c r="T386" s="56">
        <f t="shared" si="62"/>
        <v>0</v>
      </c>
      <c r="U386" s="56">
        <f t="shared" si="62"/>
        <v>0</v>
      </c>
      <c r="V386" s="56">
        <f t="shared" si="62"/>
        <v>0</v>
      </c>
      <c r="W386" s="56">
        <f t="shared" si="62"/>
        <v>0</v>
      </c>
      <c r="X386" s="56">
        <f t="shared" si="62"/>
        <v>0</v>
      </c>
      <c r="Y386" s="56">
        <f t="shared" si="62"/>
        <v>0</v>
      </c>
      <c r="Z386" s="56">
        <f t="shared" si="62"/>
        <v>0</v>
      </c>
      <c r="AA386" s="56">
        <f t="shared" si="62"/>
        <v>0</v>
      </c>
      <c r="AB386" s="56">
        <f t="shared" si="62"/>
        <v>0</v>
      </c>
      <c r="AC386" s="56">
        <f t="shared" si="62"/>
        <v>0</v>
      </c>
      <c r="AD386" s="56">
        <f t="shared" si="62"/>
        <v>0</v>
      </c>
      <c r="AE386" s="56">
        <f t="shared" si="62"/>
        <v>0</v>
      </c>
      <c r="AF386" s="56">
        <f t="shared" si="62"/>
        <v>0</v>
      </c>
      <c r="AG386" s="56">
        <f t="shared" si="62"/>
        <v>0</v>
      </c>
      <c r="AH386" s="56">
        <f t="shared" si="62"/>
        <v>0</v>
      </c>
      <c r="AI386" s="56">
        <f t="shared" si="62"/>
        <v>0</v>
      </c>
      <c r="AJ386" s="56">
        <f t="shared" si="62"/>
        <v>0</v>
      </c>
      <c r="AK386" s="56">
        <f t="shared" si="62"/>
        <v>0</v>
      </c>
      <c r="AL386" s="56">
        <f t="shared" si="62"/>
        <v>0</v>
      </c>
      <c r="AM386" s="56">
        <f t="shared" si="62"/>
        <v>0</v>
      </c>
      <c r="AN386" s="56">
        <f t="shared" si="62"/>
        <v>0</v>
      </c>
      <c r="AO386" s="56">
        <f t="shared" si="62"/>
        <v>0</v>
      </c>
      <c r="AP386" s="29"/>
    </row>
    <row r="387" spans="1:42" outlineLevel="1" x14ac:dyDescent="0.25">
      <c r="A387" s="12"/>
      <c r="B387" s="13"/>
      <c r="C387" s="20" t="s">
        <v>486</v>
      </c>
      <c r="D387" s="14"/>
      <c r="E387" s="70" t="s">
        <v>474</v>
      </c>
      <c r="F387" s="16"/>
      <c r="G387" s="159"/>
      <c r="H387" s="185"/>
      <c r="I387" s="185">
        <f>SUM(I380:I386)</f>
        <v>1321.8318147663438</v>
      </c>
      <c r="J387" s="185">
        <f t="shared" ref="J387:AO387" si="63">SUM(J380:J386)</f>
        <v>1458.1031358762762</v>
      </c>
      <c r="K387" s="185">
        <f t="shared" si="63"/>
        <v>1580.7473248752151</v>
      </c>
      <c r="L387" s="185">
        <f t="shared" si="63"/>
        <v>1717.0186459851475</v>
      </c>
      <c r="M387" s="185">
        <f t="shared" si="63"/>
        <v>1853.2899670950799</v>
      </c>
      <c r="N387" s="185">
        <f t="shared" si="63"/>
        <v>1989.5612882050123</v>
      </c>
      <c r="O387" s="185">
        <f t="shared" si="63"/>
        <v>2112.2054772039514</v>
      </c>
      <c r="P387" s="185">
        <f t="shared" si="63"/>
        <v>2193.9682698699107</v>
      </c>
      <c r="Q387" s="185">
        <f t="shared" si="63"/>
        <v>2275.73106253587</v>
      </c>
      <c r="R387" s="185">
        <f t="shared" si="63"/>
        <v>2371.1209873128228</v>
      </c>
      <c r="S387" s="185">
        <f t="shared" si="63"/>
        <v>2452.8837799787821</v>
      </c>
      <c r="T387" s="185">
        <f t="shared" si="63"/>
        <v>2534.6465726447418</v>
      </c>
      <c r="U387" s="185">
        <f t="shared" si="63"/>
        <v>0</v>
      </c>
      <c r="V387" s="185">
        <f t="shared" si="63"/>
        <v>0</v>
      </c>
      <c r="W387" s="185">
        <f t="shared" si="63"/>
        <v>0</v>
      </c>
      <c r="X387" s="185">
        <f t="shared" si="63"/>
        <v>0</v>
      </c>
      <c r="Y387" s="185">
        <f t="shared" si="63"/>
        <v>0</v>
      </c>
      <c r="Z387" s="185">
        <f t="shared" si="63"/>
        <v>0</v>
      </c>
      <c r="AA387" s="185">
        <f t="shared" si="63"/>
        <v>0</v>
      </c>
      <c r="AB387" s="185">
        <f t="shared" si="63"/>
        <v>0</v>
      </c>
      <c r="AC387" s="185">
        <f t="shared" si="63"/>
        <v>0</v>
      </c>
      <c r="AD387" s="185">
        <f t="shared" si="63"/>
        <v>0</v>
      </c>
      <c r="AE387" s="185">
        <f t="shared" si="63"/>
        <v>0</v>
      </c>
      <c r="AF387" s="185">
        <f t="shared" si="63"/>
        <v>0</v>
      </c>
      <c r="AG387" s="185">
        <f t="shared" si="63"/>
        <v>0</v>
      </c>
      <c r="AH387" s="185">
        <f t="shared" si="63"/>
        <v>0</v>
      </c>
      <c r="AI387" s="185">
        <f t="shared" si="63"/>
        <v>0</v>
      </c>
      <c r="AJ387" s="185">
        <f t="shared" si="63"/>
        <v>0</v>
      </c>
      <c r="AK387" s="185">
        <f t="shared" si="63"/>
        <v>0</v>
      </c>
      <c r="AL387" s="185">
        <f t="shared" si="63"/>
        <v>0</v>
      </c>
      <c r="AM387" s="185">
        <f t="shared" si="63"/>
        <v>0</v>
      </c>
      <c r="AN387" s="185">
        <f t="shared" si="63"/>
        <v>0</v>
      </c>
      <c r="AO387" s="185">
        <f t="shared" si="63"/>
        <v>0</v>
      </c>
      <c r="AP387" s="14"/>
    </row>
    <row r="388" spans="1:42" outlineLevel="1" x14ac:dyDescent="0.25">
      <c r="A388" s="12"/>
      <c r="B388" s="13"/>
      <c r="C388" s="14"/>
      <c r="D388" s="14"/>
      <c r="E388" s="15"/>
      <c r="F388" s="16"/>
      <c r="G388" s="159"/>
      <c r="H388" s="159"/>
      <c r="I388" s="159"/>
      <c r="J388" s="159"/>
      <c r="K388" s="159"/>
      <c r="L388" s="159"/>
      <c r="M388" s="159"/>
      <c r="N388" s="159"/>
      <c r="O388" s="159"/>
      <c r="P388" s="159"/>
      <c r="Q388" s="159"/>
      <c r="R388" s="159"/>
      <c r="S388" s="159"/>
      <c r="T388" s="159"/>
      <c r="U388" s="159"/>
      <c r="V388" s="159"/>
      <c r="W388" s="159"/>
      <c r="X388" s="14"/>
      <c r="Y388" s="14"/>
      <c r="Z388" s="14"/>
      <c r="AA388" s="14"/>
      <c r="AB388" s="14"/>
      <c r="AC388" s="14"/>
      <c r="AD388" s="14"/>
      <c r="AE388" s="14"/>
      <c r="AF388" s="14"/>
      <c r="AG388" s="14"/>
      <c r="AH388" s="14"/>
      <c r="AI388" s="14"/>
      <c r="AJ388" s="14"/>
      <c r="AK388" s="14"/>
      <c r="AL388" s="14"/>
      <c r="AM388" s="14"/>
      <c r="AN388" s="14"/>
      <c r="AO388" s="14"/>
      <c r="AP388" s="14"/>
    </row>
    <row r="389" spans="1:42" outlineLevel="1" x14ac:dyDescent="0.25">
      <c r="A389" s="12"/>
      <c r="B389" s="13"/>
      <c r="C389" s="14" t="s">
        <v>523</v>
      </c>
      <c r="D389" s="14"/>
      <c r="E389" s="15" t="s">
        <v>474</v>
      </c>
      <c r="F389" s="48"/>
      <c r="G389" s="185"/>
      <c r="H389" s="185"/>
      <c r="I389" s="185">
        <f>I387*Data!H$9</f>
        <v>1270.9921295830227</v>
      </c>
      <c r="J389" s="185">
        <f>J387*Data!I$9</f>
        <v>1348.0983134950777</v>
      </c>
      <c r="K389" s="185">
        <f>K387*Data!J$9</f>
        <v>1405.2786157928558</v>
      </c>
      <c r="L389" s="185">
        <f>L387*Data!K$9</f>
        <v>1467.7147346642889</v>
      </c>
      <c r="M389" s="185">
        <f>M387*Data!L$9</f>
        <v>1523.2692606405928</v>
      </c>
      <c r="N389" s="185">
        <f>N387*Data!M$9</f>
        <v>1572.379185898802</v>
      </c>
      <c r="O389" s="185">
        <f>O387*Data!N$9</f>
        <v>1605.1025672702474</v>
      </c>
      <c r="P389" s="185">
        <f>P387*Data!O$9</f>
        <v>1603.1111248790928</v>
      </c>
      <c r="Q389" s="185">
        <f>Q387*Data!P$9</f>
        <v>1598.8984582824203</v>
      </c>
      <c r="R389" s="185">
        <f>R387*Data!Q$9</f>
        <v>1601.8443789793939</v>
      </c>
      <c r="S389" s="185">
        <f>S387*Data!R$9</f>
        <v>1593.3465308150471</v>
      </c>
      <c r="T389" s="185">
        <f>T387*Data!S$9</f>
        <v>1583.1327710021299</v>
      </c>
      <c r="U389" s="185">
        <f>U387*Data!T$9</f>
        <v>0</v>
      </c>
      <c r="V389" s="185">
        <f>V387*Data!U$9</f>
        <v>0</v>
      </c>
      <c r="W389" s="185">
        <f>W387*Data!V$9</f>
        <v>0</v>
      </c>
      <c r="X389" s="185">
        <f>X387*Data!W$9</f>
        <v>0</v>
      </c>
      <c r="Y389" s="185">
        <f>Y387*Data!X$9</f>
        <v>0</v>
      </c>
      <c r="Z389" s="185">
        <f>Z387*Data!Y$9</f>
        <v>0</v>
      </c>
      <c r="AA389" s="185">
        <f>AA387*Data!Z$9</f>
        <v>0</v>
      </c>
      <c r="AB389" s="185">
        <f>AB387*Data!AA$9</f>
        <v>0</v>
      </c>
      <c r="AC389" s="185">
        <f>AC387*Data!AB$9</f>
        <v>0</v>
      </c>
      <c r="AD389" s="185">
        <f>AD387*Data!AC$9</f>
        <v>0</v>
      </c>
      <c r="AE389" s="185">
        <f>AE387*Data!AD$9</f>
        <v>0</v>
      </c>
      <c r="AF389" s="185">
        <f>AF387*Data!AE$9</f>
        <v>0</v>
      </c>
      <c r="AG389" s="185">
        <f>AG387*Data!AF$9</f>
        <v>0</v>
      </c>
      <c r="AH389" s="185">
        <f>AH387*Data!AG$9</f>
        <v>0</v>
      </c>
      <c r="AI389" s="185">
        <f>AI387*Data!AH$9</f>
        <v>0</v>
      </c>
      <c r="AJ389" s="185">
        <f>AJ387*Data!AI$9</f>
        <v>0</v>
      </c>
      <c r="AK389" s="185">
        <f>AK387*Data!AJ$9</f>
        <v>0</v>
      </c>
      <c r="AL389" s="185">
        <f>AL387*Data!AK$9</f>
        <v>0</v>
      </c>
      <c r="AM389" s="185">
        <f>AM387*Data!AL$9</f>
        <v>0</v>
      </c>
      <c r="AN389" s="185">
        <f>AN387*Data!AM$9</f>
        <v>0</v>
      </c>
      <c r="AO389" s="185">
        <f>AO387*Data!AN$9</f>
        <v>0</v>
      </c>
      <c r="AP389" s="14"/>
    </row>
    <row r="390" spans="1:42" outlineLevel="1" x14ac:dyDescent="0.25">
      <c r="A390" s="12"/>
      <c r="B390" s="13"/>
      <c r="C390" s="14" t="s">
        <v>489</v>
      </c>
      <c r="D390" s="13"/>
      <c r="E390" s="15" t="s">
        <v>142</v>
      </c>
      <c r="F390" s="16"/>
      <c r="G390" s="159">
        <f>SUM(H389:AO389)</f>
        <v>18173.168071302971</v>
      </c>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row>
    <row r="391" spans="1:42" outlineLevel="1" x14ac:dyDescent="0.25">
      <c r="A391" s="12"/>
      <c r="B391" s="13"/>
      <c r="C391" s="41" t="s">
        <v>62</v>
      </c>
      <c r="D391" s="41"/>
      <c r="E391" s="15" t="s">
        <v>261</v>
      </c>
      <c r="F391" s="16"/>
      <c r="G391" s="184">
        <f>G390/(SUM(H370:AO370))</f>
        <v>1.6179814878296804E-2</v>
      </c>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7"/>
    </row>
    <row r="392" spans="1:42" outlineLevel="1" x14ac:dyDescent="0.25">
      <c r="A392" s="12"/>
      <c r="B392" s="13"/>
      <c r="C392" s="41"/>
      <c r="D392" s="41"/>
      <c r="E392" s="15"/>
      <c r="F392" s="16"/>
      <c r="G392" s="18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7"/>
    </row>
    <row r="393" spans="1:42" outlineLevel="1" x14ac:dyDescent="0.25">
      <c r="A393" s="12"/>
      <c r="B393" s="13"/>
      <c r="C393" s="37" t="s">
        <v>555</v>
      </c>
      <c r="D393" s="37"/>
      <c r="E393" s="38"/>
      <c r="F393" s="39"/>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17"/>
    </row>
    <row r="394" spans="1:42" outlineLevel="1" x14ac:dyDescent="0.25">
      <c r="A394" s="12"/>
      <c r="B394" s="13"/>
      <c r="C394" s="14"/>
      <c r="D394" s="14"/>
      <c r="E394" s="15"/>
      <c r="F394" s="16"/>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7"/>
    </row>
    <row r="395" spans="1:42" outlineLevel="1" x14ac:dyDescent="0.25">
      <c r="A395" s="12"/>
      <c r="B395" s="13"/>
      <c r="C395" s="20" t="s">
        <v>252</v>
      </c>
      <c r="D395" s="14"/>
      <c r="E395" s="15"/>
      <c r="F395" s="16"/>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row>
    <row r="396" spans="1:42" outlineLevel="1" x14ac:dyDescent="0.25">
      <c r="A396" s="12"/>
      <c r="B396" s="13"/>
      <c r="C396" t="s">
        <v>520</v>
      </c>
      <c r="D396" s="14"/>
      <c r="E396" s="15" t="s">
        <v>521</v>
      </c>
      <c r="F396" s="16"/>
      <c r="G396" s="14"/>
      <c r="H396" s="141"/>
      <c r="I396" s="141">
        <f>I297</f>
        <v>93600</v>
      </c>
      <c r="J396" s="141">
        <f t="shared" ref="J396:AO396" si="64">J297</f>
        <v>93600</v>
      </c>
      <c r="K396" s="141">
        <f t="shared" si="64"/>
        <v>93600</v>
      </c>
      <c r="L396" s="141">
        <f t="shared" si="64"/>
        <v>93600</v>
      </c>
      <c r="M396" s="141">
        <f t="shared" si="64"/>
        <v>93600</v>
      </c>
      <c r="N396" s="141">
        <f t="shared" si="64"/>
        <v>93600</v>
      </c>
      <c r="O396" s="141">
        <f t="shared" si="64"/>
        <v>93600</v>
      </c>
      <c r="P396" s="141">
        <f t="shared" si="64"/>
        <v>93600</v>
      </c>
      <c r="Q396" s="141">
        <f t="shared" si="64"/>
        <v>93600</v>
      </c>
      <c r="R396" s="141">
        <f t="shared" si="64"/>
        <v>93600</v>
      </c>
      <c r="S396" s="141">
        <f t="shared" si="64"/>
        <v>93600</v>
      </c>
      <c r="T396" s="141">
        <f t="shared" si="64"/>
        <v>93600</v>
      </c>
      <c r="U396" s="141">
        <f t="shared" si="64"/>
        <v>0</v>
      </c>
      <c r="V396" s="141">
        <f t="shared" si="64"/>
        <v>0</v>
      </c>
      <c r="W396" s="141">
        <f t="shared" si="64"/>
        <v>0</v>
      </c>
      <c r="X396" s="141">
        <f t="shared" si="64"/>
        <v>0</v>
      </c>
      <c r="Y396" s="141">
        <f t="shared" si="64"/>
        <v>0</v>
      </c>
      <c r="Z396" s="141">
        <f t="shared" si="64"/>
        <v>0</v>
      </c>
      <c r="AA396" s="141">
        <f t="shared" si="64"/>
        <v>0</v>
      </c>
      <c r="AB396" s="141">
        <f t="shared" si="64"/>
        <v>0</v>
      </c>
      <c r="AC396" s="141">
        <f t="shared" si="64"/>
        <v>0</v>
      </c>
      <c r="AD396" s="141">
        <f t="shared" si="64"/>
        <v>0</v>
      </c>
      <c r="AE396" s="141">
        <f t="shared" si="64"/>
        <v>0</v>
      </c>
      <c r="AF396" s="141">
        <f t="shared" si="64"/>
        <v>0</v>
      </c>
      <c r="AG396" s="141">
        <f t="shared" si="64"/>
        <v>0</v>
      </c>
      <c r="AH396" s="141">
        <f t="shared" si="64"/>
        <v>0</v>
      </c>
      <c r="AI396" s="141">
        <f t="shared" si="64"/>
        <v>0</v>
      </c>
      <c r="AJ396" s="141">
        <f t="shared" si="64"/>
        <v>0</v>
      </c>
      <c r="AK396" s="141">
        <f t="shared" si="64"/>
        <v>0</v>
      </c>
      <c r="AL396" s="141">
        <f t="shared" si="64"/>
        <v>0</v>
      </c>
      <c r="AM396" s="141">
        <f t="shared" si="64"/>
        <v>0</v>
      </c>
      <c r="AN396" s="141">
        <f t="shared" si="64"/>
        <v>0</v>
      </c>
      <c r="AO396" s="141">
        <f t="shared" si="64"/>
        <v>0</v>
      </c>
      <c r="AP396" s="14"/>
    </row>
    <row r="397" spans="1:42" outlineLevel="1" x14ac:dyDescent="0.25">
      <c r="A397" s="12"/>
      <c r="B397" s="13"/>
      <c r="C397" s="14" t="s">
        <v>535</v>
      </c>
      <c r="D397" s="14"/>
      <c r="E397" s="15"/>
      <c r="F397" s="16"/>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159"/>
      <c r="AG397" s="14"/>
      <c r="AH397" s="14"/>
      <c r="AI397" s="14"/>
      <c r="AJ397" s="14"/>
      <c r="AK397" s="14"/>
      <c r="AL397" s="14"/>
      <c r="AM397" s="14"/>
      <c r="AN397" s="14"/>
      <c r="AO397" s="14"/>
      <c r="AP397" s="14"/>
    </row>
    <row r="398" spans="1:42" ht="14.25" customHeight="1" outlineLevel="1" x14ac:dyDescent="0.25">
      <c r="A398" s="54"/>
      <c r="B398" s="13"/>
      <c r="C398" s="14" t="s">
        <v>205</v>
      </c>
      <c r="D398" s="14"/>
      <c r="E398" s="70" t="s">
        <v>352</v>
      </c>
      <c r="F398" s="200">
        <f>Data!E556/1000</f>
        <v>3.0107355222942197E-3</v>
      </c>
      <c r="G398" s="56"/>
      <c r="H398" s="56"/>
      <c r="I398" s="56">
        <f>I$396*$F398</f>
        <v>281.80484488673898</v>
      </c>
      <c r="J398" s="56">
        <f t="shared" ref="J398:AP404" si="65">J$396*$F398</f>
        <v>281.80484488673898</v>
      </c>
      <c r="K398" s="56">
        <f t="shared" si="65"/>
        <v>281.80484488673898</v>
      </c>
      <c r="L398" s="56">
        <f t="shared" si="65"/>
        <v>281.80484488673898</v>
      </c>
      <c r="M398" s="56">
        <f t="shared" si="65"/>
        <v>281.80484488673898</v>
      </c>
      <c r="N398" s="56">
        <f t="shared" si="65"/>
        <v>281.80484488673898</v>
      </c>
      <c r="O398" s="56">
        <f t="shared" si="65"/>
        <v>281.80484488673898</v>
      </c>
      <c r="P398" s="56">
        <f t="shared" si="65"/>
        <v>281.80484488673898</v>
      </c>
      <c r="Q398" s="56">
        <f t="shared" si="65"/>
        <v>281.80484488673898</v>
      </c>
      <c r="R398" s="56">
        <f t="shared" si="65"/>
        <v>281.80484488673898</v>
      </c>
      <c r="S398" s="56">
        <f t="shared" si="65"/>
        <v>281.80484488673898</v>
      </c>
      <c r="T398" s="56">
        <f t="shared" si="65"/>
        <v>281.80484488673898</v>
      </c>
      <c r="U398" s="56">
        <f t="shared" si="65"/>
        <v>0</v>
      </c>
      <c r="V398" s="56">
        <f t="shared" si="65"/>
        <v>0</v>
      </c>
      <c r="W398" s="56">
        <f t="shared" si="65"/>
        <v>0</v>
      </c>
      <c r="X398" s="56">
        <f t="shared" si="65"/>
        <v>0</v>
      </c>
      <c r="Y398" s="56">
        <f t="shared" si="65"/>
        <v>0</v>
      </c>
      <c r="Z398" s="56">
        <f t="shared" si="65"/>
        <v>0</v>
      </c>
      <c r="AA398" s="56">
        <f t="shared" si="65"/>
        <v>0</v>
      </c>
      <c r="AB398" s="56">
        <f t="shared" si="65"/>
        <v>0</v>
      </c>
      <c r="AC398" s="56">
        <f t="shared" si="65"/>
        <v>0</v>
      </c>
      <c r="AD398" s="56">
        <f t="shared" si="65"/>
        <v>0</v>
      </c>
      <c r="AE398" s="56">
        <f t="shared" si="65"/>
        <v>0</v>
      </c>
      <c r="AF398" s="56">
        <f t="shared" si="65"/>
        <v>0</v>
      </c>
      <c r="AG398" s="56">
        <f t="shared" si="65"/>
        <v>0</v>
      </c>
      <c r="AH398" s="56">
        <f t="shared" si="65"/>
        <v>0</v>
      </c>
      <c r="AI398" s="56">
        <f t="shared" si="65"/>
        <v>0</v>
      </c>
      <c r="AJ398" s="56">
        <f t="shared" si="65"/>
        <v>0</v>
      </c>
      <c r="AK398" s="56">
        <f t="shared" si="65"/>
        <v>0</v>
      </c>
      <c r="AL398" s="56">
        <f t="shared" si="65"/>
        <v>0</v>
      </c>
      <c r="AM398" s="56">
        <f t="shared" si="65"/>
        <v>0</v>
      </c>
      <c r="AN398" s="56">
        <f t="shared" si="65"/>
        <v>0</v>
      </c>
      <c r="AO398" s="56">
        <f t="shared" si="65"/>
        <v>0</v>
      </c>
      <c r="AP398" s="56">
        <f t="shared" si="65"/>
        <v>0</v>
      </c>
    </row>
    <row r="399" spans="1:42" outlineLevel="1" x14ac:dyDescent="0.25">
      <c r="A399" s="54"/>
      <c r="B399" s="13"/>
      <c r="C399" s="14" t="s">
        <v>484</v>
      </c>
      <c r="D399" s="14"/>
      <c r="E399" s="70" t="s">
        <v>352</v>
      </c>
      <c r="F399" s="200">
        <f>Data!E557/1000</f>
        <v>2.2565026878869472</v>
      </c>
      <c r="G399" s="56"/>
      <c r="H399" s="56"/>
      <c r="I399" s="56">
        <f t="shared" ref="I399:X404" si="66">I$396*$F399</f>
        <v>211208.65158621827</v>
      </c>
      <c r="J399" s="56">
        <f t="shared" si="66"/>
        <v>211208.65158621827</v>
      </c>
      <c r="K399" s="56">
        <f t="shared" si="66"/>
        <v>211208.65158621827</v>
      </c>
      <c r="L399" s="56">
        <f t="shared" si="66"/>
        <v>211208.65158621827</v>
      </c>
      <c r="M399" s="56">
        <f t="shared" si="66"/>
        <v>211208.65158621827</v>
      </c>
      <c r="N399" s="56">
        <f t="shared" si="66"/>
        <v>211208.65158621827</v>
      </c>
      <c r="O399" s="56">
        <f t="shared" si="66"/>
        <v>211208.65158621827</v>
      </c>
      <c r="P399" s="56">
        <f t="shared" si="66"/>
        <v>211208.65158621827</v>
      </c>
      <c r="Q399" s="56">
        <f t="shared" si="66"/>
        <v>211208.65158621827</v>
      </c>
      <c r="R399" s="56">
        <f t="shared" si="66"/>
        <v>211208.65158621827</v>
      </c>
      <c r="S399" s="56">
        <f t="shared" si="66"/>
        <v>211208.65158621827</v>
      </c>
      <c r="T399" s="56">
        <f t="shared" si="66"/>
        <v>211208.65158621827</v>
      </c>
      <c r="U399" s="56">
        <f t="shared" si="66"/>
        <v>0</v>
      </c>
      <c r="V399" s="56">
        <f t="shared" si="66"/>
        <v>0</v>
      </c>
      <c r="W399" s="56">
        <f t="shared" si="66"/>
        <v>0</v>
      </c>
      <c r="X399" s="56">
        <f t="shared" si="66"/>
        <v>0</v>
      </c>
      <c r="Y399" s="56">
        <f t="shared" si="65"/>
        <v>0</v>
      </c>
      <c r="Z399" s="56">
        <f t="shared" si="65"/>
        <v>0</v>
      </c>
      <c r="AA399" s="56">
        <f t="shared" si="65"/>
        <v>0</v>
      </c>
      <c r="AB399" s="56">
        <f t="shared" si="65"/>
        <v>0</v>
      </c>
      <c r="AC399" s="56">
        <f t="shared" si="65"/>
        <v>0</v>
      </c>
      <c r="AD399" s="56">
        <f t="shared" si="65"/>
        <v>0</v>
      </c>
      <c r="AE399" s="56">
        <f t="shared" si="65"/>
        <v>0</v>
      </c>
      <c r="AF399" s="56">
        <f t="shared" si="65"/>
        <v>0</v>
      </c>
      <c r="AG399" s="56">
        <f t="shared" si="65"/>
        <v>0</v>
      </c>
      <c r="AH399" s="56">
        <f t="shared" si="65"/>
        <v>0</v>
      </c>
      <c r="AI399" s="56">
        <f t="shared" si="65"/>
        <v>0</v>
      </c>
      <c r="AJ399" s="56">
        <f t="shared" si="65"/>
        <v>0</v>
      </c>
      <c r="AK399" s="56">
        <f t="shared" si="65"/>
        <v>0</v>
      </c>
      <c r="AL399" s="56">
        <f t="shared" si="65"/>
        <v>0</v>
      </c>
      <c r="AM399" s="56">
        <f t="shared" si="65"/>
        <v>0</v>
      </c>
      <c r="AN399" s="56">
        <f t="shared" si="65"/>
        <v>0</v>
      </c>
      <c r="AO399" s="56">
        <f t="shared" si="65"/>
        <v>0</v>
      </c>
      <c r="AP399" s="56">
        <f t="shared" si="65"/>
        <v>0</v>
      </c>
    </row>
    <row r="400" spans="1:42" outlineLevel="1" x14ac:dyDescent="0.25">
      <c r="A400" s="54"/>
      <c r="B400" s="13"/>
      <c r="C400" s="14" t="s">
        <v>285</v>
      </c>
      <c r="D400" s="14"/>
      <c r="E400" s="70" t="s">
        <v>352</v>
      </c>
      <c r="F400" s="200">
        <f>Data!E558/1000</f>
        <v>2.4674863588574204E-4</v>
      </c>
      <c r="G400" s="56"/>
      <c r="H400" s="56"/>
      <c r="I400" s="56">
        <f t="shared" si="66"/>
        <v>23.095672318905454</v>
      </c>
      <c r="J400" s="56">
        <f t="shared" si="65"/>
        <v>23.095672318905454</v>
      </c>
      <c r="K400" s="56">
        <f t="shared" si="65"/>
        <v>23.095672318905454</v>
      </c>
      <c r="L400" s="56">
        <f t="shared" si="65"/>
        <v>23.095672318905454</v>
      </c>
      <c r="M400" s="56">
        <f t="shared" si="65"/>
        <v>23.095672318905454</v>
      </c>
      <c r="N400" s="56">
        <f t="shared" si="65"/>
        <v>23.095672318905454</v>
      </c>
      <c r="O400" s="56">
        <f t="shared" si="65"/>
        <v>23.095672318905454</v>
      </c>
      <c r="P400" s="56">
        <f t="shared" si="65"/>
        <v>23.095672318905454</v>
      </c>
      <c r="Q400" s="56">
        <f t="shared" si="65"/>
        <v>23.095672318905454</v>
      </c>
      <c r="R400" s="56">
        <f t="shared" si="65"/>
        <v>23.095672318905454</v>
      </c>
      <c r="S400" s="56">
        <f t="shared" si="65"/>
        <v>23.095672318905454</v>
      </c>
      <c r="T400" s="56">
        <f t="shared" si="65"/>
        <v>23.095672318905454</v>
      </c>
      <c r="U400" s="56">
        <f t="shared" si="65"/>
        <v>0</v>
      </c>
      <c r="V400" s="56">
        <f t="shared" si="65"/>
        <v>0</v>
      </c>
      <c r="W400" s="56">
        <f t="shared" si="65"/>
        <v>0</v>
      </c>
      <c r="X400" s="56">
        <f t="shared" si="65"/>
        <v>0</v>
      </c>
      <c r="Y400" s="56">
        <f t="shared" si="65"/>
        <v>0</v>
      </c>
      <c r="Z400" s="56">
        <f t="shared" si="65"/>
        <v>0</v>
      </c>
      <c r="AA400" s="56">
        <f t="shared" si="65"/>
        <v>0</v>
      </c>
      <c r="AB400" s="56">
        <f t="shared" si="65"/>
        <v>0</v>
      </c>
      <c r="AC400" s="56">
        <f t="shared" si="65"/>
        <v>0</v>
      </c>
      <c r="AD400" s="56">
        <f t="shared" si="65"/>
        <v>0</v>
      </c>
      <c r="AE400" s="56">
        <f t="shared" si="65"/>
        <v>0</v>
      </c>
      <c r="AF400" s="56">
        <f t="shared" si="65"/>
        <v>0</v>
      </c>
      <c r="AG400" s="56">
        <f t="shared" si="65"/>
        <v>0</v>
      </c>
      <c r="AH400" s="56">
        <f t="shared" si="65"/>
        <v>0</v>
      </c>
      <c r="AI400" s="56">
        <f t="shared" si="65"/>
        <v>0</v>
      </c>
      <c r="AJ400" s="56">
        <f t="shared" si="65"/>
        <v>0</v>
      </c>
      <c r="AK400" s="56">
        <f t="shared" si="65"/>
        <v>0</v>
      </c>
      <c r="AL400" s="56">
        <f t="shared" si="65"/>
        <v>0</v>
      </c>
      <c r="AM400" s="56">
        <f t="shared" si="65"/>
        <v>0</v>
      </c>
      <c r="AN400" s="56">
        <f t="shared" si="65"/>
        <v>0</v>
      </c>
      <c r="AO400" s="56">
        <f t="shared" si="65"/>
        <v>0</v>
      </c>
      <c r="AP400" s="56">
        <f t="shared" si="65"/>
        <v>0</v>
      </c>
    </row>
    <row r="401" spans="1:42" outlineLevel="1" x14ac:dyDescent="0.25">
      <c r="A401" s="54"/>
      <c r="B401" s="13"/>
      <c r="C401" s="14" t="s">
        <v>220</v>
      </c>
      <c r="D401" s="14"/>
      <c r="E401" s="70" t="s">
        <v>352</v>
      </c>
      <c r="F401" s="200">
        <f>Data!E559/1000</f>
        <v>1.0386979165916608E-2</v>
      </c>
      <c r="G401" s="56"/>
      <c r="H401" s="56"/>
      <c r="I401" s="56">
        <f t="shared" si="66"/>
        <v>972.22124992979445</v>
      </c>
      <c r="J401" s="56">
        <f t="shared" si="65"/>
        <v>972.22124992979445</v>
      </c>
      <c r="K401" s="56">
        <f t="shared" si="65"/>
        <v>972.22124992979445</v>
      </c>
      <c r="L401" s="56">
        <f t="shared" si="65"/>
        <v>972.22124992979445</v>
      </c>
      <c r="M401" s="56">
        <f t="shared" si="65"/>
        <v>972.22124992979445</v>
      </c>
      <c r="N401" s="56">
        <f t="shared" si="65"/>
        <v>972.22124992979445</v>
      </c>
      <c r="O401" s="56">
        <f t="shared" si="65"/>
        <v>972.22124992979445</v>
      </c>
      <c r="P401" s="56">
        <f t="shared" si="65"/>
        <v>972.22124992979445</v>
      </c>
      <c r="Q401" s="56">
        <f t="shared" si="65"/>
        <v>972.22124992979445</v>
      </c>
      <c r="R401" s="56">
        <f t="shared" si="65"/>
        <v>972.22124992979445</v>
      </c>
      <c r="S401" s="56">
        <f t="shared" si="65"/>
        <v>972.22124992979445</v>
      </c>
      <c r="T401" s="56">
        <f t="shared" si="65"/>
        <v>972.22124992979445</v>
      </c>
      <c r="U401" s="56">
        <f t="shared" si="65"/>
        <v>0</v>
      </c>
      <c r="V401" s="56">
        <f t="shared" si="65"/>
        <v>0</v>
      </c>
      <c r="W401" s="56">
        <f t="shared" si="65"/>
        <v>0</v>
      </c>
      <c r="X401" s="56">
        <f t="shared" si="65"/>
        <v>0</v>
      </c>
      <c r="Y401" s="56">
        <f t="shared" si="65"/>
        <v>0</v>
      </c>
      <c r="Z401" s="56">
        <f t="shared" si="65"/>
        <v>0</v>
      </c>
      <c r="AA401" s="56">
        <f t="shared" si="65"/>
        <v>0</v>
      </c>
      <c r="AB401" s="56">
        <f t="shared" si="65"/>
        <v>0</v>
      </c>
      <c r="AC401" s="56">
        <f t="shared" si="65"/>
        <v>0</v>
      </c>
      <c r="AD401" s="56">
        <f t="shared" si="65"/>
        <v>0</v>
      </c>
      <c r="AE401" s="56">
        <f t="shared" si="65"/>
        <v>0</v>
      </c>
      <c r="AF401" s="56">
        <f t="shared" si="65"/>
        <v>0</v>
      </c>
      <c r="AG401" s="56">
        <f t="shared" si="65"/>
        <v>0</v>
      </c>
      <c r="AH401" s="56">
        <f t="shared" si="65"/>
        <v>0</v>
      </c>
      <c r="AI401" s="56">
        <f t="shared" si="65"/>
        <v>0</v>
      </c>
      <c r="AJ401" s="56">
        <f t="shared" si="65"/>
        <v>0</v>
      </c>
      <c r="AK401" s="56">
        <f t="shared" si="65"/>
        <v>0</v>
      </c>
      <c r="AL401" s="56">
        <f t="shared" si="65"/>
        <v>0</v>
      </c>
      <c r="AM401" s="56">
        <f t="shared" si="65"/>
        <v>0</v>
      </c>
      <c r="AN401" s="56">
        <f t="shared" si="65"/>
        <v>0</v>
      </c>
      <c r="AO401" s="56">
        <f t="shared" si="65"/>
        <v>0</v>
      </c>
      <c r="AP401" s="56">
        <f t="shared" si="65"/>
        <v>0</v>
      </c>
    </row>
    <row r="402" spans="1:42" outlineLevel="1" x14ac:dyDescent="0.25">
      <c r="A402" s="54"/>
      <c r="B402" s="13"/>
      <c r="C402" s="14" t="s">
        <v>212</v>
      </c>
      <c r="D402" s="14"/>
      <c r="E402" s="70" t="s">
        <v>352</v>
      </c>
      <c r="F402" s="200">
        <f>Data!E560/1000</f>
        <v>1.200162949787418E-3</v>
      </c>
      <c r="G402" s="56"/>
      <c r="H402" s="56"/>
      <c r="I402" s="56">
        <f t="shared" si="66"/>
        <v>112.33525210010232</v>
      </c>
      <c r="J402" s="56">
        <f t="shared" si="65"/>
        <v>112.33525210010232</v>
      </c>
      <c r="K402" s="56">
        <f t="shared" si="65"/>
        <v>112.33525210010232</v>
      </c>
      <c r="L402" s="56">
        <f t="shared" si="65"/>
        <v>112.33525210010232</v>
      </c>
      <c r="M402" s="56">
        <f t="shared" si="65"/>
        <v>112.33525210010232</v>
      </c>
      <c r="N402" s="56">
        <f t="shared" si="65"/>
        <v>112.33525210010232</v>
      </c>
      <c r="O402" s="56">
        <f t="shared" si="65"/>
        <v>112.33525210010232</v>
      </c>
      <c r="P402" s="56">
        <f t="shared" si="65"/>
        <v>112.33525210010232</v>
      </c>
      <c r="Q402" s="56">
        <f t="shared" si="65"/>
        <v>112.33525210010232</v>
      </c>
      <c r="R402" s="56">
        <f t="shared" si="65"/>
        <v>112.33525210010232</v>
      </c>
      <c r="S402" s="56">
        <f t="shared" si="65"/>
        <v>112.33525210010232</v>
      </c>
      <c r="T402" s="56">
        <f t="shared" si="65"/>
        <v>112.33525210010232</v>
      </c>
      <c r="U402" s="56">
        <f t="shared" si="65"/>
        <v>0</v>
      </c>
      <c r="V402" s="56">
        <f t="shared" si="65"/>
        <v>0</v>
      </c>
      <c r="W402" s="56">
        <f t="shared" si="65"/>
        <v>0</v>
      </c>
      <c r="X402" s="56">
        <f t="shared" si="65"/>
        <v>0</v>
      </c>
      <c r="Y402" s="56">
        <f t="shared" si="65"/>
        <v>0</v>
      </c>
      <c r="Z402" s="56">
        <f t="shared" si="65"/>
        <v>0</v>
      </c>
      <c r="AA402" s="56">
        <f t="shared" si="65"/>
        <v>0</v>
      </c>
      <c r="AB402" s="56">
        <f t="shared" si="65"/>
        <v>0</v>
      </c>
      <c r="AC402" s="56">
        <f t="shared" si="65"/>
        <v>0</v>
      </c>
      <c r="AD402" s="56">
        <f t="shared" si="65"/>
        <v>0</v>
      </c>
      <c r="AE402" s="56">
        <f t="shared" si="65"/>
        <v>0</v>
      </c>
      <c r="AF402" s="56">
        <f t="shared" si="65"/>
        <v>0</v>
      </c>
      <c r="AG402" s="56">
        <f t="shared" si="65"/>
        <v>0</v>
      </c>
      <c r="AH402" s="56">
        <f t="shared" si="65"/>
        <v>0</v>
      </c>
      <c r="AI402" s="56">
        <f t="shared" si="65"/>
        <v>0</v>
      </c>
      <c r="AJ402" s="56">
        <f t="shared" si="65"/>
        <v>0</v>
      </c>
      <c r="AK402" s="56">
        <f t="shared" si="65"/>
        <v>0</v>
      </c>
      <c r="AL402" s="56">
        <f t="shared" si="65"/>
        <v>0</v>
      </c>
      <c r="AM402" s="56">
        <f t="shared" si="65"/>
        <v>0</v>
      </c>
      <c r="AN402" s="56">
        <f t="shared" si="65"/>
        <v>0</v>
      </c>
      <c r="AO402" s="56">
        <f t="shared" si="65"/>
        <v>0</v>
      </c>
      <c r="AP402" s="56">
        <f t="shared" si="65"/>
        <v>0</v>
      </c>
    </row>
    <row r="403" spans="1:42" outlineLevel="1" x14ac:dyDescent="0.25">
      <c r="A403" s="54"/>
      <c r="B403" s="13"/>
      <c r="C403" s="14" t="s">
        <v>485</v>
      </c>
      <c r="D403" s="14"/>
      <c r="E403" s="70" t="s">
        <v>352</v>
      </c>
      <c r="F403" s="200">
        <f>Data!E561/1000</f>
        <v>2.8863348804976244E-4</v>
      </c>
      <c r="G403" s="56"/>
      <c r="H403" s="56"/>
      <c r="I403" s="56">
        <f t="shared" si="66"/>
        <v>27.016094481457763</v>
      </c>
      <c r="J403" s="56">
        <f t="shared" si="65"/>
        <v>27.016094481457763</v>
      </c>
      <c r="K403" s="56">
        <f t="shared" si="65"/>
        <v>27.016094481457763</v>
      </c>
      <c r="L403" s="56">
        <f t="shared" si="65"/>
        <v>27.016094481457763</v>
      </c>
      <c r="M403" s="56">
        <f t="shared" si="65"/>
        <v>27.016094481457763</v>
      </c>
      <c r="N403" s="56">
        <f t="shared" si="65"/>
        <v>27.016094481457763</v>
      </c>
      <c r="O403" s="56">
        <f t="shared" si="65"/>
        <v>27.016094481457763</v>
      </c>
      <c r="P403" s="56">
        <f t="shared" si="65"/>
        <v>27.016094481457763</v>
      </c>
      <c r="Q403" s="56">
        <f t="shared" si="65"/>
        <v>27.016094481457763</v>
      </c>
      <c r="R403" s="56">
        <f t="shared" si="65"/>
        <v>27.016094481457763</v>
      </c>
      <c r="S403" s="56">
        <f t="shared" si="65"/>
        <v>27.016094481457763</v>
      </c>
      <c r="T403" s="56">
        <f t="shared" si="65"/>
        <v>27.016094481457763</v>
      </c>
      <c r="U403" s="56">
        <f t="shared" si="65"/>
        <v>0</v>
      </c>
      <c r="V403" s="56">
        <f t="shared" si="65"/>
        <v>0</v>
      </c>
      <c r="W403" s="56">
        <f t="shared" si="65"/>
        <v>0</v>
      </c>
      <c r="X403" s="56">
        <f t="shared" si="65"/>
        <v>0</v>
      </c>
      <c r="Y403" s="56">
        <f t="shared" si="65"/>
        <v>0</v>
      </c>
      <c r="Z403" s="56">
        <f t="shared" si="65"/>
        <v>0</v>
      </c>
      <c r="AA403" s="56">
        <f t="shared" si="65"/>
        <v>0</v>
      </c>
      <c r="AB403" s="56">
        <f t="shared" si="65"/>
        <v>0</v>
      </c>
      <c r="AC403" s="56">
        <f t="shared" si="65"/>
        <v>0</v>
      </c>
      <c r="AD403" s="56">
        <f t="shared" si="65"/>
        <v>0</v>
      </c>
      <c r="AE403" s="56">
        <f t="shared" si="65"/>
        <v>0</v>
      </c>
      <c r="AF403" s="56">
        <f t="shared" si="65"/>
        <v>0</v>
      </c>
      <c r="AG403" s="56">
        <f t="shared" si="65"/>
        <v>0</v>
      </c>
      <c r="AH403" s="56">
        <f t="shared" si="65"/>
        <v>0</v>
      </c>
      <c r="AI403" s="56">
        <f t="shared" si="65"/>
        <v>0</v>
      </c>
      <c r="AJ403" s="56">
        <f t="shared" si="65"/>
        <v>0</v>
      </c>
      <c r="AK403" s="56">
        <f t="shared" si="65"/>
        <v>0</v>
      </c>
      <c r="AL403" s="56">
        <f t="shared" si="65"/>
        <v>0</v>
      </c>
      <c r="AM403" s="56">
        <f t="shared" si="65"/>
        <v>0</v>
      </c>
      <c r="AN403" s="56">
        <f t="shared" si="65"/>
        <v>0</v>
      </c>
      <c r="AO403" s="56">
        <f t="shared" si="65"/>
        <v>0</v>
      </c>
      <c r="AP403" s="56">
        <f t="shared" si="65"/>
        <v>0</v>
      </c>
    </row>
    <row r="404" spans="1:42" outlineLevel="1" x14ac:dyDescent="0.25">
      <c r="A404" s="54"/>
      <c r="B404" s="13"/>
      <c r="C404" s="14" t="s">
        <v>214</v>
      </c>
      <c r="D404" s="14"/>
      <c r="E404" s="70" t="s">
        <v>352</v>
      </c>
      <c r="F404" s="200">
        <f>Data!E562/1000</f>
        <v>4.1011833239969993E-5</v>
      </c>
      <c r="G404" s="56"/>
      <c r="H404" s="56"/>
      <c r="I404" s="56">
        <f t="shared" si="66"/>
        <v>3.8387075912611914</v>
      </c>
      <c r="J404" s="56">
        <f t="shared" si="65"/>
        <v>3.8387075912611914</v>
      </c>
      <c r="K404" s="56">
        <f t="shared" si="65"/>
        <v>3.8387075912611914</v>
      </c>
      <c r="L404" s="56">
        <f t="shared" si="65"/>
        <v>3.8387075912611914</v>
      </c>
      <c r="M404" s="56">
        <f t="shared" si="65"/>
        <v>3.8387075912611914</v>
      </c>
      <c r="N404" s="56">
        <f t="shared" si="65"/>
        <v>3.8387075912611914</v>
      </c>
      <c r="O404" s="56">
        <f t="shared" si="65"/>
        <v>3.8387075912611914</v>
      </c>
      <c r="P404" s="56">
        <f t="shared" si="65"/>
        <v>3.8387075912611914</v>
      </c>
      <c r="Q404" s="56">
        <f t="shared" si="65"/>
        <v>3.8387075912611914</v>
      </c>
      <c r="R404" s="56">
        <f t="shared" si="65"/>
        <v>3.8387075912611914</v>
      </c>
      <c r="S404" s="56">
        <f t="shared" si="65"/>
        <v>3.8387075912611914</v>
      </c>
      <c r="T404" s="56">
        <f t="shared" si="65"/>
        <v>3.8387075912611914</v>
      </c>
      <c r="U404" s="56">
        <f t="shared" si="65"/>
        <v>0</v>
      </c>
      <c r="V404" s="56">
        <f t="shared" si="65"/>
        <v>0</v>
      </c>
      <c r="W404" s="56">
        <f t="shared" si="65"/>
        <v>0</v>
      </c>
      <c r="X404" s="56">
        <f t="shared" si="65"/>
        <v>0</v>
      </c>
      <c r="Y404" s="56">
        <f t="shared" si="65"/>
        <v>0</v>
      </c>
      <c r="Z404" s="56">
        <f t="shared" si="65"/>
        <v>0</v>
      </c>
      <c r="AA404" s="56">
        <f t="shared" si="65"/>
        <v>0</v>
      </c>
      <c r="AB404" s="56">
        <f t="shared" si="65"/>
        <v>0</v>
      </c>
      <c r="AC404" s="56">
        <f t="shared" si="65"/>
        <v>0</v>
      </c>
      <c r="AD404" s="56">
        <f t="shared" si="65"/>
        <v>0</v>
      </c>
      <c r="AE404" s="56">
        <f t="shared" si="65"/>
        <v>0</v>
      </c>
      <c r="AF404" s="56">
        <f t="shared" si="65"/>
        <v>0</v>
      </c>
      <c r="AG404" s="56">
        <f t="shared" si="65"/>
        <v>0</v>
      </c>
      <c r="AH404" s="56">
        <f t="shared" si="65"/>
        <v>0</v>
      </c>
      <c r="AI404" s="56">
        <f t="shared" si="65"/>
        <v>0</v>
      </c>
      <c r="AJ404" s="56">
        <f t="shared" si="65"/>
        <v>0</v>
      </c>
      <c r="AK404" s="56">
        <f t="shared" si="65"/>
        <v>0</v>
      </c>
      <c r="AL404" s="56">
        <f t="shared" si="65"/>
        <v>0</v>
      </c>
      <c r="AM404" s="56">
        <f t="shared" si="65"/>
        <v>0</v>
      </c>
      <c r="AN404" s="56">
        <f t="shared" si="65"/>
        <v>0</v>
      </c>
      <c r="AO404" s="56">
        <f t="shared" si="65"/>
        <v>0</v>
      </c>
      <c r="AP404" s="56">
        <f t="shared" si="65"/>
        <v>0</v>
      </c>
    </row>
    <row r="405" spans="1:42" outlineLevel="1" x14ac:dyDescent="0.25">
      <c r="A405" s="12"/>
      <c r="B405" s="13"/>
      <c r="C405" s="14"/>
      <c r="D405" s="14"/>
      <c r="E405" s="15"/>
      <c r="F405" s="16"/>
      <c r="G405" s="159"/>
      <c r="H405" s="56"/>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row>
    <row r="406" spans="1:42" outlineLevel="1" x14ac:dyDescent="0.25">
      <c r="A406" s="54"/>
      <c r="B406" s="13"/>
      <c r="C406" s="14" t="s">
        <v>205</v>
      </c>
      <c r="D406" s="14"/>
      <c r="E406" s="70" t="s">
        <v>474</v>
      </c>
      <c r="F406" s="200">
        <f>Data!$E$35/1000</f>
        <v>3.4099438202247192E-3</v>
      </c>
      <c r="G406" s="56"/>
      <c r="H406" s="56"/>
      <c r="I406" s="56">
        <f>I398*$F406</f>
        <v>0.96093868933092119</v>
      </c>
      <c r="J406" s="56">
        <f t="shared" ref="J406:AP406" si="67">J398*$F406</f>
        <v>0.96093868933092119</v>
      </c>
      <c r="K406" s="56">
        <f t="shared" si="67"/>
        <v>0.96093868933092119</v>
      </c>
      <c r="L406" s="56">
        <f t="shared" si="67"/>
        <v>0.96093868933092119</v>
      </c>
      <c r="M406" s="56">
        <f t="shared" si="67"/>
        <v>0.96093868933092119</v>
      </c>
      <c r="N406" s="56">
        <f t="shared" si="67"/>
        <v>0.96093868933092119</v>
      </c>
      <c r="O406" s="56">
        <f t="shared" si="67"/>
        <v>0.96093868933092119</v>
      </c>
      <c r="P406" s="56">
        <f t="shared" si="67"/>
        <v>0.96093868933092119</v>
      </c>
      <c r="Q406" s="56">
        <f t="shared" si="67"/>
        <v>0.96093868933092119</v>
      </c>
      <c r="R406" s="56">
        <f t="shared" si="67"/>
        <v>0.96093868933092119</v>
      </c>
      <c r="S406" s="56">
        <f t="shared" si="67"/>
        <v>0.96093868933092119</v>
      </c>
      <c r="T406" s="56">
        <f t="shared" si="67"/>
        <v>0.96093868933092119</v>
      </c>
      <c r="U406" s="56">
        <f t="shared" si="67"/>
        <v>0</v>
      </c>
      <c r="V406" s="56">
        <f t="shared" si="67"/>
        <v>0</v>
      </c>
      <c r="W406" s="56">
        <f t="shared" si="67"/>
        <v>0</v>
      </c>
      <c r="X406" s="56">
        <f t="shared" si="67"/>
        <v>0</v>
      </c>
      <c r="Y406" s="56">
        <f t="shared" si="67"/>
        <v>0</v>
      </c>
      <c r="Z406" s="56">
        <f t="shared" si="67"/>
        <v>0</v>
      </c>
      <c r="AA406" s="56">
        <f t="shared" si="67"/>
        <v>0</v>
      </c>
      <c r="AB406" s="56">
        <f t="shared" si="67"/>
        <v>0</v>
      </c>
      <c r="AC406" s="56">
        <f t="shared" si="67"/>
        <v>0</v>
      </c>
      <c r="AD406" s="56">
        <f t="shared" si="67"/>
        <v>0</v>
      </c>
      <c r="AE406" s="56">
        <f t="shared" si="67"/>
        <v>0</v>
      </c>
      <c r="AF406" s="56">
        <f t="shared" si="67"/>
        <v>0</v>
      </c>
      <c r="AG406" s="56">
        <f t="shared" si="67"/>
        <v>0</v>
      </c>
      <c r="AH406" s="56">
        <f t="shared" si="67"/>
        <v>0</v>
      </c>
      <c r="AI406" s="56">
        <f t="shared" si="67"/>
        <v>0</v>
      </c>
      <c r="AJ406" s="56">
        <f t="shared" si="67"/>
        <v>0</v>
      </c>
      <c r="AK406" s="56">
        <f t="shared" si="67"/>
        <v>0</v>
      </c>
      <c r="AL406" s="56">
        <f t="shared" si="67"/>
        <v>0</v>
      </c>
      <c r="AM406" s="56">
        <f t="shared" si="67"/>
        <v>0</v>
      </c>
      <c r="AN406" s="56">
        <f t="shared" si="67"/>
        <v>0</v>
      </c>
      <c r="AO406" s="56">
        <f t="shared" si="67"/>
        <v>0</v>
      </c>
      <c r="AP406" s="56">
        <f t="shared" si="67"/>
        <v>0</v>
      </c>
    </row>
    <row r="407" spans="1:42" outlineLevel="1" x14ac:dyDescent="0.25">
      <c r="A407" s="54"/>
      <c r="B407" s="13"/>
      <c r="C407" s="14" t="s">
        <v>484</v>
      </c>
      <c r="D407" s="14"/>
      <c r="E407" s="70" t="s">
        <v>474</v>
      </c>
      <c r="F407" s="200"/>
      <c r="G407" s="56"/>
      <c r="H407" s="56"/>
      <c r="I407" s="56">
        <f>I399*Data!H$16/1000</f>
        <v>20487.239203863173</v>
      </c>
      <c r="J407" s="56">
        <f>J399*Data!I$16/1000</f>
        <v>22599.325719725355</v>
      </c>
      <c r="K407" s="56">
        <f>K399*Data!J$16/1000</f>
        <v>24500.203584001316</v>
      </c>
      <c r="L407" s="56">
        <f>L399*Data!K$16/1000</f>
        <v>26612.290099863501</v>
      </c>
      <c r="M407" s="56">
        <f>M399*Data!L$16/1000</f>
        <v>28724.376615725683</v>
      </c>
      <c r="N407" s="56">
        <f>N399*Data!M$16/1000</f>
        <v>30836.463131587865</v>
      </c>
      <c r="O407" s="56">
        <f>O399*Data!N$16/1000</f>
        <v>32737.340995863833</v>
      </c>
      <c r="P407" s="56">
        <f>P399*Data!O$16/1000</f>
        <v>34004.592905381141</v>
      </c>
      <c r="Q407" s="56">
        <f>Q399*Data!P$16/1000</f>
        <v>35271.844814898453</v>
      </c>
      <c r="R407" s="56">
        <f>R399*Data!Q$16/1000</f>
        <v>36750.305376001976</v>
      </c>
      <c r="S407" s="56">
        <f>S399*Data!R$16/1000</f>
        <v>38017.557285519288</v>
      </c>
      <c r="T407" s="56">
        <f>T399*Data!S$16/1000</f>
        <v>39284.8091950366</v>
      </c>
      <c r="U407" s="56">
        <f>U399*Data!T$16/1000</f>
        <v>0</v>
      </c>
      <c r="V407" s="56">
        <f>V399*Data!U$16/1000</f>
        <v>0</v>
      </c>
      <c r="W407" s="56">
        <f>W399*Data!V$16/1000</f>
        <v>0</v>
      </c>
      <c r="X407" s="56">
        <f>X399*Data!W$16/1000</f>
        <v>0</v>
      </c>
      <c r="Y407" s="56">
        <f>Y399*Data!X$16/1000</f>
        <v>0</v>
      </c>
      <c r="Z407" s="56">
        <f>Z399*Data!Y$16/1000</f>
        <v>0</v>
      </c>
      <c r="AA407" s="56">
        <f>AA399*Data!Z$16/1000</f>
        <v>0</v>
      </c>
      <c r="AB407" s="56">
        <f>AB399*Data!AA$16/1000</f>
        <v>0</v>
      </c>
      <c r="AC407" s="56">
        <f>AC399*Data!AB$16/1000</f>
        <v>0</v>
      </c>
      <c r="AD407" s="56">
        <f>AD399*Data!AC$16/1000</f>
        <v>0</v>
      </c>
      <c r="AE407" s="56">
        <f>AE399*Data!AD$16/1000</f>
        <v>0</v>
      </c>
      <c r="AF407" s="56">
        <f>AF399*Data!AE$16/1000</f>
        <v>0</v>
      </c>
      <c r="AG407" s="56">
        <f>AG399*Data!AF$16/1000</f>
        <v>0</v>
      </c>
      <c r="AH407" s="56">
        <f>AH399*Data!AG$16/1000</f>
        <v>0</v>
      </c>
      <c r="AI407" s="56">
        <f>AI399*Data!AH$16/1000</f>
        <v>0</v>
      </c>
      <c r="AJ407" s="56">
        <f>AJ399*Data!AI$16/1000</f>
        <v>0</v>
      </c>
      <c r="AK407" s="56">
        <f>AK399*Data!AJ$16/1000</f>
        <v>0</v>
      </c>
      <c r="AL407" s="56">
        <f>AL399*Data!AK$16/1000</f>
        <v>0</v>
      </c>
      <c r="AM407" s="56">
        <f>AM399*Data!AL$16/1000</f>
        <v>0</v>
      </c>
      <c r="AN407" s="56">
        <f>AN399*Data!AM$16/1000</f>
        <v>0</v>
      </c>
      <c r="AO407" s="56">
        <f>AO399*Data!AN$16/1000</f>
        <v>0</v>
      </c>
      <c r="AP407" s="56">
        <f>AP399*Data!AO$16/1000</f>
        <v>0</v>
      </c>
    </row>
    <row r="408" spans="1:42" outlineLevel="1" x14ac:dyDescent="0.25">
      <c r="A408" s="54"/>
      <c r="B408" s="13"/>
      <c r="C408" s="14" t="s">
        <v>285</v>
      </c>
      <c r="D408" s="14"/>
      <c r="E408" s="70" t="s">
        <v>474</v>
      </c>
      <c r="F408" s="200">
        <f>Data!$E$36/1000</f>
        <v>1.0822865168539326</v>
      </c>
      <c r="G408" s="56"/>
      <c r="H408" s="56"/>
      <c r="I408" s="56">
        <f>I400*$F408</f>
        <v>24.996134748427973</v>
      </c>
      <c r="J408" s="56">
        <f t="shared" ref="J408:AP412" si="68">J400*$F408</f>
        <v>24.996134748427973</v>
      </c>
      <c r="K408" s="56">
        <f t="shared" si="68"/>
        <v>24.996134748427973</v>
      </c>
      <c r="L408" s="56">
        <f t="shared" si="68"/>
        <v>24.996134748427973</v>
      </c>
      <c r="M408" s="56">
        <f t="shared" si="68"/>
        <v>24.996134748427973</v>
      </c>
      <c r="N408" s="56">
        <f t="shared" si="68"/>
        <v>24.996134748427973</v>
      </c>
      <c r="O408" s="56">
        <f t="shared" si="68"/>
        <v>24.996134748427973</v>
      </c>
      <c r="P408" s="56">
        <f t="shared" si="68"/>
        <v>24.996134748427973</v>
      </c>
      <c r="Q408" s="56">
        <f t="shared" si="68"/>
        <v>24.996134748427973</v>
      </c>
      <c r="R408" s="56">
        <f t="shared" si="68"/>
        <v>24.996134748427973</v>
      </c>
      <c r="S408" s="56">
        <f t="shared" si="68"/>
        <v>24.996134748427973</v>
      </c>
      <c r="T408" s="56">
        <f t="shared" si="68"/>
        <v>24.996134748427973</v>
      </c>
      <c r="U408" s="56">
        <f t="shared" si="68"/>
        <v>0</v>
      </c>
      <c r="V408" s="56">
        <f t="shared" si="68"/>
        <v>0</v>
      </c>
      <c r="W408" s="56">
        <f t="shared" si="68"/>
        <v>0</v>
      </c>
      <c r="X408" s="56">
        <f t="shared" si="68"/>
        <v>0</v>
      </c>
      <c r="Y408" s="56">
        <f t="shared" si="68"/>
        <v>0</v>
      </c>
      <c r="Z408" s="56">
        <f t="shared" si="68"/>
        <v>0</v>
      </c>
      <c r="AA408" s="56">
        <f t="shared" si="68"/>
        <v>0</v>
      </c>
      <c r="AB408" s="56">
        <f t="shared" si="68"/>
        <v>0</v>
      </c>
      <c r="AC408" s="56">
        <f t="shared" si="68"/>
        <v>0</v>
      </c>
      <c r="AD408" s="56">
        <f t="shared" si="68"/>
        <v>0</v>
      </c>
      <c r="AE408" s="56">
        <f t="shared" si="68"/>
        <v>0</v>
      </c>
      <c r="AF408" s="56">
        <f t="shared" si="68"/>
        <v>0</v>
      </c>
      <c r="AG408" s="56">
        <f t="shared" si="68"/>
        <v>0</v>
      </c>
      <c r="AH408" s="56">
        <f t="shared" si="68"/>
        <v>0</v>
      </c>
      <c r="AI408" s="56">
        <f t="shared" si="68"/>
        <v>0</v>
      </c>
      <c r="AJ408" s="56">
        <f t="shared" si="68"/>
        <v>0</v>
      </c>
      <c r="AK408" s="56">
        <f t="shared" si="68"/>
        <v>0</v>
      </c>
      <c r="AL408" s="56">
        <f t="shared" si="68"/>
        <v>0</v>
      </c>
      <c r="AM408" s="56">
        <f t="shared" si="68"/>
        <v>0</v>
      </c>
      <c r="AN408" s="56">
        <f t="shared" si="68"/>
        <v>0</v>
      </c>
      <c r="AO408" s="56">
        <f t="shared" si="68"/>
        <v>0</v>
      </c>
      <c r="AP408" s="56">
        <f t="shared" si="68"/>
        <v>0</v>
      </c>
    </row>
    <row r="409" spans="1:42" outlineLevel="1" x14ac:dyDescent="0.25">
      <c r="A409" s="54"/>
      <c r="B409" s="13"/>
      <c r="C409" s="14" t="s">
        <v>220</v>
      </c>
      <c r="D409" s="14"/>
      <c r="E409" s="70" t="s">
        <v>474</v>
      </c>
      <c r="F409" s="200">
        <f>Data!$E$37/1000</f>
        <v>371.00188764044947</v>
      </c>
      <c r="G409" s="56"/>
      <c r="H409" s="56"/>
      <c r="I409" s="56">
        <f t="shared" ref="I409:X412" si="69">I401*$F409</f>
        <v>360695.91892811091</v>
      </c>
      <c r="J409" s="56">
        <f t="shared" si="69"/>
        <v>360695.91892811091</v>
      </c>
      <c r="K409" s="56">
        <f t="shared" si="69"/>
        <v>360695.91892811091</v>
      </c>
      <c r="L409" s="56">
        <f t="shared" si="69"/>
        <v>360695.91892811091</v>
      </c>
      <c r="M409" s="56">
        <f t="shared" si="69"/>
        <v>360695.91892811091</v>
      </c>
      <c r="N409" s="56">
        <f t="shared" si="69"/>
        <v>360695.91892811091</v>
      </c>
      <c r="O409" s="56">
        <f t="shared" si="69"/>
        <v>360695.91892811091</v>
      </c>
      <c r="P409" s="56">
        <f t="shared" si="69"/>
        <v>360695.91892811091</v>
      </c>
      <c r="Q409" s="56">
        <f t="shared" si="69"/>
        <v>360695.91892811091</v>
      </c>
      <c r="R409" s="56">
        <f t="shared" si="69"/>
        <v>360695.91892811091</v>
      </c>
      <c r="S409" s="56">
        <f t="shared" si="69"/>
        <v>360695.91892811091</v>
      </c>
      <c r="T409" s="56">
        <f t="shared" si="69"/>
        <v>360695.91892811091</v>
      </c>
      <c r="U409" s="56">
        <f t="shared" si="69"/>
        <v>0</v>
      </c>
      <c r="V409" s="56">
        <f t="shared" si="69"/>
        <v>0</v>
      </c>
      <c r="W409" s="56">
        <f t="shared" si="69"/>
        <v>0</v>
      </c>
      <c r="X409" s="56">
        <f t="shared" si="69"/>
        <v>0</v>
      </c>
      <c r="Y409" s="56">
        <f t="shared" si="68"/>
        <v>0</v>
      </c>
      <c r="Z409" s="56">
        <f t="shared" si="68"/>
        <v>0</v>
      </c>
      <c r="AA409" s="56">
        <f t="shared" si="68"/>
        <v>0</v>
      </c>
      <c r="AB409" s="56">
        <f t="shared" si="68"/>
        <v>0</v>
      </c>
      <c r="AC409" s="56">
        <f t="shared" si="68"/>
        <v>0</v>
      </c>
      <c r="AD409" s="56">
        <f t="shared" si="68"/>
        <v>0</v>
      </c>
      <c r="AE409" s="56">
        <f t="shared" si="68"/>
        <v>0</v>
      </c>
      <c r="AF409" s="56">
        <f t="shared" si="68"/>
        <v>0</v>
      </c>
      <c r="AG409" s="56">
        <f t="shared" si="68"/>
        <v>0</v>
      </c>
      <c r="AH409" s="56">
        <f t="shared" si="68"/>
        <v>0</v>
      </c>
      <c r="AI409" s="56">
        <f t="shared" si="68"/>
        <v>0</v>
      </c>
      <c r="AJ409" s="56">
        <f t="shared" si="68"/>
        <v>0</v>
      </c>
      <c r="AK409" s="56">
        <f t="shared" si="68"/>
        <v>0</v>
      </c>
      <c r="AL409" s="56">
        <f t="shared" si="68"/>
        <v>0</v>
      </c>
      <c r="AM409" s="56">
        <f t="shared" si="68"/>
        <v>0</v>
      </c>
      <c r="AN409" s="56">
        <f t="shared" si="68"/>
        <v>0</v>
      </c>
      <c r="AO409" s="56">
        <f t="shared" si="68"/>
        <v>0</v>
      </c>
      <c r="AP409" s="56">
        <f t="shared" si="68"/>
        <v>0</v>
      </c>
    </row>
    <row r="410" spans="1:42" outlineLevel="1" x14ac:dyDescent="0.25">
      <c r="A410" s="54"/>
      <c r="B410" s="13"/>
      <c r="C410" s="14" t="s">
        <v>212</v>
      </c>
      <c r="D410" s="14"/>
      <c r="E410" s="70" t="s">
        <v>474</v>
      </c>
      <c r="F410" s="200">
        <f>Data!$E$39/1000</f>
        <v>0</v>
      </c>
      <c r="G410" s="56"/>
      <c r="H410" s="56"/>
      <c r="I410" s="56">
        <f t="shared" si="69"/>
        <v>0</v>
      </c>
      <c r="J410" s="56">
        <f t="shared" si="68"/>
        <v>0</v>
      </c>
      <c r="K410" s="56">
        <f t="shared" si="68"/>
        <v>0</v>
      </c>
      <c r="L410" s="56">
        <f t="shared" si="68"/>
        <v>0</v>
      </c>
      <c r="M410" s="56">
        <f t="shared" si="68"/>
        <v>0</v>
      </c>
      <c r="N410" s="56">
        <f t="shared" si="68"/>
        <v>0</v>
      </c>
      <c r="O410" s="56">
        <f t="shared" si="68"/>
        <v>0</v>
      </c>
      <c r="P410" s="56">
        <f t="shared" si="68"/>
        <v>0</v>
      </c>
      <c r="Q410" s="56">
        <f t="shared" si="68"/>
        <v>0</v>
      </c>
      <c r="R410" s="56">
        <f t="shared" si="68"/>
        <v>0</v>
      </c>
      <c r="S410" s="56">
        <f t="shared" si="68"/>
        <v>0</v>
      </c>
      <c r="T410" s="56">
        <f t="shared" si="68"/>
        <v>0</v>
      </c>
      <c r="U410" s="56">
        <f t="shared" si="68"/>
        <v>0</v>
      </c>
      <c r="V410" s="56">
        <f t="shared" si="68"/>
        <v>0</v>
      </c>
      <c r="W410" s="56">
        <f t="shared" si="68"/>
        <v>0</v>
      </c>
      <c r="X410" s="56">
        <f t="shared" si="68"/>
        <v>0</v>
      </c>
      <c r="Y410" s="56">
        <f t="shared" si="68"/>
        <v>0</v>
      </c>
      <c r="Z410" s="56">
        <f t="shared" si="68"/>
        <v>0</v>
      </c>
      <c r="AA410" s="56">
        <f t="shared" si="68"/>
        <v>0</v>
      </c>
      <c r="AB410" s="56">
        <f t="shared" si="68"/>
        <v>0</v>
      </c>
      <c r="AC410" s="56">
        <f t="shared" si="68"/>
        <v>0</v>
      </c>
      <c r="AD410" s="56">
        <f t="shared" si="68"/>
        <v>0</v>
      </c>
      <c r="AE410" s="56">
        <f t="shared" si="68"/>
        <v>0</v>
      </c>
      <c r="AF410" s="56">
        <f t="shared" si="68"/>
        <v>0</v>
      </c>
      <c r="AG410" s="56">
        <f t="shared" si="68"/>
        <v>0</v>
      </c>
      <c r="AH410" s="56">
        <f t="shared" si="68"/>
        <v>0</v>
      </c>
      <c r="AI410" s="56">
        <f t="shared" si="68"/>
        <v>0</v>
      </c>
      <c r="AJ410" s="56">
        <f t="shared" si="68"/>
        <v>0</v>
      </c>
      <c r="AK410" s="56">
        <f t="shared" si="68"/>
        <v>0</v>
      </c>
      <c r="AL410" s="56">
        <f t="shared" si="68"/>
        <v>0</v>
      </c>
      <c r="AM410" s="56">
        <f t="shared" si="68"/>
        <v>0</v>
      </c>
      <c r="AN410" s="56">
        <f t="shared" si="68"/>
        <v>0</v>
      </c>
      <c r="AO410" s="56">
        <f t="shared" si="68"/>
        <v>0</v>
      </c>
      <c r="AP410" s="56">
        <f t="shared" si="68"/>
        <v>0</v>
      </c>
    </row>
    <row r="411" spans="1:42" outlineLevel="1" x14ac:dyDescent="0.25">
      <c r="A411" s="54"/>
      <c r="B411" s="13"/>
      <c r="C411" s="14" t="s">
        <v>485</v>
      </c>
      <c r="D411" s="14"/>
      <c r="E411" s="70" t="s">
        <v>474</v>
      </c>
      <c r="F411" s="200">
        <f>Data!$E$40/1000</f>
        <v>605.20914606741576</v>
      </c>
      <c r="G411" s="56"/>
      <c r="H411" s="56"/>
      <c r="I411" s="56">
        <f t="shared" si="69"/>
        <v>16350.387471199676</v>
      </c>
      <c r="J411" s="56">
        <f t="shared" si="68"/>
        <v>16350.387471199676</v>
      </c>
      <c r="K411" s="56">
        <f t="shared" si="68"/>
        <v>16350.387471199676</v>
      </c>
      <c r="L411" s="56">
        <f t="shared" si="68"/>
        <v>16350.387471199676</v>
      </c>
      <c r="M411" s="56">
        <f t="shared" si="68"/>
        <v>16350.387471199676</v>
      </c>
      <c r="N411" s="56">
        <f t="shared" si="68"/>
        <v>16350.387471199676</v>
      </c>
      <c r="O411" s="56">
        <f t="shared" si="68"/>
        <v>16350.387471199676</v>
      </c>
      <c r="P411" s="56">
        <f t="shared" si="68"/>
        <v>16350.387471199676</v>
      </c>
      <c r="Q411" s="56">
        <f t="shared" si="68"/>
        <v>16350.387471199676</v>
      </c>
      <c r="R411" s="56">
        <f t="shared" si="68"/>
        <v>16350.387471199676</v>
      </c>
      <c r="S411" s="56">
        <f t="shared" si="68"/>
        <v>16350.387471199676</v>
      </c>
      <c r="T411" s="56">
        <f t="shared" si="68"/>
        <v>16350.387471199676</v>
      </c>
      <c r="U411" s="56">
        <f t="shared" si="68"/>
        <v>0</v>
      </c>
      <c r="V411" s="56">
        <f t="shared" si="68"/>
        <v>0</v>
      </c>
      <c r="W411" s="56">
        <f t="shared" si="68"/>
        <v>0</v>
      </c>
      <c r="X411" s="56">
        <f t="shared" si="68"/>
        <v>0</v>
      </c>
      <c r="Y411" s="56">
        <f t="shared" si="68"/>
        <v>0</v>
      </c>
      <c r="Z411" s="56">
        <f t="shared" si="68"/>
        <v>0</v>
      </c>
      <c r="AA411" s="56">
        <f t="shared" si="68"/>
        <v>0</v>
      </c>
      <c r="AB411" s="56">
        <f t="shared" si="68"/>
        <v>0</v>
      </c>
      <c r="AC411" s="56">
        <f t="shared" si="68"/>
        <v>0</v>
      </c>
      <c r="AD411" s="56">
        <f t="shared" si="68"/>
        <v>0</v>
      </c>
      <c r="AE411" s="56">
        <f t="shared" si="68"/>
        <v>0</v>
      </c>
      <c r="AF411" s="56">
        <f t="shared" si="68"/>
        <v>0</v>
      </c>
      <c r="AG411" s="56">
        <f t="shared" si="68"/>
        <v>0</v>
      </c>
      <c r="AH411" s="56">
        <f t="shared" si="68"/>
        <v>0</v>
      </c>
      <c r="AI411" s="56">
        <f t="shared" si="68"/>
        <v>0</v>
      </c>
      <c r="AJ411" s="56">
        <f t="shared" si="68"/>
        <v>0</v>
      </c>
      <c r="AK411" s="56">
        <f t="shared" si="68"/>
        <v>0</v>
      </c>
      <c r="AL411" s="56">
        <f t="shared" si="68"/>
        <v>0</v>
      </c>
      <c r="AM411" s="56">
        <f t="shared" si="68"/>
        <v>0</v>
      </c>
      <c r="AN411" s="56">
        <f t="shared" si="68"/>
        <v>0</v>
      </c>
      <c r="AO411" s="56">
        <f t="shared" si="68"/>
        <v>0</v>
      </c>
      <c r="AP411" s="56">
        <f t="shared" si="68"/>
        <v>0</v>
      </c>
    </row>
    <row r="412" spans="1:42" outlineLevel="1" x14ac:dyDescent="0.25">
      <c r="A412" s="54"/>
      <c r="B412" s="13"/>
      <c r="C412" s="14" t="s">
        <v>214</v>
      </c>
      <c r="D412" s="14"/>
      <c r="E412" s="70" t="s">
        <v>474</v>
      </c>
      <c r="F412" s="200">
        <f>Data!$E$41/1000</f>
        <v>0</v>
      </c>
      <c r="G412" s="56"/>
      <c r="H412" s="56"/>
      <c r="I412" s="56">
        <f t="shared" si="69"/>
        <v>0</v>
      </c>
      <c r="J412" s="56">
        <f t="shared" si="68"/>
        <v>0</v>
      </c>
      <c r="K412" s="56">
        <f t="shared" si="68"/>
        <v>0</v>
      </c>
      <c r="L412" s="56">
        <f t="shared" si="68"/>
        <v>0</v>
      </c>
      <c r="M412" s="56">
        <f t="shared" si="68"/>
        <v>0</v>
      </c>
      <c r="N412" s="56">
        <f t="shared" si="68"/>
        <v>0</v>
      </c>
      <c r="O412" s="56">
        <f t="shared" si="68"/>
        <v>0</v>
      </c>
      <c r="P412" s="56">
        <f t="shared" si="68"/>
        <v>0</v>
      </c>
      <c r="Q412" s="56">
        <f t="shared" si="68"/>
        <v>0</v>
      </c>
      <c r="R412" s="56">
        <f t="shared" si="68"/>
        <v>0</v>
      </c>
      <c r="S412" s="56">
        <f t="shared" si="68"/>
        <v>0</v>
      </c>
      <c r="T412" s="56">
        <f t="shared" si="68"/>
        <v>0</v>
      </c>
      <c r="U412" s="56">
        <f t="shared" si="68"/>
        <v>0</v>
      </c>
      <c r="V412" s="56">
        <f t="shared" si="68"/>
        <v>0</v>
      </c>
      <c r="W412" s="56">
        <f t="shared" si="68"/>
        <v>0</v>
      </c>
      <c r="X412" s="56">
        <f t="shared" si="68"/>
        <v>0</v>
      </c>
      <c r="Y412" s="56">
        <f t="shared" si="68"/>
        <v>0</v>
      </c>
      <c r="Z412" s="56">
        <f t="shared" si="68"/>
        <v>0</v>
      </c>
      <c r="AA412" s="56">
        <f t="shared" si="68"/>
        <v>0</v>
      </c>
      <c r="AB412" s="56">
        <f t="shared" si="68"/>
        <v>0</v>
      </c>
      <c r="AC412" s="56">
        <f t="shared" si="68"/>
        <v>0</v>
      </c>
      <c r="AD412" s="56">
        <f t="shared" si="68"/>
        <v>0</v>
      </c>
      <c r="AE412" s="56">
        <f t="shared" si="68"/>
        <v>0</v>
      </c>
      <c r="AF412" s="56">
        <f t="shared" si="68"/>
        <v>0</v>
      </c>
      <c r="AG412" s="56">
        <f t="shared" si="68"/>
        <v>0</v>
      </c>
      <c r="AH412" s="56">
        <f t="shared" si="68"/>
        <v>0</v>
      </c>
      <c r="AI412" s="56">
        <f t="shared" si="68"/>
        <v>0</v>
      </c>
      <c r="AJ412" s="56">
        <f t="shared" si="68"/>
        <v>0</v>
      </c>
      <c r="AK412" s="56">
        <f t="shared" si="68"/>
        <v>0</v>
      </c>
      <c r="AL412" s="56">
        <f t="shared" si="68"/>
        <v>0</v>
      </c>
      <c r="AM412" s="56">
        <f t="shared" si="68"/>
        <v>0</v>
      </c>
      <c r="AN412" s="56">
        <f t="shared" si="68"/>
        <v>0</v>
      </c>
      <c r="AO412" s="56">
        <f t="shared" si="68"/>
        <v>0</v>
      </c>
      <c r="AP412" s="56">
        <f t="shared" si="68"/>
        <v>0</v>
      </c>
    </row>
    <row r="413" spans="1:42" ht="13.5" customHeight="1" outlineLevel="1" x14ac:dyDescent="0.25">
      <c r="A413" s="12"/>
      <c r="B413" s="13"/>
      <c r="C413" s="20" t="s">
        <v>536</v>
      </c>
      <c r="D413" s="14"/>
      <c r="E413" s="70" t="s">
        <v>474</v>
      </c>
      <c r="F413" s="16"/>
      <c r="G413" s="159"/>
      <c r="H413" s="56"/>
      <c r="I413" s="185">
        <f>SUM(I406:I412)</f>
        <v>397559.50267661153</v>
      </c>
      <c r="J413" s="185">
        <f t="shared" ref="J413:AP413" si="70">SUM(J406:J412)</f>
        <v>399671.58919247368</v>
      </c>
      <c r="K413" s="185">
        <f t="shared" si="70"/>
        <v>401572.46705674968</v>
      </c>
      <c r="L413" s="185">
        <f t="shared" si="70"/>
        <v>403684.55357261183</v>
      </c>
      <c r="M413" s="185">
        <f t="shared" si="70"/>
        <v>405796.64008847403</v>
      </c>
      <c r="N413" s="185">
        <f t="shared" si="70"/>
        <v>407908.72660433623</v>
      </c>
      <c r="O413" s="185">
        <f t="shared" si="70"/>
        <v>409809.60446861217</v>
      </c>
      <c r="P413" s="185">
        <f t="shared" si="70"/>
        <v>411076.85637812951</v>
      </c>
      <c r="Q413" s="185">
        <f t="shared" si="70"/>
        <v>412344.10828764678</v>
      </c>
      <c r="R413" s="185">
        <f t="shared" si="70"/>
        <v>413822.56884875032</v>
      </c>
      <c r="S413" s="185">
        <f t="shared" si="70"/>
        <v>415089.82075826766</v>
      </c>
      <c r="T413" s="185">
        <f t="shared" si="70"/>
        <v>416357.07266778493</v>
      </c>
      <c r="U413" s="185">
        <f t="shared" si="70"/>
        <v>0</v>
      </c>
      <c r="V413" s="185">
        <f t="shared" si="70"/>
        <v>0</v>
      </c>
      <c r="W413" s="185">
        <f t="shared" si="70"/>
        <v>0</v>
      </c>
      <c r="X413" s="185">
        <f t="shared" si="70"/>
        <v>0</v>
      </c>
      <c r="Y413" s="185">
        <f t="shared" si="70"/>
        <v>0</v>
      </c>
      <c r="Z413" s="185">
        <f t="shared" si="70"/>
        <v>0</v>
      </c>
      <c r="AA413" s="185">
        <f t="shared" si="70"/>
        <v>0</v>
      </c>
      <c r="AB413" s="185">
        <f t="shared" si="70"/>
        <v>0</v>
      </c>
      <c r="AC413" s="185">
        <f t="shared" si="70"/>
        <v>0</v>
      </c>
      <c r="AD413" s="185">
        <f t="shared" si="70"/>
        <v>0</v>
      </c>
      <c r="AE413" s="185">
        <f t="shared" si="70"/>
        <v>0</v>
      </c>
      <c r="AF413" s="185">
        <f t="shared" si="70"/>
        <v>0</v>
      </c>
      <c r="AG413" s="185">
        <f t="shared" si="70"/>
        <v>0</v>
      </c>
      <c r="AH413" s="185">
        <f t="shared" si="70"/>
        <v>0</v>
      </c>
      <c r="AI413" s="185">
        <f t="shared" si="70"/>
        <v>0</v>
      </c>
      <c r="AJ413" s="185">
        <f t="shared" si="70"/>
        <v>0</v>
      </c>
      <c r="AK413" s="185">
        <f t="shared" si="70"/>
        <v>0</v>
      </c>
      <c r="AL413" s="185">
        <f t="shared" si="70"/>
        <v>0</v>
      </c>
      <c r="AM413" s="185">
        <f t="shared" si="70"/>
        <v>0</v>
      </c>
      <c r="AN413" s="185">
        <f t="shared" si="70"/>
        <v>0</v>
      </c>
      <c r="AO413" s="185">
        <f t="shared" si="70"/>
        <v>0</v>
      </c>
      <c r="AP413" s="185">
        <f t="shared" si="70"/>
        <v>0</v>
      </c>
    </row>
    <row r="414" spans="1:42" outlineLevel="1" x14ac:dyDescent="0.25">
      <c r="A414" s="12"/>
      <c r="B414" s="13"/>
      <c r="C414" s="14"/>
      <c r="D414" s="14"/>
      <c r="E414" s="15"/>
      <c r="F414" s="16"/>
      <c r="G414" s="159"/>
      <c r="H414" s="56"/>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row>
    <row r="415" spans="1:42" outlineLevel="1" x14ac:dyDescent="0.25">
      <c r="A415" s="12"/>
      <c r="B415" s="13"/>
      <c r="C415" s="14" t="s">
        <v>487</v>
      </c>
      <c r="D415" s="14"/>
      <c r="E415" s="15" t="s">
        <v>474</v>
      </c>
      <c r="F415" s="48"/>
      <c r="G415" s="185"/>
      <c r="H415" s="185"/>
      <c r="I415" s="185">
        <f>I413*Data!H$9</f>
        <v>382268.75257366488</v>
      </c>
      <c r="J415" s="185">
        <f>J413*Data!I$9</f>
        <v>369518.85095457989</v>
      </c>
      <c r="K415" s="185">
        <f>K413*Data!J$9</f>
        <v>356996.46095594636</v>
      </c>
      <c r="L415" s="185">
        <f>L413*Data!K$9</f>
        <v>345071.24824783241</v>
      </c>
      <c r="M415" s="185">
        <f>M413*Data!L$9</f>
        <v>333535.25832058536</v>
      </c>
      <c r="N415" s="185">
        <f>N413*Data!M$9</f>
        <v>322376.19180749368</v>
      </c>
      <c r="O415" s="185">
        <f>O413*Data!N$9</f>
        <v>311421.61845699028</v>
      </c>
      <c r="P415" s="185">
        <f>P413*Data!O$9</f>
        <v>300369.83245850651</v>
      </c>
      <c r="Q415" s="185">
        <f>Q413*Data!P$9</f>
        <v>289707.50097698154</v>
      </c>
      <c r="R415" s="185">
        <f>R413*Data!Q$9</f>
        <v>279563.69976566278</v>
      </c>
      <c r="S415" s="185">
        <f>S413*Data!R$9</f>
        <v>269634.43245058542</v>
      </c>
      <c r="T415" s="185">
        <f>T413*Data!S$9</f>
        <v>260055.39916009124</v>
      </c>
      <c r="U415" s="185">
        <f>U413*Data!T$9</f>
        <v>0</v>
      </c>
      <c r="V415" s="185">
        <f>V413*Data!U$9</f>
        <v>0</v>
      </c>
      <c r="W415" s="185">
        <f>W413*Data!V$9</f>
        <v>0</v>
      </c>
      <c r="X415" s="185">
        <f>X413*Data!W$9</f>
        <v>0</v>
      </c>
      <c r="Y415" s="185">
        <f>Y413*Data!X$9</f>
        <v>0</v>
      </c>
      <c r="Z415" s="185">
        <f>Z413*Data!Y$9</f>
        <v>0</v>
      </c>
      <c r="AA415" s="185">
        <f>AA413*Data!Z$9</f>
        <v>0</v>
      </c>
      <c r="AB415" s="185">
        <f>AB413*Data!AA$9</f>
        <v>0</v>
      </c>
      <c r="AC415" s="185">
        <f>AC413*Data!AB$9</f>
        <v>0</v>
      </c>
      <c r="AD415" s="185">
        <f>AD413*Data!AC$9</f>
        <v>0</v>
      </c>
      <c r="AE415" s="185">
        <f>AE413*Data!AD$9</f>
        <v>0</v>
      </c>
      <c r="AF415" s="185">
        <f>AF413*Data!AE$9</f>
        <v>0</v>
      </c>
      <c r="AG415" s="185">
        <f>AG413*Data!AF$9</f>
        <v>0</v>
      </c>
      <c r="AH415" s="185">
        <f>AH413*Data!AG$9</f>
        <v>0</v>
      </c>
      <c r="AI415" s="185">
        <f>AI413*Data!AH$9</f>
        <v>0</v>
      </c>
      <c r="AJ415" s="185">
        <f>AJ413*Data!AI$9</f>
        <v>0</v>
      </c>
      <c r="AK415" s="185">
        <f>AK413*Data!AJ$9</f>
        <v>0</v>
      </c>
      <c r="AL415" s="185">
        <f>AL413*Data!AK$9</f>
        <v>0</v>
      </c>
      <c r="AM415" s="185">
        <f>AM413*Data!AL$9</f>
        <v>0</v>
      </c>
      <c r="AN415" s="185">
        <f>AN413*Data!AM$9</f>
        <v>0</v>
      </c>
      <c r="AO415" s="185">
        <f>AO413*Data!AN$9</f>
        <v>0</v>
      </c>
      <c r="AP415" s="185">
        <f>AP413*Data!AO$9</f>
        <v>0</v>
      </c>
    </row>
    <row r="416" spans="1:42" outlineLevel="1" x14ac:dyDescent="0.25">
      <c r="A416" s="12"/>
      <c r="B416" s="13"/>
      <c r="C416" s="14" t="s">
        <v>488</v>
      </c>
      <c r="D416" s="13"/>
      <c r="E416" s="15" t="s">
        <v>142</v>
      </c>
      <c r="F416" s="16"/>
      <c r="G416" s="159">
        <f>SUM(H415:AP415)</f>
        <v>3820519.2461289205</v>
      </c>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row>
    <row r="417" spans="1:42" outlineLevel="1" x14ac:dyDescent="0.25">
      <c r="A417" s="12"/>
      <c r="B417" s="13"/>
      <c r="C417" s="20" t="s">
        <v>488</v>
      </c>
      <c r="D417" s="19"/>
      <c r="E417" s="15" t="s">
        <v>261</v>
      </c>
      <c r="F417" s="16"/>
      <c r="G417" s="183">
        <f>G416/(SUM(H396:AO396))</f>
        <v>3.4014594427785974</v>
      </c>
      <c r="H417" s="14"/>
      <c r="I417" s="159"/>
      <c r="J417" s="159"/>
      <c r="K417" s="159"/>
      <c r="L417" s="159"/>
      <c r="M417" s="159"/>
      <c r="N417" s="159"/>
      <c r="O417" s="159"/>
      <c r="P417" s="159"/>
      <c r="Q417" s="159"/>
      <c r="R417" s="159"/>
      <c r="S417" s="159"/>
      <c r="T417" s="159"/>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row>
    <row r="418" spans="1:42" outlineLevel="1" x14ac:dyDescent="0.25">
      <c r="A418" s="12"/>
      <c r="B418" s="13"/>
      <c r="C418" s="14"/>
      <c r="D418" s="14"/>
      <c r="E418" s="15"/>
      <c r="F418" s="16"/>
      <c r="G418" s="14"/>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17"/>
    </row>
    <row r="419" spans="1:42" ht="18.75" outlineLevel="1" x14ac:dyDescent="0.3">
      <c r="A419" s="12"/>
      <c r="B419" s="13"/>
      <c r="C419" s="205" t="s">
        <v>524</v>
      </c>
      <c r="D419" s="14"/>
      <c r="E419" s="15" t="s">
        <v>261</v>
      </c>
      <c r="F419" s="16"/>
      <c r="G419" s="204">
        <f>G361+G368+G391-G417</f>
        <v>-2.0702865293263208</v>
      </c>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17"/>
    </row>
    <row r="420" spans="1:42" outlineLevel="1" x14ac:dyDescent="0.25">
      <c r="A420" s="12"/>
      <c r="B420" s="13"/>
      <c r="C420" s="14"/>
      <c r="D420" s="14"/>
      <c r="E420" s="15"/>
      <c r="F420" s="16"/>
      <c r="G420" s="14"/>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17"/>
    </row>
    <row r="421" spans="1:42" outlineLevel="1" x14ac:dyDescent="0.25">
      <c r="A421" s="23"/>
      <c r="B421" s="23"/>
      <c r="C421" s="24" t="s">
        <v>525</v>
      </c>
      <c r="D421" s="24"/>
      <c r="E421" s="25"/>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7"/>
    </row>
    <row r="422" spans="1:42" outlineLevel="1" x14ac:dyDescent="0.25">
      <c r="A422" s="12"/>
      <c r="B422" s="13"/>
      <c r="C422" s="13"/>
      <c r="D422" s="14"/>
      <c r="E422" s="15"/>
      <c r="F422" s="16"/>
      <c r="G422" s="14"/>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17"/>
    </row>
    <row r="423" spans="1:42" outlineLevel="1" x14ac:dyDescent="0.25">
      <c r="A423" s="12"/>
      <c r="B423" s="13"/>
      <c r="C423" s="37" t="s">
        <v>537</v>
      </c>
      <c r="D423" s="37"/>
      <c r="E423" s="38"/>
      <c r="F423" s="39"/>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17"/>
    </row>
    <row r="424" spans="1:42" outlineLevel="1" x14ac:dyDescent="0.25">
      <c r="A424" s="12"/>
      <c r="B424" s="13"/>
      <c r="C424" s="96" t="s">
        <v>526</v>
      </c>
      <c r="D424" s="14"/>
      <c r="E424" s="15" t="s">
        <v>142</v>
      </c>
      <c r="F424" s="16"/>
      <c r="G424" s="141">
        <f>G360</f>
        <v>1472911.2483182943</v>
      </c>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17"/>
    </row>
    <row r="425" spans="1:42" outlineLevel="1" x14ac:dyDescent="0.25">
      <c r="A425" s="12"/>
      <c r="B425" s="13"/>
      <c r="C425" s="96" t="s">
        <v>527</v>
      </c>
      <c r="D425" s="14"/>
      <c r="E425" s="15" t="s">
        <v>474</v>
      </c>
      <c r="F425" s="16"/>
      <c r="G425" s="151">
        <f>G424/Dashboard!$I$32</f>
        <v>122742.60402652452</v>
      </c>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17"/>
    </row>
    <row r="426" spans="1:42" outlineLevel="1" x14ac:dyDescent="0.25">
      <c r="A426" s="12"/>
      <c r="B426" s="13"/>
      <c r="C426" s="96" t="s">
        <v>528</v>
      </c>
      <c r="D426" s="14"/>
      <c r="E426" s="15" t="s">
        <v>529</v>
      </c>
      <c r="F426" s="16"/>
      <c r="G426" s="151">
        <f>SUM(I373:AN373)</f>
        <v>163525.58533191882</v>
      </c>
      <c r="H426" s="14"/>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17"/>
    </row>
    <row r="427" spans="1:42" outlineLevel="1" x14ac:dyDescent="0.25">
      <c r="A427" s="12"/>
      <c r="B427" s="13"/>
      <c r="C427" s="96" t="s">
        <v>530</v>
      </c>
      <c r="D427" s="14"/>
      <c r="E427" s="15" t="s">
        <v>531</v>
      </c>
      <c r="F427" s="16"/>
      <c r="G427" s="151">
        <f>G426/Dashboard!$I$32</f>
        <v>13627.132110993234</v>
      </c>
      <c r="H427" s="14"/>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17"/>
    </row>
    <row r="428" spans="1:42" outlineLevel="1" x14ac:dyDescent="0.25">
      <c r="A428" s="12"/>
      <c r="B428" s="13"/>
      <c r="C428" s="96" t="s">
        <v>552</v>
      </c>
      <c r="D428" s="14"/>
      <c r="E428" s="15" t="s">
        <v>531</v>
      </c>
      <c r="F428" s="16"/>
      <c r="G428" s="151">
        <f>SUM(I399:AP399)/Dashboard!$I$32</f>
        <v>211208.65158621827</v>
      </c>
      <c r="H428" s="14"/>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17"/>
    </row>
    <row r="429" spans="1:42" outlineLevel="1" x14ac:dyDescent="0.25">
      <c r="A429" s="12"/>
      <c r="B429" s="13"/>
      <c r="C429" s="14"/>
      <c r="D429" s="14"/>
      <c r="E429" s="15"/>
      <c r="F429" s="16"/>
      <c r="G429" s="14"/>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29"/>
    </row>
    <row r="430" spans="1:42" outlineLevel="1" x14ac:dyDescent="0.25">
      <c r="A430" s="12"/>
      <c r="B430" s="13"/>
      <c r="C430" s="37" t="s">
        <v>553</v>
      </c>
      <c r="D430" s="37"/>
      <c r="E430" s="38"/>
      <c r="F430" s="39"/>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17"/>
    </row>
    <row r="431" spans="1:42" outlineLevel="1" x14ac:dyDescent="0.25">
      <c r="A431" s="12"/>
      <c r="B431" s="13"/>
      <c r="C431" s="14" t="s">
        <v>539</v>
      </c>
      <c r="D431" s="14"/>
      <c r="E431" s="15" t="s">
        <v>142</v>
      </c>
      <c r="F431" s="16"/>
      <c r="G431" s="177">
        <f>G425-'Diesel (BAU)'!G268</f>
        <v>-213915.27708837658</v>
      </c>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17"/>
    </row>
    <row r="432" spans="1:42" outlineLevel="1" x14ac:dyDescent="0.25">
      <c r="A432" s="12"/>
      <c r="B432" s="13"/>
      <c r="C432" s="14" t="s">
        <v>540</v>
      </c>
      <c r="D432" s="44"/>
      <c r="E432" s="15" t="s">
        <v>529</v>
      </c>
      <c r="F432" s="16"/>
      <c r="G432" s="177">
        <f>('Diesel (BAU)'!G270-Repowered!G427)+G428</f>
        <v>408790.17106144328</v>
      </c>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17"/>
    </row>
    <row r="433" spans="1:42" ht="18.75" outlineLevel="1" x14ac:dyDescent="0.3">
      <c r="A433" s="12"/>
      <c r="B433" s="13"/>
      <c r="C433" s="221" t="s">
        <v>542</v>
      </c>
      <c r="D433" s="45"/>
      <c r="E433" s="15"/>
      <c r="F433" s="16"/>
      <c r="G433" s="220">
        <f>G431/G432</f>
        <v>-0.5232886997574705</v>
      </c>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29"/>
    </row>
  </sheetData>
  <conditionalFormatting sqref="G73">
    <cfRule type="expression" dxfId="588" priority="236">
      <formula>H$2&gt;=start_proj</formula>
    </cfRule>
  </conditionalFormatting>
  <conditionalFormatting sqref="G119:G125 I119:AP125">
    <cfRule type="expression" dxfId="587" priority="65">
      <formula>ISNA(G119)</formula>
    </cfRule>
    <cfRule type="expression" dxfId="586" priority="66">
      <formula>G$2&gt;=start_proj</formula>
    </cfRule>
  </conditionalFormatting>
  <conditionalFormatting sqref="G144:G147">
    <cfRule type="expression" dxfId="585" priority="158">
      <formula>ISNA(G144)</formula>
    </cfRule>
    <cfRule type="expression" dxfId="584" priority="159">
      <formula>H$2&gt;=start_proj</formula>
    </cfRule>
  </conditionalFormatting>
  <conditionalFormatting sqref="G215">
    <cfRule type="expression" dxfId="583" priority="124">
      <formula>H$2&gt;=start_proj</formula>
    </cfRule>
  </conditionalFormatting>
  <conditionalFormatting sqref="G220:G222">
    <cfRule type="expression" dxfId="582" priority="104">
      <formula>ISNA(G220)</formula>
    </cfRule>
    <cfRule type="expression" dxfId="581" priority="105">
      <formula>G$2&gt;=start_proj</formula>
    </cfRule>
  </conditionalFormatting>
  <conditionalFormatting sqref="G261:G267 I261:AP267">
    <cfRule type="expression" dxfId="580" priority="59">
      <formula>ISNA(G261)</formula>
    </cfRule>
    <cfRule type="expression" dxfId="579" priority="60">
      <formula>G$2&gt;=start_proj</formula>
    </cfRule>
  </conditionalFormatting>
  <conditionalFormatting sqref="G287:G290">
    <cfRule type="expression" dxfId="578" priority="127">
      <formula>ISNA(G287)</formula>
    </cfRule>
    <cfRule type="expression" dxfId="577" priority="128">
      <formula>H$2&gt;=start_proj</formula>
    </cfRule>
  </conditionalFormatting>
  <conditionalFormatting sqref="G360">
    <cfRule type="expression" dxfId="576" priority="89">
      <formula>H$2&gt;=start_proj</formula>
    </cfRule>
  </conditionalFormatting>
  <conditionalFormatting sqref="G365:G367">
    <cfRule type="expression" dxfId="575" priority="69">
      <formula>ISNA(G365)</formula>
    </cfRule>
    <cfRule type="expression" dxfId="574" priority="70">
      <formula>G$2&gt;=start_proj</formula>
    </cfRule>
  </conditionalFormatting>
  <conditionalFormatting sqref="G406:G412 I406:AP412">
    <cfRule type="expression" dxfId="573" priority="55">
      <formula>ISNA(G406)</formula>
    </cfRule>
    <cfRule type="expression" dxfId="572" priority="56">
      <formula>G$2&gt;=start_proj</formula>
    </cfRule>
  </conditionalFormatting>
  <conditionalFormatting sqref="G431:G433">
    <cfRule type="expression" dxfId="571" priority="92">
      <formula>ISNA(G431)</formula>
    </cfRule>
    <cfRule type="expression" dxfId="570" priority="93">
      <formula>H$2&gt;=start_proj</formula>
    </cfRule>
  </conditionalFormatting>
  <conditionalFormatting sqref="AP93:AP99">
    <cfRule type="expression" dxfId="569" priority="184">
      <formula>ISNA(AP93)</formula>
    </cfRule>
    <cfRule type="expression" dxfId="568" priority="185">
      <formula>AP$2&gt;=start_proj</formula>
    </cfRule>
  </conditionalFormatting>
  <conditionalFormatting sqref="G380:H386 AP380:AP386">
    <cfRule type="expression" dxfId="567" priority="73">
      <formula>ISNA(G380)</formula>
    </cfRule>
    <cfRule type="expression" dxfId="566" priority="74">
      <formula>G$2&gt;=start_proj</formula>
    </cfRule>
  </conditionalFormatting>
  <conditionalFormatting sqref="AP85:AP91 I85:AO99">
    <cfRule type="expression" dxfId="565" priority="182">
      <formula>ISNA(I85)</formula>
    </cfRule>
    <cfRule type="expression" dxfId="564" priority="183">
      <formula>I$2&gt;=start_proj</formula>
    </cfRule>
  </conditionalFormatting>
  <conditionalFormatting sqref="G227:AN227 AO227:AP233 G228:H233 I228:AN235 I236:AP241">
    <cfRule type="expression" dxfId="563" priority="106">
      <formula>ISNA(G227)</formula>
    </cfRule>
    <cfRule type="expression" dxfId="562" priority="107">
      <formula>G$2&gt;=start_proj</formula>
    </cfRule>
  </conditionalFormatting>
  <conditionalFormatting sqref="G111:AP117 H118:H127">
    <cfRule type="expression" dxfId="561" priority="63">
      <formula>ISNA(G111)</formula>
    </cfRule>
    <cfRule type="expression" dxfId="560" priority="64">
      <formula>G$2&gt;=start_proj</formula>
    </cfRule>
  </conditionalFormatting>
  <conditionalFormatting sqref="G253:AP259 H260:H269">
    <cfRule type="expression" dxfId="559" priority="57">
      <formula>ISNA(G253)</formula>
    </cfRule>
    <cfRule type="expression" dxfId="558" priority="58">
      <formula>G$2&gt;=start_proj</formula>
    </cfRule>
  </conditionalFormatting>
  <conditionalFormatting sqref="G372:AP378 I379:AO386">
    <cfRule type="expression" dxfId="557" priority="71">
      <formula>ISNA(G372)</formula>
    </cfRule>
    <cfRule type="expression" dxfId="556" priority="72">
      <formula>G$2&gt;=start_proj</formula>
    </cfRule>
  </conditionalFormatting>
  <conditionalFormatting sqref="G398:AP404 H405:H414">
    <cfRule type="expression" dxfId="555" priority="53">
      <formula>ISNA(G398)</formula>
    </cfRule>
    <cfRule type="expression" dxfId="554" priority="54">
      <formula>G$2&gt;=start_proj</formula>
    </cfRule>
  </conditionalFormatting>
  <conditionalFormatting sqref="H34:H37">
    <cfRule type="expression" dxfId="553" priority="47">
      <formula>ISNA(H34)</formula>
    </cfRule>
    <cfRule type="expression" dxfId="552" priority="48">
      <formula>H$2&gt;=start_proj</formula>
    </cfRule>
  </conditionalFormatting>
  <conditionalFormatting sqref="H174:H177">
    <cfRule type="expression" dxfId="551" priority="45">
      <formula>ISNA(H174)</formula>
    </cfRule>
    <cfRule type="expression" dxfId="550" priority="46">
      <formula>H$2&gt;=start_proj</formula>
    </cfRule>
  </conditionalFormatting>
  <conditionalFormatting sqref="H318:H321">
    <cfRule type="expression" dxfId="549" priority="41">
      <formula>ISNA(H318)</formula>
    </cfRule>
    <cfRule type="expression" dxfId="548" priority="42">
      <formula>H$2&gt;=start_proj</formula>
    </cfRule>
  </conditionalFormatting>
  <conditionalFormatting sqref="H57:AO61 H71:AP71 H72:AO72 G73 H131:AO133 H199:AO203 H213:AP213 H214:AO214 G215 I215:AO215">
    <cfRule type="expression" dxfId="547" priority="233">
      <formula>ISNA(G57)</formula>
    </cfRule>
  </conditionalFormatting>
  <conditionalFormatting sqref="H57:AO61 H71:AP71 H72:AO72 H131:AO133 H199:AO203 H213:AP213 H214:AO214 I215:AO215">
    <cfRule type="expression" dxfId="546" priority="235">
      <formula>H$2&gt;=start_proj</formula>
    </cfRule>
  </conditionalFormatting>
  <conditionalFormatting sqref="H135:AO135">
    <cfRule type="expression" dxfId="545" priority="175">
      <formula>ISNA(H135)</formula>
    </cfRule>
    <cfRule type="expression" dxfId="544" priority="176">
      <formula>H$2&gt;=start_proj</formula>
    </cfRule>
  </conditionalFormatting>
  <conditionalFormatting sqref="H273:AO276">
    <cfRule type="expression" dxfId="543" priority="61">
      <formula>ISNA(H273)</formula>
    </cfRule>
    <cfRule type="expression" dxfId="542" priority="62">
      <formula>H$2&gt;=start_proj</formula>
    </cfRule>
  </conditionalFormatting>
  <conditionalFormatting sqref="H278:AO278">
    <cfRule type="expression" dxfId="541" priority="133">
      <formula>ISNA(H278)</formula>
    </cfRule>
    <cfRule type="expression" dxfId="540" priority="134">
      <formula>H$2&gt;=start_proj</formula>
    </cfRule>
  </conditionalFormatting>
  <conditionalFormatting sqref="H344:AO348">
    <cfRule type="expression" dxfId="539" priority="5">
      <formula>ISNA(H344)</formula>
    </cfRule>
    <cfRule type="expression" dxfId="538" priority="6">
      <formula>H$2&gt;=start_proj</formula>
    </cfRule>
  </conditionalFormatting>
  <conditionalFormatting sqref="H422:AO422">
    <cfRule type="expression" dxfId="537" priority="98">
      <formula>ISNA(H422)</formula>
    </cfRule>
    <cfRule type="expression" dxfId="536" priority="99">
      <formula>H$2&gt;=start_proj</formula>
    </cfRule>
  </conditionalFormatting>
  <conditionalFormatting sqref="H2:AP3">
    <cfRule type="cellIs" dxfId="535" priority="190" operator="equal">
      <formula>end_proj</formula>
    </cfRule>
    <cfRule type="expression" dxfId="534" priority="191">
      <formula>ISNA(H2)</formula>
    </cfRule>
    <cfRule type="cellIs" dxfId="533" priority="192" operator="equal">
      <formula>start_proj</formula>
    </cfRule>
    <cfRule type="cellIs" dxfId="532" priority="195" operator="equal">
      <formula>start_hist</formula>
    </cfRule>
    <cfRule type="cellIs" dxfId="531" priority="196" operator="greaterThan">
      <formula>start_proj</formula>
    </cfRule>
  </conditionalFormatting>
  <conditionalFormatting sqref="H23:AP26 H78:AP81">
    <cfRule type="expression" dxfId="530" priority="231">
      <formula>ISNA(H23)</formula>
    </cfRule>
    <cfRule type="expression" dxfId="529" priority="232">
      <formula>H$2&gt;=start_proj</formula>
    </cfRule>
  </conditionalFormatting>
  <conditionalFormatting sqref="H28:AP32">
    <cfRule type="expression" dxfId="528" priority="37">
      <formula>ISNA(H28)</formula>
    </cfRule>
    <cfRule type="expression" dxfId="527" priority="38">
      <formula>H$2&gt;=start_proj</formula>
    </cfRule>
  </conditionalFormatting>
  <conditionalFormatting sqref="H38:AP38 I43:AP43 G78:G80">
    <cfRule type="expression" dxfId="526" priority="180">
      <formula>ISNA(G38)</formula>
    </cfRule>
    <cfRule type="expression" dxfId="525" priority="181">
      <formula>G$2&gt;=start_proj</formula>
    </cfRule>
  </conditionalFormatting>
  <conditionalFormatting sqref="H47:AP54">
    <cfRule type="expression" dxfId="524" priority="229">
      <formula>ISNA(H47)</formula>
    </cfRule>
    <cfRule type="expression" dxfId="523" priority="230">
      <formula>H$2&gt;=start_proj</formula>
    </cfRule>
  </conditionalFormatting>
  <conditionalFormatting sqref="H63:AP64">
    <cfRule type="expression" dxfId="522" priority="186">
      <formula>ISNA(H63)</formula>
    </cfRule>
    <cfRule type="expression" dxfId="521" priority="187">
      <formula>H$2&gt;=start_proj</formula>
    </cfRule>
  </conditionalFormatting>
  <conditionalFormatting sqref="H66:AP67">
    <cfRule type="expression" dxfId="520" priority="15">
      <formula>ISNA(H66)</formula>
    </cfRule>
    <cfRule type="expression" dxfId="519" priority="16">
      <formula>H$2&gt;=start_proj</formula>
    </cfRule>
  </conditionalFormatting>
  <conditionalFormatting sqref="H142:AP142">
    <cfRule type="expression" dxfId="518" priority="166">
      <formula>ISNA(H142)</formula>
    </cfRule>
    <cfRule type="expression" dxfId="517" priority="167">
      <formula>H$2&gt;=start_proj</formula>
    </cfRule>
  </conditionalFormatting>
  <conditionalFormatting sqref="H146:AP147">
    <cfRule type="expression" dxfId="516" priority="156">
      <formula>ISNA(H146)</formula>
    </cfRule>
    <cfRule type="expression" dxfId="515" priority="157">
      <formula>H$2&gt;=start_proj</formula>
    </cfRule>
  </conditionalFormatting>
  <conditionalFormatting sqref="H163:AP172">
    <cfRule type="expression" dxfId="514" priority="29">
      <formula>ISNA(H163)</formula>
    </cfRule>
    <cfRule type="expression" dxfId="513" priority="30">
      <formula>H$2&gt;=start_proj</formula>
    </cfRule>
  </conditionalFormatting>
  <conditionalFormatting sqref="H178:AP179">
    <cfRule type="expression" dxfId="512" priority="112">
      <formula>ISNA(H178)</formula>
    </cfRule>
    <cfRule type="expression" dxfId="511" priority="113">
      <formula>H$2&gt;=start_proj</formula>
    </cfRule>
  </conditionalFormatting>
  <conditionalFormatting sqref="H189:AP196">
    <cfRule type="expression" dxfId="510" priority="43">
      <formula>ISNA(H189)</formula>
    </cfRule>
    <cfRule type="expression" dxfId="509" priority="44">
      <formula>H$2&gt;=start_proj</formula>
    </cfRule>
  </conditionalFormatting>
  <conditionalFormatting sqref="H205:AP206">
    <cfRule type="expression" dxfId="508" priority="110">
      <formula>ISNA(H205)</formula>
    </cfRule>
    <cfRule type="expression" dxfId="507" priority="111">
      <formula>H$2&gt;=start_proj</formula>
    </cfRule>
  </conditionalFormatting>
  <conditionalFormatting sqref="H208:AP209">
    <cfRule type="expression" dxfId="506" priority="11">
      <formula>ISNA(H208)</formula>
    </cfRule>
    <cfRule type="expression" dxfId="505" priority="12">
      <formula>H$2&gt;=start_proj</formula>
    </cfRule>
  </conditionalFormatting>
  <conditionalFormatting sqref="H220:AP223">
    <cfRule type="expression" dxfId="504" priority="122">
      <formula>ISNA(H220)</formula>
    </cfRule>
    <cfRule type="expression" dxfId="503" priority="123">
      <formula>H$2&gt;=start_proj</formula>
    </cfRule>
  </conditionalFormatting>
  <conditionalFormatting sqref="H285:AP285">
    <cfRule type="expression" dxfId="502" priority="129">
      <formula>ISNA(H285)</formula>
    </cfRule>
    <cfRule type="expression" dxfId="501" priority="130">
      <formula>H$2&gt;=start_proj</formula>
    </cfRule>
  </conditionalFormatting>
  <conditionalFormatting sqref="H289:AP290">
    <cfRule type="expression" dxfId="500" priority="125">
      <formula>ISNA(H289)</formula>
    </cfRule>
    <cfRule type="expression" dxfId="499" priority="126">
      <formula>H$2&gt;=start_proj</formula>
    </cfRule>
  </conditionalFormatting>
  <conditionalFormatting sqref="H307:AP315">
    <cfRule type="expression" dxfId="498" priority="19">
      <formula>ISNA(H307)</formula>
    </cfRule>
    <cfRule type="expression" dxfId="497" priority="20">
      <formula>H$2&gt;=start_proj</formula>
    </cfRule>
  </conditionalFormatting>
  <conditionalFormatting sqref="H322:AP323">
    <cfRule type="expression" dxfId="496" priority="77">
      <formula>ISNA(H322)</formula>
    </cfRule>
    <cfRule type="expression" dxfId="495" priority="78">
      <formula>H$2&gt;=start_proj</formula>
    </cfRule>
  </conditionalFormatting>
  <conditionalFormatting sqref="H334:AP341">
    <cfRule type="expression" dxfId="494" priority="39">
      <formula>ISNA(H334)</formula>
    </cfRule>
    <cfRule type="expression" dxfId="493" priority="40">
      <formula>H$2&gt;=start_proj</formula>
    </cfRule>
  </conditionalFormatting>
  <conditionalFormatting sqref="H350:AP351">
    <cfRule type="expression" dxfId="492" priority="75">
      <formula>ISNA(H350)</formula>
    </cfRule>
    <cfRule type="expression" dxfId="491" priority="76">
      <formula>H$2&gt;=start_proj</formula>
    </cfRule>
  </conditionalFormatting>
  <conditionalFormatting sqref="H353:AP354">
    <cfRule type="expression" dxfId="490" priority="7">
      <formula>ISNA(H353)</formula>
    </cfRule>
    <cfRule type="expression" dxfId="489" priority="8">
      <formula>H$2&gt;=start_proj</formula>
    </cfRule>
  </conditionalFormatting>
  <conditionalFormatting sqref="H358:AP358 H359:AO359 G360 I360:AO360 H418:AO420">
    <cfRule type="expression" dxfId="488" priority="100">
      <formula>ISNA(G358)</formula>
    </cfRule>
  </conditionalFormatting>
  <conditionalFormatting sqref="H358:AP358 H359:AO359 I360:AO360 H418:AO420">
    <cfRule type="expression" dxfId="487" priority="101">
      <formula>H$2&gt;=start_proj</formula>
    </cfRule>
  </conditionalFormatting>
  <conditionalFormatting sqref="H365:AP368">
    <cfRule type="expression" dxfId="486" priority="87">
      <formula>ISNA(H365)</formula>
    </cfRule>
    <cfRule type="expression" dxfId="485" priority="88">
      <formula>H$2&gt;=start_proj</formula>
    </cfRule>
  </conditionalFormatting>
  <conditionalFormatting sqref="H429:AP429">
    <cfRule type="expression" dxfId="484" priority="94">
      <formula>ISNA(H429)</formula>
    </cfRule>
    <cfRule type="expression" dxfId="483" priority="95">
      <formula>H$2&gt;=start_proj</formula>
    </cfRule>
  </conditionalFormatting>
  <conditionalFormatting sqref="H433:AP433">
    <cfRule type="expression" dxfId="482" priority="90">
      <formula>ISNA(H433)</formula>
    </cfRule>
    <cfRule type="expression" dxfId="481" priority="91">
      <formula>H$2&gt;=start_proj</formula>
    </cfRule>
  </conditionalFormatting>
  <conditionalFormatting sqref="I137:AO141">
    <cfRule type="expression" dxfId="480" priority="49">
      <formula>ISNA(I137)</formula>
    </cfRule>
    <cfRule type="expression" dxfId="479" priority="50">
      <formula>I$2&gt;=start_proj</formula>
    </cfRule>
  </conditionalFormatting>
  <conditionalFormatting sqref="I280:AO284">
    <cfRule type="expression" dxfId="478" priority="51">
      <formula>ISNA(I280)</formula>
    </cfRule>
    <cfRule type="expression" dxfId="477" priority="52">
      <formula>I$2&gt;=start_proj</formula>
    </cfRule>
  </conditionalFormatting>
  <conditionalFormatting sqref="I424:AO428">
    <cfRule type="expression" dxfId="476" priority="96">
      <formula>ISNA(I424)</formula>
    </cfRule>
    <cfRule type="expression" dxfId="475" priority="97">
      <formula>I$2&gt;=start_proj</formula>
    </cfRule>
  </conditionalFormatting>
  <conditionalFormatting sqref="I72:AP73">
    <cfRule type="expression" dxfId="474" priority="223">
      <formula>ISNA(I72)</formula>
    </cfRule>
    <cfRule type="expression" dxfId="473" priority="224">
      <formula>I$2&gt;=start_proj</formula>
    </cfRule>
  </conditionalFormatting>
  <conditionalFormatting sqref="I185:AP186">
    <cfRule type="expression" dxfId="472" priority="27">
      <formula>ISNA(I185)</formula>
    </cfRule>
    <cfRule type="expression" dxfId="471" priority="28">
      <formula>I$2&gt;=start_proj</formula>
    </cfRule>
  </conditionalFormatting>
  <conditionalFormatting sqref="I330:AP331">
    <cfRule type="expression" dxfId="470" priority="25">
      <formula>ISNA(I330)</formula>
    </cfRule>
    <cfRule type="expression" dxfId="469" priority="26">
      <formula>I$2&gt;=start_proj</formula>
    </cfRule>
  </conditionalFormatting>
  <conditionalFormatting sqref="Q29:Q32">
    <cfRule type="expression" dxfId="468" priority="710">
      <formula>ISNA(Q29)</formula>
    </cfRule>
    <cfRule type="expression" dxfId="467" priority="711">
      <formula>H$2&gt;=start_proj</formula>
    </cfRule>
  </conditionalFormatting>
  <conditionalFormatting sqref="Q169:Q171">
    <cfRule type="expression" dxfId="466" priority="33">
      <formula>ISNA(Q169)</formula>
    </cfRule>
    <cfRule type="expression" dxfId="465" priority="34">
      <formula>H$2&gt;=start_proj</formula>
    </cfRule>
  </conditionalFormatting>
  <conditionalFormatting sqref="Q313:Q315">
    <cfRule type="expression" dxfId="464" priority="23">
      <formula>ISNA(Q313)</formula>
    </cfRule>
    <cfRule type="expression" dxfId="463" priority="24">
      <formula>H$2&gt;=start_proj</formula>
    </cfRule>
  </conditionalFormatting>
  <conditionalFormatting sqref="AO3">
    <cfRule type="cellIs" dxfId="462" priority="193" operator="equal">
      <formula>start_proj-hist_years</formula>
    </cfRule>
    <cfRule type="cellIs" dxfId="461" priority="194" operator="greaterThan">
      <formula>start_proj</formula>
    </cfRule>
  </conditionalFormatting>
  <conditionalFormatting sqref="AO235:AP235 G235:H241">
    <cfRule type="expression" dxfId="460" priority="108">
      <formula>ISNA(G235)</formula>
    </cfRule>
    <cfRule type="expression" dxfId="459" priority="109">
      <formula>G$2&gt;=start_proj</formula>
    </cfRule>
  </conditionalFormatting>
  <conditionalFormatting sqref="AP57:AP60">
    <cfRule type="expression" dxfId="458" priority="227">
      <formula>ISNA(AP57)</formula>
    </cfRule>
    <cfRule type="expression" dxfId="457" priority="228">
      <formula>AP$2&gt;=start_proj</formula>
    </cfRule>
  </conditionalFormatting>
  <conditionalFormatting sqref="AP199:AP202">
    <cfRule type="expression" dxfId="456" priority="118">
      <formula>ISNA(AP199)</formula>
    </cfRule>
    <cfRule type="expression" dxfId="455" priority="119">
      <formula>AP$2&gt;=start_proj</formula>
    </cfRule>
  </conditionalFormatting>
  <conditionalFormatting sqref="AP214:AP215">
    <cfRule type="expression" dxfId="454" priority="102">
      <formula>ISNA(AP214)</formula>
    </cfRule>
    <cfRule type="expression" dxfId="453" priority="103">
      <formula>AP$2&gt;=start_proj</formula>
    </cfRule>
  </conditionalFormatting>
  <conditionalFormatting sqref="AP344:AP347">
    <cfRule type="expression" dxfId="452" priority="83">
      <formula>ISNA(AP344)</formula>
    </cfRule>
    <cfRule type="expression" dxfId="451" priority="84">
      <formula>AP$2&gt;=start_proj</formula>
    </cfRule>
  </conditionalFormatting>
  <conditionalFormatting sqref="AP359:AP360">
    <cfRule type="expression" dxfId="450" priority="67">
      <formula>ISNA(AP359)</formula>
    </cfRule>
    <cfRule type="expression" dxfId="449" priority="68">
      <formula>AP$2&gt;=start_proj</formula>
    </cfRule>
  </conditionalFormatting>
  <conditionalFormatting sqref="H85:H91 H93:H99">
    <cfRule type="expression" dxfId="448" priority="3">
      <formula>ISNA(H85)</formula>
    </cfRule>
    <cfRule type="expression" dxfId="447" priority="4">
      <formula>H$2&gt;=start_proj</formula>
    </cfRule>
  </conditionalFormatting>
  <conditionalFormatting sqref="G85:G100">
    <cfRule type="expression" dxfId="446" priority="1">
      <formula>ISNA(G85)</formula>
    </cfRule>
    <cfRule type="expression" dxfId="445" priority="2">
      <formula>G$2&gt;=start_proj</formula>
    </cfRule>
  </conditionalFormatting>
  <hyperlinks>
    <hyperlink ref="C1" location="Dashboard!A1" display="Go to Dashboard" xr:uid="{02129234-3DFD-4E22-8044-A84193E49153}"/>
    <hyperlink ref="D1" location="Cover!A1" display="Go to Results" xr:uid="{9BD26928-9400-4470-ADB3-57D18CC61053}"/>
  </hyperlinks>
  <pageMargins left="0.7" right="0.7" top="0.75" bottom="0.75" header="0.3" footer="0.3"/>
  <pageSetup paperSize="9" orientation="portrait" r:id="rId1"/>
  <ignoredErrors>
    <ignoredError sqref="G282 I120:AO120"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9EB21-9EB2-4366-A48F-38BBA412C11C}">
  <sheetPr codeName="Sheet15">
    <tabColor theme="8" tint="-0.249977111117893"/>
  </sheetPr>
  <dimension ref="A1:AP966"/>
  <sheetViews>
    <sheetView zoomScale="70" zoomScaleNormal="70" workbookViewId="0">
      <pane xSplit="6" ySplit="3" topLeftCell="G4" activePane="bottomRight" state="frozen"/>
      <selection pane="topRight" activeCell="I193" sqref="I193"/>
      <selection pane="bottomLeft" activeCell="I193" sqref="I193"/>
      <selection pane="bottomRight" activeCell="C6" sqref="C6"/>
    </sheetView>
  </sheetViews>
  <sheetFormatPr defaultRowHeight="15" outlineLevelRow="1" x14ac:dyDescent="0.25"/>
  <cols>
    <col min="1" max="1" width="6.28515625" style="51" customWidth="1"/>
    <col min="2" max="2" width="13.85546875" style="52" customWidth="1"/>
    <col min="3" max="3" width="38.140625" customWidth="1"/>
    <col min="4" max="4" width="16.28515625" customWidth="1"/>
    <col min="5" max="5" width="16.28515625" style="53" customWidth="1"/>
    <col min="6" max="6" width="20" customWidth="1"/>
    <col min="7" max="7" width="21.5703125" customWidth="1"/>
    <col min="8" max="8" width="19.5703125" customWidth="1"/>
    <col min="9" max="9" width="14.5703125" customWidth="1"/>
    <col min="10" max="16" width="16.85546875" customWidth="1"/>
    <col min="17" max="17" width="14.28515625" bestFit="1" customWidth="1"/>
    <col min="18" max="18" width="15.85546875" customWidth="1"/>
    <col min="19" max="19" width="16.28515625" customWidth="1"/>
    <col min="20" max="20" width="19.5703125" bestFit="1" customWidth="1"/>
    <col min="21" max="27" width="17.85546875" bestFit="1" customWidth="1"/>
    <col min="28" max="41" width="15" customWidth="1"/>
  </cols>
  <sheetData>
    <row r="1" spans="1:42" x14ac:dyDescent="0.25">
      <c r="A1" s="1"/>
      <c r="B1" s="2"/>
      <c r="C1" s="3" t="s">
        <v>191</v>
      </c>
      <c r="D1" s="3" t="s">
        <v>40</v>
      </c>
      <c r="E1" s="4"/>
      <c r="F1" s="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5"/>
    </row>
    <row r="2" spans="1:42" x14ac:dyDescent="0.25">
      <c r="A2" s="6"/>
      <c r="B2" s="7"/>
      <c r="C2" s="8"/>
      <c r="D2" s="8"/>
      <c r="E2" s="9"/>
      <c r="F2" s="9"/>
      <c r="G2" s="7"/>
      <c r="H2" s="10">
        <f>chart_start_proj</f>
        <v>2023</v>
      </c>
      <c r="I2" s="10">
        <f>H2+1</f>
        <v>2024</v>
      </c>
      <c r="J2" s="10">
        <f t="shared" ref="J2:AO2" si="0">I2+1</f>
        <v>2025</v>
      </c>
      <c r="K2" s="10">
        <f t="shared" si="0"/>
        <v>2026</v>
      </c>
      <c r="L2" s="10">
        <f t="shared" si="0"/>
        <v>2027</v>
      </c>
      <c r="M2" s="10">
        <f t="shared" si="0"/>
        <v>2028</v>
      </c>
      <c r="N2" s="10">
        <f t="shared" si="0"/>
        <v>2029</v>
      </c>
      <c r="O2" s="10">
        <f t="shared" si="0"/>
        <v>2030</v>
      </c>
      <c r="P2" s="10">
        <f t="shared" si="0"/>
        <v>2031</v>
      </c>
      <c r="Q2" s="10">
        <f t="shared" si="0"/>
        <v>2032</v>
      </c>
      <c r="R2" s="10">
        <f t="shared" si="0"/>
        <v>2033</v>
      </c>
      <c r="S2" s="10">
        <f t="shared" si="0"/>
        <v>2034</v>
      </c>
      <c r="T2" s="10">
        <f t="shared" si="0"/>
        <v>2035</v>
      </c>
      <c r="U2" s="10">
        <f t="shared" si="0"/>
        <v>2036</v>
      </c>
      <c r="V2" s="10">
        <f t="shared" si="0"/>
        <v>2037</v>
      </c>
      <c r="W2" s="10">
        <f t="shared" si="0"/>
        <v>2038</v>
      </c>
      <c r="X2" s="10">
        <f t="shared" si="0"/>
        <v>2039</v>
      </c>
      <c r="Y2" s="10">
        <f t="shared" si="0"/>
        <v>2040</v>
      </c>
      <c r="Z2" s="10">
        <f t="shared" si="0"/>
        <v>2041</v>
      </c>
      <c r="AA2" s="10">
        <f t="shared" si="0"/>
        <v>2042</v>
      </c>
      <c r="AB2" s="10">
        <f t="shared" si="0"/>
        <v>2043</v>
      </c>
      <c r="AC2" s="10">
        <f t="shared" si="0"/>
        <v>2044</v>
      </c>
      <c r="AD2" s="10">
        <f t="shared" si="0"/>
        <v>2045</v>
      </c>
      <c r="AE2" s="10">
        <f t="shared" si="0"/>
        <v>2046</v>
      </c>
      <c r="AF2" s="10">
        <f t="shared" si="0"/>
        <v>2047</v>
      </c>
      <c r="AG2" s="10">
        <f t="shared" si="0"/>
        <v>2048</v>
      </c>
      <c r="AH2" s="10">
        <f t="shared" si="0"/>
        <v>2049</v>
      </c>
      <c r="AI2" s="10">
        <f t="shared" si="0"/>
        <v>2050</v>
      </c>
      <c r="AJ2" s="10">
        <f t="shared" si="0"/>
        <v>2051</v>
      </c>
      <c r="AK2" s="10">
        <f t="shared" si="0"/>
        <v>2052</v>
      </c>
      <c r="AL2" s="10">
        <f t="shared" si="0"/>
        <v>2053</v>
      </c>
      <c r="AM2" s="10">
        <f t="shared" si="0"/>
        <v>2054</v>
      </c>
      <c r="AN2" s="10">
        <f t="shared" si="0"/>
        <v>2055</v>
      </c>
      <c r="AO2" s="10">
        <f t="shared" si="0"/>
        <v>2056</v>
      </c>
      <c r="AP2" s="11"/>
    </row>
    <row r="3" spans="1:42" x14ac:dyDescent="0.25">
      <c r="A3" s="1"/>
      <c r="B3" s="2"/>
      <c r="C3" s="148"/>
      <c r="D3" s="148"/>
      <c r="E3" s="4"/>
      <c r="F3" s="4"/>
      <c r="G3" s="2"/>
      <c r="H3" s="142">
        <v>0</v>
      </c>
      <c r="I3" s="142">
        <v>1</v>
      </c>
      <c r="J3" s="142">
        <v>2</v>
      </c>
      <c r="K3" s="142">
        <v>3</v>
      </c>
      <c r="L3" s="142">
        <v>4</v>
      </c>
      <c r="M3" s="142">
        <v>5</v>
      </c>
      <c r="N3" s="142">
        <v>6</v>
      </c>
      <c r="O3" s="142">
        <v>7</v>
      </c>
      <c r="P3" s="142">
        <v>8</v>
      </c>
      <c r="Q3" s="142">
        <v>9</v>
      </c>
      <c r="R3" s="142">
        <v>10</v>
      </c>
      <c r="S3" s="142">
        <v>11</v>
      </c>
      <c r="T3" s="142">
        <v>12</v>
      </c>
      <c r="U3" s="142">
        <v>13</v>
      </c>
      <c r="V3" s="142">
        <v>14</v>
      </c>
      <c r="W3" s="142">
        <v>15</v>
      </c>
      <c r="X3" s="142">
        <v>16</v>
      </c>
      <c r="Y3" s="142">
        <v>17</v>
      </c>
      <c r="Z3" s="142">
        <v>18</v>
      </c>
      <c r="AA3" s="142">
        <v>19</v>
      </c>
      <c r="AB3" s="142">
        <v>20</v>
      </c>
      <c r="AC3" s="142">
        <v>21</v>
      </c>
      <c r="AD3" s="142">
        <v>22</v>
      </c>
      <c r="AE3" s="142">
        <v>23</v>
      </c>
      <c r="AF3" s="142">
        <v>24</v>
      </c>
      <c r="AG3" s="142">
        <v>25</v>
      </c>
      <c r="AH3" s="142">
        <v>26</v>
      </c>
      <c r="AI3" s="142">
        <v>27</v>
      </c>
      <c r="AJ3" s="142">
        <v>28</v>
      </c>
      <c r="AK3" s="142">
        <v>29</v>
      </c>
      <c r="AL3" s="142">
        <v>30</v>
      </c>
      <c r="AM3" s="142">
        <v>31</v>
      </c>
      <c r="AN3" s="142">
        <v>32</v>
      </c>
      <c r="AO3" s="142">
        <v>33</v>
      </c>
      <c r="AP3" s="149"/>
    </row>
    <row r="4" spans="1:42" x14ac:dyDescent="0.25">
      <c r="A4" s="12"/>
      <c r="B4" s="13"/>
      <c r="C4" s="14"/>
      <c r="D4" s="14"/>
      <c r="E4" s="15"/>
      <c r="F4" s="16"/>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7"/>
    </row>
    <row r="5" spans="1:42" x14ac:dyDescent="0.25">
      <c r="A5" s="18" t="s">
        <v>192</v>
      </c>
      <c r="B5" s="19"/>
      <c r="C5" s="20" t="s">
        <v>193</v>
      </c>
      <c r="D5" s="21" t="s">
        <v>194</v>
      </c>
      <c r="E5" s="21" t="s">
        <v>110</v>
      </c>
      <c r="F5" s="22" t="s">
        <v>195</v>
      </c>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7"/>
    </row>
    <row r="6" spans="1:42" x14ac:dyDescent="0.25">
      <c r="A6" s="12"/>
      <c r="B6" s="13"/>
      <c r="C6" s="14"/>
      <c r="D6" s="14"/>
      <c r="E6" s="15"/>
      <c r="F6" s="16"/>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7"/>
    </row>
    <row r="7" spans="1:42" x14ac:dyDescent="0.25">
      <c r="A7" s="89"/>
      <c r="B7" s="89"/>
      <c r="C7" s="90" t="s">
        <v>172</v>
      </c>
      <c r="D7" s="91"/>
      <c r="E7" s="92"/>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3"/>
    </row>
    <row r="8" spans="1:42" x14ac:dyDescent="0.25">
      <c r="A8" s="23"/>
      <c r="B8" s="23"/>
      <c r="C8" s="24" t="s">
        <v>543</v>
      </c>
      <c r="D8" s="24"/>
      <c r="E8" s="25"/>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7"/>
    </row>
    <row r="9" spans="1:42" x14ac:dyDescent="0.25">
      <c r="A9" s="13"/>
      <c r="B9" s="13"/>
      <c r="C9" s="30"/>
      <c r="D9" s="30"/>
      <c r="E9" s="31"/>
      <c r="F9" s="16"/>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3"/>
    </row>
    <row r="10" spans="1:42" x14ac:dyDescent="0.25">
      <c r="A10" s="12"/>
      <c r="B10" s="13"/>
      <c r="C10" s="37" t="s">
        <v>506</v>
      </c>
      <c r="D10" s="37"/>
      <c r="E10" s="38"/>
      <c r="F10" s="39"/>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17"/>
    </row>
    <row r="11" spans="1:42" x14ac:dyDescent="0.25">
      <c r="A11" s="12"/>
      <c r="B11" s="13"/>
      <c r="C11" s="136" t="s">
        <v>507</v>
      </c>
      <c r="D11" s="41"/>
      <c r="E11" s="15" t="s">
        <v>465</v>
      </c>
      <c r="F11" s="16"/>
      <c r="G11" s="14"/>
      <c r="H11" s="141"/>
      <c r="I11" s="141">
        <f>Route!I11</f>
        <v>93600</v>
      </c>
      <c r="J11" s="141">
        <f>Route!J11</f>
        <v>93600</v>
      </c>
      <c r="K11" s="141">
        <f>Route!K11</f>
        <v>93600</v>
      </c>
      <c r="L11" s="141">
        <f>Route!L11</f>
        <v>93600</v>
      </c>
      <c r="M11" s="141">
        <f>Route!M11</f>
        <v>93600</v>
      </c>
      <c r="N11" s="141">
        <f>Route!N11</f>
        <v>93600</v>
      </c>
      <c r="O11" s="141">
        <f>Route!O11</f>
        <v>93600</v>
      </c>
      <c r="P11" s="141">
        <f>Route!P11</f>
        <v>93600</v>
      </c>
      <c r="Q11" s="141">
        <f>Route!Q11</f>
        <v>93600</v>
      </c>
      <c r="R11" s="141">
        <f>Route!R11</f>
        <v>93600</v>
      </c>
      <c r="S11" s="141">
        <f>Route!S11</f>
        <v>93600</v>
      </c>
      <c r="T11" s="141">
        <f>Route!T11</f>
        <v>93600</v>
      </c>
      <c r="U11" s="141">
        <f>Route!U11</f>
        <v>93600</v>
      </c>
      <c r="V11" s="141">
        <f>Route!V11</f>
        <v>93600</v>
      </c>
      <c r="W11" s="141">
        <f>Route!W11</f>
        <v>93600</v>
      </c>
      <c r="X11" s="141">
        <f>Route!X11</f>
        <v>93600</v>
      </c>
      <c r="Y11" s="141">
        <f>Route!Y11</f>
        <v>93600</v>
      </c>
      <c r="Z11" s="141">
        <f>Route!Z11</f>
        <v>93600</v>
      </c>
      <c r="AA11" s="141">
        <f>Route!AA11</f>
        <v>93600</v>
      </c>
      <c r="AB11" s="141">
        <f>Route!AB11</f>
        <v>93600</v>
      </c>
      <c r="AC11" s="141">
        <f>Route!AC11</f>
        <v>93600</v>
      </c>
      <c r="AD11" s="141">
        <f>Route!AD11</f>
        <v>93600</v>
      </c>
      <c r="AE11" s="141">
        <f>Route!AE11</f>
        <v>93600</v>
      </c>
      <c r="AF11" s="141">
        <f>Route!AF11</f>
        <v>93600</v>
      </c>
      <c r="AG11" s="141">
        <f>Route!AG11</f>
        <v>93600</v>
      </c>
      <c r="AH11" s="141">
        <f>Route!AH11</f>
        <v>93600</v>
      </c>
      <c r="AI11" s="141">
        <f>Route!AI11</f>
        <v>93600</v>
      </c>
      <c r="AJ11" s="141">
        <f>Route!AJ11</f>
        <v>93600</v>
      </c>
      <c r="AK11" s="141">
        <f>Route!AK11</f>
        <v>93600</v>
      </c>
      <c r="AL11" s="141">
        <f>Route!AL11</f>
        <v>93600</v>
      </c>
      <c r="AM11" s="141">
        <f>Route!AM11</f>
        <v>93600</v>
      </c>
      <c r="AN11" s="141">
        <f>Route!AN11</f>
        <v>93600</v>
      </c>
      <c r="AO11" s="141"/>
      <c r="AP11" s="17"/>
    </row>
    <row r="12" spans="1:42" x14ac:dyDescent="0.25">
      <c r="A12" s="12"/>
      <c r="B12" s="13"/>
      <c r="C12" s="136" t="s">
        <v>340</v>
      </c>
      <c r="D12" s="41"/>
      <c r="E12" s="15" t="s">
        <v>116</v>
      </c>
      <c r="F12" s="174">
        <v>0.02</v>
      </c>
      <c r="G12" s="14"/>
      <c r="H12" s="159"/>
      <c r="I12" s="159">
        <f>IF(COUNT($I$3:I3)&gt;(Dashboard!$I$31),BEB!$F$12*1,0)</f>
        <v>0</v>
      </c>
      <c r="J12" s="159">
        <f>IF(COUNT($I$3:J3)&gt;(Dashboard!$I$31),BEB!$F$12*1,0)</f>
        <v>0</v>
      </c>
      <c r="K12" s="159">
        <f>IF(COUNT($I$3:K3)&gt;(Dashboard!$I$31),BEB!$F$12*1,0)</f>
        <v>0</v>
      </c>
      <c r="L12" s="159">
        <f>IF(COUNT($I$3:L3)&gt;(Dashboard!$I$31),BEB!$F$12*1,0)</f>
        <v>0</v>
      </c>
      <c r="M12" s="159">
        <f>IF(COUNT($I$3:M3)&gt;(Dashboard!$I$31),BEB!$F$12*1,0)</f>
        <v>0</v>
      </c>
      <c r="N12" s="159">
        <f>IF(COUNT($I$3:N3)&gt;(Dashboard!$I$31),BEB!$F$12*1,0)</f>
        <v>0</v>
      </c>
      <c r="O12" s="159">
        <f>IF(COUNT($I$3:O3)&gt;(Dashboard!$I$31),BEB!$F$12*1,0)</f>
        <v>0</v>
      </c>
      <c r="P12" s="159">
        <f>IF(COUNT($I$3:P3)&gt;(Dashboard!$I$31),BEB!$F$12*1,0)</f>
        <v>0</v>
      </c>
      <c r="Q12" s="159">
        <f>IF(COUNT($I$3:Q3)&gt;(Dashboard!$I$31),BEB!$F$12*1,0)</f>
        <v>0</v>
      </c>
      <c r="R12" s="159">
        <f>IF(COUNT($I$3:R3)&gt;(Dashboard!$I$31),BEB!$F$12*1,0)</f>
        <v>0</v>
      </c>
      <c r="S12" s="159">
        <f>IF(COUNT($I$3:S3)&gt;(Dashboard!$I$31),BEB!$F$12*1,0)</f>
        <v>0</v>
      </c>
      <c r="T12" s="159">
        <f>IF(COUNT($I$3:T3)&gt;(Dashboard!$I$31),BEB!$F$12*1,0)</f>
        <v>0</v>
      </c>
      <c r="U12" s="159">
        <f>IF(COUNT($I$3:U3)&gt;(Dashboard!$I$31),BEB!$F$12*1,0)</f>
        <v>0.02</v>
      </c>
      <c r="V12" s="159">
        <f>IF(COUNT($I$3:V3)&gt;(Dashboard!$I$31),BEB!$F$12*1,0)</f>
        <v>0.02</v>
      </c>
      <c r="W12" s="159">
        <f>IF(COUNT($I$3:W3)&gt;(Dashboard!$I$31),BEB!$F$12*1,0)</f>
        <v>0.02</v>
      </c>
      <c r="X12" s="159">
        <f>IF(COUNT($I$3:X3)&gt;(Dashboard!$I$31),BEB!$F$12*1,0)</f>
        <v>0.02</v>
      </c>
      <c r="Y12" s="159">
        <f>IF(COUNT($I$3:Y3)&gt;(Dashboard!$I$31),BEB!$F$12*1,0)</f>
        <v>0.02</v>
      </c>
      <c r="Z12" s="159">
        <f>IF(COUNT($I$3:Z3)&gt;(Dashboard!$I$31),BEB!$F$12*1,0)</f>
        <v>0.02</v>
      </c>
      <c r="AA12" s="159">
        <f>IF(COUNT($I$3:AA3)&gt;(Dashboard!$I$31),BEB!$F$12*1,0)</f>
        <v>0.02</v>
      </c>
      <c r="AB12" s="159">
        <f>IF(COUNT($I$3:AB3)&gt;(Dashboard!$I$31),BEB!$F$12*1,0)</f>
        <v>0.02</v>
      </c>
      <c r="AC12" s="159">
        <f>IF(COUNT($I$3:AC3)&gt;(Dashboard!$I$31),BEB!$F$12*1,0)</f>
        <v>0.02</v>
      </c>
      <c r="AD12" s="159">
        <f>IF(COUNT($I$3:AD3)&gt;(Dashboard!$I$31),BEB!$F$12*1,0)</f>
        <v>0.02</v>
      </c>
      <c r="AE12" s="159">
        <f>IF(COUNT($I$3:AE3)&gt;(Dashboard!$I$31),BEB!$F$12*1,0)</f>
        <v>0.02</v>
      </c>
      <c r="AF12" s="159">
        <f>IF(COUNT($I$3:AF3)&gt;(Dashboard!$I$31),BEB!$F$12*1,0)</f>
        <v>0.02</v>
      </c>
      <c r="AG12" s="159">
        <f>IF(COUNT($I$3:AG3)&gt;(Dashboard!$I$31),BEB!$F$12*1,0)</f>
        <v>0.02</v>
      </c>
      <c r="AH12" s="159">
        <f>IF(COUNT($I$3:AH3)&gt;(Dashboard!$I$31),BEB!$F$12*1,0)</f>
        <v>0.02</v>
      </c>
      <c r="AI12" s="159">
        <f>IF(COUNT($I$3:AI3)&gt;(Dashboard!$I$31),BEB!$F$12*1,0)</f>
        <v>0.02</v>
      </c>
      <c r="AJ12" s="159">
        <f>IF(COUNT($I$3:AJ3)&gt;(Dashboard!$I$31),BEB!$F$12*1,0)</f>
        <v>0.02</v>
      </c>
      <c r="AK12" s="159">
        <f>IF(COUNT($I$3:AK3)&gt;(Dashboard!$I$31),BEB!$F$12*1,0)</f>
        <v>0.02</v>
      </c>
      <c r="AL12" s="159">
        <f>IF(COUNT($I$3:AL3)&gt;(Dashboard!$I$31),BEB!$F$12*1,0)</f>
        <v>0.02</v>
      </c>
      <c r="AM12" s="159">
        <f>IF(COUNT($I$3:AM3)&gt;(Dashboard!$I$31),BEB!$F$12*1,0)</f>
        <v>0.02</v>
      </c>
      <c r="AN12" s="159">
        <f>IF(COUNT($I$3:AN3)&gt;(Dashboard!$I$31),BEB!$F$12*1,0)</f>
        <v>0.02</v>
      </c>
      <c r="AO12" s="14"/>
      <c r="AP12" s="17"/>
    </row>
    <row r="13" spans="1:42" x14ac:dyDescent="0.25">
      <c r="A13" s="12"/>
      <c r="B13" s="13"/>
      <c r="C13" s="41"/>
      <c r="D13" s="41"/>
      <c r="E13" s="15"/>
      <c r="F13" s="190"/>
      <c r="G13" s="14"/>
      <c r="H13" s="159"/>
      <c r="I13" s="203"/>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4"/>
      <c r="AP13" s="17"/>
    </row>
    <row r="14" spans="1:42" x14ac:dyDescent="0.25">
      <c r="A14" s="12"/>
      <c r="B14" s="13"/>
      <c r="C14" s="41"/>
      <c r="D14" s="41"/>
      <c r="E14" s="15"/>
      <c r="F14" s="190"/>
      <c r="G14" s="14"/>
      <c r="H14" s="159"/>
      <c r="I14" s="56">
        <f>(1-SUM(I$12:$I12))</f>
        <v>1</v>
      </c>
      <c r="J14" s="56">
        <f>(1-SUM($I$12:J12))</f>
        <v>1</v>
      </c>
      <c r="K14" s="56">
        <f>(1-SUM($I$12:K12))</f>
        <v>1</v>
      </c>
      <c r="L14" s="56">
        <f>(1-SUM($I$12:L12))</f>
        <v>1</v>
      </c>
      <c r="M14" s="56">
        <f>(1-SUM($I$12:M12))</f>
        <v>1</v>
      </c>
      <c r="N14" s="56">
        <f>(1-SUM($I$12:N12))</f>
        <v>1</v>
      </c>
      <c r="O14" s="56">
        <f>(1-SUM($I$12:O12))</f>
        <v>1</v>
      </c>
      <c r="P14" s="56">
        <f>(1-SUM($I$12:P12))</f>
        <v>1</v>
      </c>
      <c r="Q14" s="56">
        <f>(1-SUM($I$12:Q12))</f>
        <v>1</v>
      </c>
      <c r="R14" s="56">
        <f>(1-SUM($I$12:R12))</f>
        <v>1</v>
      </c>
      <c r="S14" s="56">
        <f>(1-SUM($I$12:S12))</f>
        <v>1</v>
      </c>
      <c r="T14" s="56">
        <f>(1-SUM($I$12:T12))</f>
        <v>1</v>
      </c>
      <c r="U14" s="56">
        <f>(1-SUM($I$12:U12))</f>
        <v>0.98</v>
      </c>
      <c r="V14" s="56">
        <f>(1-SUM($I$12:V12))</f>
        <v>0.96</v>
      </c>
      <c r="W14" s="56">
        <f>(1-SUM($I$12:W12))</f>
        <v>0.94</v>
      </c>
      <c r="X14" s="56">
        <f>(1-SUM($I$12:X12))</f>
        <v>0.92</v>
      </c>
      <c r="Y14" s="56">
        <f>(1-SUM($I$12:Y12))</f>
        <v>0.9</v>
      </c>
      <c r="Z14" s="56">
        <f>(1-SUM($I$12:Z12))</f>
        <v>0.88</v>
      </c>
      <c r="AA14" s="56">
        <f>(1-SUM($I$12:AA12))</f>
        <v>0.86</v>
      </c>
      <c r="AB14" s="56">
        <f>(1-SUM($I$12:AB12))</f>
        <v>0.84</v>
      </c>
      <c r="AC14" s="56">
        <f>(1-SUM($I$12:AC12))</f>
        <v>0.82000000000000006</v>
      </c>
      <c r="AD14" s="56">
        <f>(1-SUM($I$12:AD12))</f>
        <v>0.8</v>
      </c>
      <c r="AE14" s="56">
        <f>(1-SUM($I$12:AE12))</f>
        <v>0.78</v>
      </c>
      <c r="AF14" s="56">
        <f>(1-SUM($I$12:AF12))</f>
        <v>0.76</v>
      </c>
      <c r="AG14" s="56">
        <f>(1-SUM($I$12:AG12))</f>
        <v>0.74</v>
      </c>
      <c r="AH14" s="56">
        <f>(1-SUM($I$12:AH12))</f>
        <v>0.72</v>
      </c>
      <c r="AI14" s="56">
        <f>(1-SUM($I$12:AI12))</f>
        <v>0.7</v>
      </c>
      <c r="AJ14" s="56">
        <f>(1-SUM($I$12:AJ12))</f>
        <v>0.67999999999999994</v>
      </c>
      <c r="AK14" s="56">
        <f>(1-SUM($I$12:AK12))</f>
        <v>0.65999999999999992</v>
      </c>
      <c r="AL14" s="56">
        <f>(1-SUM($I$12:AL12))</f>
        <v>0.6399999999999999</v>
      </c>
      <c r="AM14" s="56">
        <f>(1-SUM($I$12:AM12))</f>
        <v>0.61999999999999988</v>
      </c>
      <c r="AN14" s="56">
        <f>(1-SUM($I$12:AN12))</f>
        <v>0.59999999999999987</v>
      </c>
      <c r="AO14" s="14"/>
      <c r="AP14" s="17"/>
    </row>
    <row r="15" spans="1:42" x14ac:dyDescent="0.25">
      <c r="A15" s="12"/>
      <c r="B15" s="13"/>
      <c r="C15" s="195" t="str">
        <f>C31</f>
        <v>TCO 1: End-of-Life Diesel Bus Replacement with BEB</v>
      </c>
      <c r="D15" s="195"/>
      <c r="E15" s="192"/>
      <c r="F15" s="16"/>
      <c r="G15" s="191"/>
      <c r="H15" s="196"/>
      <c r="I15" s="196"/>
      <c r="J15" s="196"/>
      <c r="K15" s="196"/>
      <c r="L15" s="196"/>
      <c r="M15" s="196"/>
      <c r="N15" s="196"/>
      <c r="O15" s="196"/>
      <c r="P15" s="196"/>
      <c r="Q15" s="196"/>
      <c r="R15" s="196"/>
      <c r="S15" s="196"/>
      <c r="T15" s="196"/>
      <c r="U15" s="196"/>
      <c r="V15" s="196"/>
      <c r="W15" s="196"/>
      <c r="X15" s="196"/>
      <c r="Y15" s="196"/>
      <c r="Z15" s="196"/>
      <c r="AA15" s="196"/>
      <c r="AB15" s="196"/>
      <c r="AC15" s="191"/>
      <c r="AD15" s="191"/>
      <c r="AE15" s="191"/>
      <c r="AF15" s="191"/>
      <c r="AG15" s="191"/>
      <c r="AH15" s="191"/>
      <c r="AI15" s="191"/>
      <c r="AJ15" s="191"/>
      <c r="AK15" s="191"/>
      <c r="AL15" s="191"/>
      <c r="AM15" s="191"/>
      <c r="AN15" s="191"/>
      <c r="AO15" s="191"/>
      <c r="AP15" s="197"/>
    </row>
    <row r="16" spans="1:42" x14ac:dyDescent="0.25">
      <c r="A16" s="12"/>
      <c r="B16" s="13"/>
      <c r="C16" s="136" t="s">
        <v>252</v>
      </c>
      <c r="D16" s="41"/>
      <c r="E16" s="15" t="s">
        <v>556</v>
      </c>
      <c r="F16" s="16"/>
      <c r="G16" s="14"/>
      <c r="H16" s="159"/>
      <c r="I16" s="159">
        <f>IF(COUNT($I$3:I3)&lt;=Dashboard!$I$31,BEB!I11*1,0)</f>
        <v>93600</v>
      </c>
      <c r="J16" s="159">
        <f>IF(COUNT($I$3:J$3)&lt;=Dashboard!$I$31,BEB!J11*1,0)</f>
        <v>93600</v>
      </c>
      <c r="K16" s="159">
        <f>IF(COUNT($I$3:K3)&lt;=Dashboard!$I$31,BEB!K11*1,0)</f>
        <v>93600</v>
      </c>
      <c r="L16" s="159">
        <f>IF(COUNT($I$3:L3)&lt;=Dashboard!$I$31,BEB!L11*1,0)</f>
        <v>93600</v>
      </c>
      <c r="M16" s="159">
        <f>IF(COUNT($I$3:M3)&lt;=Dashboard!$I$31,BEB!M11*1,0)</f>
        <v>93600</v>
      </c>
      <c r="N16" s="159">
        <f>IF(COUNT($I$3:N3)&lt;=Dashboard!$I$31,BEB!N11*1,0)</f>
        <v>93600</v>
      </c>
      <c r="O16" s="159">
        <f>IF(COUNT($I$3:O3)&lt;=Dashboard!$I$31,BEB!O11*1,0)</f>
        <v>93600</v>
      </c>
      <c r="P16" s="159">
        <f>IF(COUNT($I$3:P3)&lt;=Dashboard!$I$31,BEB!P11*1,0)</f>
        <v>93600</v>
      </c>
      <c r="Q16" s="159">
        <f>IF(COUNT($I$3:Q3)&lt;=Dashboard!$I$31,BEB!Q11*1,0)</f>
        <v>93600</v>
      </c>
      <c r="R16" s="159">
        <f>IF(COUNT($I$3:R3)&lt;=Dashboard!$I$31,BEB!R11*1,0)</f>
        <v>93600</v>
      </c>
      <c r="S16" s="159">
        <f>IF(COUNT($I$3:S3)&lt;=Dashboard!$I$31,BEB!S11*1,0)</f>
        <v>93600</v>
      </c>
      <c r="T16" s="159">
        <f>IF(COUNT($I$3:T3)&lt;=Dashboard!$I$31,BEB!T11*1,0)</f>
        <v>93600</v>
      </c>
      <c r="U16" s="159">
        <f>IF(COUNT($I$3:U3)&lt;=Dashboard!$I$31,BEB!U11*1,0)</f>
        <v>0</v>
      </c>
      <c r="V16" s="159">
        <f>IF(COUNT($I$3:V3)&lt;=Dashboard!$I$31,BEB!V11*1,0)</f>
        <v>0</v>
      </c>
      <c r="W16" s="159">
        <f>IF(COUNT($I$3:W3)&lt;=Dashboard!$I$31,BEB!W11*1,0)</f>
        <v>0</v>
      </c>
      <c r="X16" s="159">
        <f>IF(COUNT($I$3:X3)&lt;=Dashboard!$I$31,BEB!X11*1,0)</f>
        <v>0</v>
      </c>
      <c r="Y16" s="159">
        <f>IF(COUNT($I$3:Y3)&lt;=Dashboard!$I$31,BEB!Y11*1,0)</f>
        <v>0</v>
      </c>
      <c r="Z16" s="159">
        <f>IF(COUNT($I$3:Z3)&lt;=Dashboard!$I$31,BEB!Z11*1,0)</f>
        <v>0</v>
      </c>
      <c r="AA16" s="159">
        <f>IF(COUNT($I$3:AA3)&lt;=Dashboard!$I$31,BEB!AA11*1,0)</f>
        <v>0</v>
      </c>
      <c r="AB16" s="159">
        <f>IF(COUNT($I$3:AB3)&lt;=Dashboard!$I$31,BEB!AB11*1,0)</f>
        <v>0</v>
      </c>
      <c r="AC16" s="159">
        <f>IF(COUNT($I$3:AC3)&lt;=Dashboard!$I$31,BEB!AC11*1,0)</f>
        <v>0</v>
      </c>
      <c r="AD16" s="159">
        <f>IF(COUNT($I$3:AD3)&lt;=Dashboard!$I$31,BEB!AD11*1,0)</f>
        <v>0</v>
      </c>
      <c r="AE16" s="159">
        <f>IF(COUNT($I$3:AE3)&lt;=Dashboard!$I$31,BEB!AE11*1,0)</f>
        <v>0</v>
      </c>
      <c r="AF16" s="159">
        <f>IF(COUNT($I$3:AF3)&lt;=Dashboard!$I$31,BEB!AF11*1,0)</f>
        <v>0</v>
      </c>
      <c r="AG16" s="159">
        <f>IF(COUNT($I$3:AG3)&lt;=Dashboard!$I$31,BEB!AG11*1,0)</f>
        <v>0</v>
      </c>
      <c r="AH16" s="159">
        <f>IF(COUNT($I$3:AH3)&lt;=Dashboard!$I$31,BEB!AH11*1,0)</f>
        <v>0</v>
      </c>
      <c r="AI16" s="159">
        <f>IF(COUNT($I$3:AI3)&lt;=Dashboard!$I$31,BEB!AI11*1,0)</f>
        <v>0</v>
      </c>
      <c r="AJ16" s="159">
        <f>IF(COUNT($I$3:AJ3)&lt;=Dashboard!$I$31,BEB!AJ11*1,0)</f>
        <v>0</v>
      </c>
      <c r="AK16" s="159">
        <f>IF(COUNT($I$3:AK3)&lt;=Dashboard!$I$31,BEB!AK11*1,0)</f>
        <v>0</v>
      </c>
      <c r="AL16" s="159">
        <f>IF(COUNT($I$3:AL3)&lt;=Dashboard!$I$31,BEB!AL11*1,0)</f>
        <v>0</v>
      </c>
      <c r="AM16" s="159">
        <f>IF(COUNT($I$3:AM3)&lt;=Dashboard!$I$31,BEB!AM11*1,0)</f>
        <v>0</v>
      </c>
      <c r="AN16" s="159">
        <f>IF(COUNT($I$3:AN3)&lt;=Dashboard!$I$31,BEB!AN11*1,0)</f>
        <v>0</v>
      </c>
      <c r="AO16" s="159"/>
      <c r="AP16" s="17"/>
    </row>
    <row r="17" spans="1:42" x14ac:dyDescent="0.25">
      <c r="A17" s="12"/>
      <c r="B17" s="13"/>
      <c r="C17" s="136" t="s">
        <v>28</v>
      </c>
      <c r="D17" s="41"/>
      <c r="E17" s="15" t="s">
        <v>556</v>
      </c>
      <c r="F17" s="16"/>
      <c r="G17" s="14"/>
      <c r="H17" s="159"/>
      <c r="I17" s="159">
        <f>IF(COUNT($I$3:I3)&gt;Dashboard!$I$31,BEB!I11*1,0)</f>
        <v>0</v>
      </c>
      <c r="J17" s="159">
        <f>IF(COUNT($I$3:J3)&gt;Dashboard!$I$31,BEB!J11*1,0)</f>
        <v>0</v>
      </c>
      <c r="K17" s="159">
        <f>IF(COUNT($I$3:K3)&gt;Dashboard!$I$31,BEB!K11*1,0)</f>
        <v>0</v>
      </c>
      <c r="L17" s="159">
        <f>IF(COUNT($I$3:L3)&gt;Dashboard!$I$31,BEB!L11*1,0)</f>
        <v>0</v>
      </c>
      <c r="M17" s="159">
        <f>IF(COUNT($I$3:M3)&gt;Dashboard!$I$31,BEB!M11*1,0)</f>
        <v>0</v>
      </c>
      <c r="N17" s="159">
        <f>IF(COUNT($I$3:N3)&gt;Dashboard!$I$31,BEB!N11*1,0)</f>
        <v>0</v>
      </c>
      <c r="O17" s="159">
        <f>IF(COUNT($I$3:O3)&gt;Dashboard!$I$31,BEB!O11*1,0)</f>
        <v>0</v>
      </c>
      <c r="P17" s="159">
        <f>IF(COUNT($I$3:P3)&gt;Dashboard!$I$31,BEB!P11*1,0)</f>
        <v>0</v>
      </c>
      <c r="Q17" s="159">
        <f>IF(COUNT($I$3:Q3)&gt;Dashboard!$I$31,BEB!Q11*1,0)</f>
        <v>0</v>
      </c>
      <c r="R17" s="159">
        <f>IF(COUNT($I$3:R3)&gt;Dashboard!$I$31,BEB!R11*1,0)</f>
        <v>0</v>
      </c>
      <c r="S17" s="159">
        <f>IF(COUNT($I$3:S3)&gt;Dashboard!$I$31,BEB!S11*1,0)</f>
        <v>0</v>
      </c>
      <c r="T17" s="159">
        <f>IF(COUNT($I$3:T3)&gt;Dashboard!$I$31,BEB!T11*1,0)</f>
        <v>0</v>
      </c>
      <c r="U17" s="159">
        <f>IF(COUNT($I$3:U3)&gt;Dashboard!$I$31,BEB!U11*1,0)</f>
        <v>93600</v>
      </c>
      <c r="V17" s="159">
        <f>IF(COUNT($I$3:V3)&gt;Dashboard!$I$31,BEB!V11*1,0)</f>
        <v>93600</v>
      </c>
      <c r="W17" s="159">
        <f>IF(COUNT($I$3:W3)&gt;Dashboard!$I$31,BEB!W11*1,0)</f>
        <v>93600</v>
      </c>
      <c r="X17" s="159">
        <f>IF(COUNT($I$3:X3)&gt;Dashboard!$I$31,BEB!X11*1,0)</f>
        <v>93600</v>
      </c>
      <c r="Y17" s="159">
        <f>IF(COUNT($I$3:Y3)&gt;Dashboard!$I$31,BEB!Y11*1,0)</f>
        <v>93600</v>
      </c>
      <c r="Z17" s="159">
        <f>IF(COUNT($I$3:Z3)&gt;Dashboard!$I$31,BEB!Z11*1,0)</f>
        <v>93600</v>
      </c>
      <c r="AA17" s="159">
        <f>IF(COUNT($I$3:AA3)&gt;Dashboard!$I$31,BEB!AA11*1,0)</f>
        <v>93600</v>
      </c>
      <c r="AB17" s="159">
        <f>IF(COUNT($I$3:AB3)&gt;Dashboard!$I$31,BEB!AB11*1,0)</f>
        <v>93600</v>
      </c>
      <c r="AC17" s="159">
        <f>IF(COUNT($I$3:AC3)&gt;Dashboard!$I$31,BEB!AC11*1,0)</f>
        <v>93600</v>
      </c>
      <c r="AD17" s="159">
        <f>IF(COUNT($I$3:AD3)&gt;Dashboard!$I$31,BEB!AD11*1,0)</f>
        <v>93600</v>
      </c>
      <c r="AE17" s="159">
        <f>IF(COUNT($I$3:AE3)&gt;Dashboard!$I$31,BEB!AE11*1,0)</f>
        <v>93600</v>
      </c>
      <c r="AF17" s="159">
        <f>IF(COUNT($I$3:AF3)&gt;Dashboard!$I$31,BEB!AF11*1,0)</f>
        <v>93600</v>
      </c>
      <c r="AG17" s="159">
        <f>IF(COUNT($I$3:AG3)&gt;Dashboard!$I$31,BEB!AG11*1,0)</f>
        <v>93600</v>
      </c>
      <c r="AH17" s="159">
        <f>IF(COUNT($I$3:AH3)&gt;Dashboard!$I$31,BEB!AH11*1,0)</f>
        <v>93600</v>
      </c>
      <c r="AI17" s="159">
        <f>IF(COUNT($I$3:AI3)&gt;Dashboard!$I$31,BEB!AI11*1,0)</f>
        <v>93600</v>
      </c>
      <c r="AJ17" s="159">
        <f>IF(COUNT($I$3:AJ3)&gt;Dashboard!$I$31,BEB!AJ11*1,0)</f>
        <v>93600</v>
      </c>
      <c r="AK17" s="159">
        <f>IF(COUNT($I$3:AK3)&gt;Dashboard!$I$31,BEB!AK11*1,0)</f>
        <v>93600</v>
      </c>
      <c r="AL17" s="159">
        <f>IF(COUNT($I$3:AL3)&gt;Dashboard!$I$31,BEB!AL11*1,0)</f>
        <v>93600</v>
      </c>
      <c r="AM17" s="159">
        <f>IF(COUNT($I$3:AM3)&gt;Dashboard!$I$31,BEB!AM11*1,0)</f>
        <v>93600</v>
      </c>
      <c r="AN17" s="159">
        <f>IF(COUNT($I$3:AN3)&gt;Dashboard!$I$31,BEB!AN11*1,0)</f>
        <v>93600</v>
      </c>
      <c r="AO17" s="159"/>
      <c r="AP17" s="17"/>
    </row>
    <row r="18" spans="1:42" x14ac:dyDescent="0.25">
      <c r="A18" s="12"/>
      <c r="B18" s="13"/>
      <c r="C18" s="136" t="s">
        <v>557</v>
      </c>
      <c r="D18" s="41"/>
      <c r="E18" s="15" t="s">
        <v>556</v>
      </c>
      <c r="F18" s="16"/>
      <c r="G18" s="14"/>
      <c r="H18" s="159"/>
      <c r="I18" s="159">
        <f>IF(I14&gt;(1-(Data!$E$337+1)*Data!$E$351),I17,0)</f>
        <v>0</v>
      </c>
      <c r="J18" s="159">
        <f>IF(J14&gt;(1-(Data!$E$337+1)*Data!$E$351),J17,0)</f>
        <v>0</v>
      </c>
      <c r="K18" s="159">
        <f>IF(K14&gt;(1-(Data!$E$337+1)*Data!$E$351),K17,0)</f>
        <v>0</v>
      </c>
      <c r="L18" s="159">
        <f>IF(L14&gt;(1-(Data!$E$337+1)*Data!$E$351),L17,0)</f>
        <v>0</v>
      </c>
      <c r="M18" s="159">
        <f>IF(M14&gt;(1-(Data!$E$337+1)*Data!$E$351),M17,0)</f>
        <v>0</v>
      </c>
      <c r="N18" s="159">
        <f>IF(N14&gt;(1-(Data!$E$337+1)*Data!$E$351),N17,0)</f>
        <v>0</v>
      </c>
      <c r="O18" s="159">
        <f>IF(O14&gt;(1-(Data!$E$337+1)*Data!$E$351),O17,0)</f>
        <v>0</v>
      </c>
      <c r="P18" s="159">
        <f>IF(P14&gt;(1-(Data!$E$337+1)*Data!$E$351),P17,0)</f>
        <v>0</v>
      </c>
      <c r="Q18" s="159">
        <f>IF(Q14&gt;(1-(Data!$E$337+1)*Data!$E$351),Q17,0)</f>
        <v>0</v>
      </c>
      <c r="R18" s="159">
        <f>IF(R14&gt;(1-(Data!$E$337+1)*Data!$E$351),R17,0)</f>
        <v>0</v>
      </c>
      <c r="S18" s="159">
        <f>IF(S14&gt;(1-(Data!$E$337+1)*Data!$E$351),S17,0)</f>
        <v>0</v>
      </c>
      <c r="T18" s="159">
        <f>IF(T14&gt;(1-(Data!$E$337+1)*Data!$E$351),T17,0)</f>
        <v>0</v>
      </c>
      <c r="U18" s="159">
        <f>IF(U14&gt;(1-(Data!$E$337+1)*Data!$E$351),U17,0)</f>
        <v>93600</v>
      </c>
      <c r="V18" s="159">
        <f>IF(V14&gt;(1-(Data!$E$337+1)*Data!$E$351),V17,0)</f>
        <v>93600</v>
      </c>
      <c r="W18" s="159">
        <f>IF(W14&gt;(1-(Data!$E$337+1)*Data!$E$351),W17,0)</f>
        <v>93600</v>
      </c>
      <c r="X18" s="159">
        <f>IF(X14&gt;(1-(Data!$E$337+1)*Data!$E$351),X17,0)</f>
        <v>93600</v>
      </c>
      <c r="Y18" s="159">
        <f>IF(Y14&gt;(1-(Data!$E$337+1)*Data!$E$351),Y17,0)</f>
        <v>93600</v>
      </c>
      <c r="Z18" s="159">
        <f>IF(Z14&gt;(1-(Data!$E$337+1)*Data!$E$351),Z17,0)</f>
        <v>93600</v>
      </c>
      <c r="AA18" s="159">
        <f>IF(AA14&gt;(1-(Data!$E$337+1)*Data!$E$351),AA17,0)</f>
        <v>93600</v>
      </c>
      <c r="AB18" s="159">
        <f>IF(AB14&gt;(1-(Data!$E$337+1)*Data!$E$351),AB17,0)</f>
        <v>93600</v>
      </c>
      <c r="AC18" s="159">
        <f>IF(AC14&gt;(1-(Data!$E$337+1)*Data!$E$351),AC17,0)</f>
        <v>93600</v>
      </c>
      <c r="AD18" s="159">
        <f>IF(AD14&gt;(1-(Data!$E$337+1)*Data!$E$351),AD17,0)</f>
        <v>93600</v>
      </c>
      <c r="AE18" s="159">
        <f>IF(AE14&gt;(1-(Data!$E$337+1)*Data!$E$351),AE17,0)</f>
        <v>93600</v>
      </c>
      <c r="AF18" s="159">
        <f>IF(AF14&gt;(1-(Data!$E$337+1)*Data!$E$351),AF17,0)</f>
        <v>93600</v>
      </c>
      <c r="AG18" s="159">
        <f>IF(AG14&gt;(1-(Data!$E$337+1)*Data!$E$351),AG17,0)</f>
        <v>93600</v>
      </c>
      <c r="AH18" s="159">
        <f>IF(AH14&gt;(1-(Data!$E$337+1)*Data!$E$351),AH17,0)</f>
        <v>93600</v>
      </c>
      <c r="AI18" s="159">
        <f>IF(AI14&gt;(1-(Data!$E$337+1)*Data!$E$351),AI17,0)</f>
        <v>93600</v>
      </c>
      <c r="AJ18" s="159">
        <f>IF(AJ14&gt;(1-(Data!$E$337+1)*Data!$E$351),AJ17,0)</f>
        <v>93600</v>
      </c>
      <c r="AK18" s="159">
        <f>IF(AK14&gt;(1-(Data!$E$337+1)*Data!$E$351),AK17,0)</f>
        <v>93600</v>
      </c>
      <c r="AL18" s="159">
        <f>IF(AL14&gt;(1-(Data!$E$337+1)*Data!$E$351),AL17,0)</f>
        <v>93600</v>
      </c>
      <c r="AM18" s="159">
        <f>IF(AM14&gt;(1-(Data!$E$337+1)*Data!$E$351),AM17,0)</f>
        <v>93600</v>
      </c>
      <c r="AN18" s="159">
        <f>IF(AN14&gt;(1-(Data!$E$337+1)*Data!$E$351),AN17,0)</f>
        <v>93600</v>
      </c>
      <c r="AO18" s="159"/>
      <c r="AP18" s="17"/>
    </row>
    <row r="19" spans="1:42" x14ac:dyDescent="0.25">
      <c r="A19" s="12"/>
      <c r="B19" s="13"/>
      <c r="C19" s="136"/>
      <c r="D19" s="41"/>
      <c r="E19" s="15"/>
      <c r="F19" s="16"/>
      <c r="G19" s="14"/>
      <c r="H19" s="141"/>
      <c r="I19" s="14"/>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7"/>
    </row>
    <row r="20" spans="1:42" x14ac:dyDescent="0.25">
      <c r="A20" s="12"/>
      <c r="B20" s="13"/>
      <c r="C20" s="195" t="str">
        <f>C174</f>
        <v>TCO 2: Immediate Diesel to BEB Bus Replacement</v>
      </c>
      <c r="D20" s="195"/>
      <c r="E20" s="192"/>
      <c r="F20" s="16"/>
      <c r="G20" s="191"/>
      <c r="H20" s="196"/>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7"/>
    </row>
    <row r="21" spans="1:42" x14ac:dyDescent="0.25">
      <c r="A21" s="12"/>
      <c r="B21" s="13"/>
      <c r="C21" t="s">
        <v>28</v>
      </c>
      <c r="D21" s="41"/>
      <c r="E21" s="15"/>
      <c r="F21" s="16"/>
      <c r="G21" s="14"/>
      <c r="H21" s="141"/>
      <c r="I21" s="159">
        <f>I11</f>
        <v>93600</v>
      </c>
      <c r="J21" s="159">
        <f t="shared" ref="J21:S21" si="1">J11</f>
        <v>93600</v>
      </c>
      <c r="K21" s="159">
        <f t="shared" si="1"/>
        <v>93600</v>
      </c>
      <c r="L21" s="159">
        <f t="shared" si="1"/>
        <v>93600</v>
      </c>
      <c r="M21" s="159">
        <f t="shared" si="1"/>
        <v>93600</v>
      </c>
      <c r="N21" s="159">
        <f t="shared" si="1"/>
        <v>93600</v>
      </c>
      <c r="O21" s="159">
        <f t="shared" si="1"/>
        <v>93600</v>
      </c>
      <c r="P21" s="159">
        <f t="shared" si="1"/>
        <v>93600</v>
      </c>
      <c r="Q21" s="159">
        <f t="shared" si="1"/>
        <v>93600</v>
      </c>
      <c r="R21" s="159">
        <f t="shared" si="1"/>
        <v>93600</v>
      </c>
      <c r="S21" s="159">
        <f t="shared" si="1"/>
        <v>93600</v>
      </c>
      <c r="T21" s="159">
        <f>T11</f>
        <v>93600</v>
      </c>
      <c r="U21" s="159">
        <f t="shared" ref="U21:AB21" si="2">U11</f>
        <v>93600</v>
      </c>
      <c r="V21" s="159">
        <f t="shared" si="2"/>
        <v>93600</v>
      </c>
      <c r="W21" s="159">
        <f t="shared" si="2"/>
        <v>93600</v>
      </c>
      <c r="X21" s="159">
        <f t="shared" si="2"/>
        <v>93600</v>
      </c>
      <c r="Y21" s="159">
        <f t="shared" si="2"/>
        <v>93600</v>
      </c>
      <c r="Z21" s="159">
        <f t="shared" si="2"/>
        <v>93600</v>
      </c>
      <c r="AA21" s="159">
        <f t="shared" si="2"/>
        <v>93600</v>
      </c>
      <c r="AB21" s="159">
        <f t="shared" si="2"/>
        <v>93600</v>
      </c>
      <c r="AC21" s="14"/>
      <c r="AD21" s="14"/>
      <c r="AE21" s="14"/>
      <c r="AF21" s="14"/>
      <c r="AG21" s="14"/>
      <c r="AH21" s="14"/>
      <c r="AI21" s="14"/>
      <c r="AJ21" s="14"/>
      <c r="AK21" s="14"/>
      <c r="AL21" s="14"/>
      <c r="AM21" s="14"/>
      <c r="AN21" s="14"/>
      <c r="AO21" s="14"/>
      <c r="AP21" s="17"/>
    </row>
    <row r="22" spans="1:42" x14ac:dyDescent="0.25">
      <c r="A22" s="12"/>
      <c r="B22" s="13"/>
      <c r="C22" s="41"/>
      <c r="D22" s="41"/>
      <c r="E22" s="15"/>
      <c r="F22" s="16"/>
      <c r="G22" s="14"/>
      <c r="H22" s="141"/>
      <c r="I22" s="141"/>
      <c r="J22" s="151"/>
      <c r="K22" s="151"/>
      <c r="L22" s="151"/>
      <c r="M22" s="151"/>
      <c r="N22" s="151"/>
      <c r="O22" s="151"/>
      <c r="P22" s="151"/>
      <c r="Q22" s="151"/>
      <c r="R22" s="151"/>
      <c r="S22" s="151"/>
      <c r="T22" s="151"/>
      <c r="U22" s="141"/>
      <c r="V22" s="141"/>
      <c r="W22" s="141"/>
      <c r="X22" s="141"/>
      <c r="Y22" s="141"/>
      <c r="Z22" s="141"/>
      <c r="AA22" s="141"/>
      <c r="AB22" s="141"/>
      <c r="AC22" s="14"/>
      <c r="AD22" s="14"/>
      <c r="AE22" s="14"/>
      <c r="AF22" s="14"/>
      <c r="AG22" s="14"/>
      <c r="AH22" s="14"/>
      <c r="AI22" s="14"/>
      <c r="AJ22" s="14"/>
      <c r="AK22" s="14"/>
      <c r="AL22" s="14"/>
      <c r="AM22" s="14"/>
      <c r="AN22" s="14"/>
      <c r="AO22" s="14"/>
      <c r="AP22" s="17"/>
    </row>
    <row r="23" spans="1:42" x14ac:dyDescent="0.25">
      <c r="A23" s="12"/>
      <c r="B23" s="13"/>
      <c r="C23" s="136"/>
      <c r="D23" s="41"/>
      <c r="E23" s="15"/>
      <c r="F23" s="16"/>
      <c r="G23" s="14"/>
      <c r="H23" s="141"/>
      <c r="I23" s="141"/>
      <c r="J23" s="141"/>
      <c r="K23" s="141"/>
      <c r="L23" s="141"/>
      <c r="M23" s="141"/>
      <c r="N23" s="141"/>
      <c r="O23" s="141"/>
      <c r="P23" s="141"/>
      <c r="Q23" s="141"/>
      <c r="R23" s="141"/>
      <c r="S23" s="141"/>
      <c r="T23" s="141"/>
      <c r="U23" s="141"/>
      <c r="V23" s="141"/>
      <c r="W23" s="141"/>
      <c r="X23" s="141"/>
      <c r="Y23" s="141"/>
      <c r="Z23" s="141"/>
      <c r="AA23" s="141"/>
      <c r="AB23" s="141"/>
      <c r="AC23" s="14"/>
      <c r="AD23" s="14"/>
      <c r="AE23" s="14"/>
      <c r="AF23" s="14"/>
      <c r="AG23" s="14"/>
      <c r="AH23" s="14"/>
      <c r="AI23" s="14"/>
      <c r="AJ23" s="14"/>
      <c r="AK23" s="14"/>
      <c r="AL23" s="14"/>
      <c r="AM23" s="14"/>
      <c r="AN23" s="14"/>
      <c r="AO23" s="14"/>
      <c r="AP23" s="17"/>
    </row>
    <row r="24" spans="1:42" x14ac:dyDescent="0.25">
      <c r="A24" s="12"/>
      <c r="B24" s="13"/>
      <c r="C24" s="37" t="s">
        <v>302</v>
      </c>
      <c r="D24" s="37"/>
      <c r="E24" s="38"/>
      <c r="F24" s="39"/>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17"/>
    </row>
    <row r="25" spans="1:42" x14ac:dyDescent="0.25">
      <c r="A25" s="12"/>
      <c r="B25" s="13"/>
      <c r="C25" s="136" t="s">
        <v>544</v>
      </c>
      <c r="D25" s="41"/>
      <c r="E25" s="15"/>
      <c r="F25" s="16"/>
      <c r="G25" s="14"/>
      <c r="H25" s="141"/>
      <c r="I25" s="141"/>
      <c r="J25" s="141"/>
      <c r="K25" s="141"/>
      <c r="L25" s="141"/>
      <c r="M25" s="141"/>
      <c r="N25" s="141"/>
      <c r="O25" s="141"/>
      <c r="P25" s="141"/>
      <c r="Q25" s="141"/>
      <c r="R25" s="141"/>
      <c r="S25" s="141"/>
      <c r="T25" s="141"/>
      <c r="U25" s="141"/>
      <c r="V25" s="141"/>
      <c r="W25" s="141"/>
      <c r="X25" s="141"/>
      <c r="Y25" s="141"/>
      <c r="Z25" s="141"/>
      <c r="AA25" s="141"/>
      <c r="AB25" s="141"/>
      <c r="AC25" s="14"/>
      <c r="AD25" s="14"/>
      <c r="AE25" s="14"/>
      <c r="AF25" s="14"/>
      <c r="AG25" s="14"/>
      <c r="AH25" s="14"/>
      <c r="AI25" s="14"/>
      <c r="AJ25" s="14"/>
      <c r="AK25" s="14"/>
      <c r="AL25" s="14"/>
      <c r="AM25" s="14"/>
      <c r="AN25" s="14"/>
      <c r="AO25" s="14"/>
      <c r="AP25" s="17"/>
    </row>
    <row r="26" spans="1:42" x14ac:dyDescent="0.25">
      <c r="A26" s="12"/>
      <c r="B26" s="13"/>
      <c r="C26" s="96" t="s">
        <v>120</v>
      </c>
      <c r="D26" s="41"/>
      <c r="E26" s="15"/>
      <c r="F26" s="16"/>
      <c r="G26" s="14"/>
      <c r="H26" s="150">
        <f>Data!$E$309</f>
        <v>156000</v>
      </c>
      <c r="I26" s="159">
        <f>$H$26*(1-Data!$E$312)</f>
        <v>150025.20000000001</v>
      </c>
      <c r="J26" s="159">
        <f>I$26*(1-Data!$E$312)</f>
        <v>144279.23484000002</v>
      </c>
      <c r="K26" s="159">
        <f>J$26*(1-Data!$E$312)</f>
        <v>138753.34014562803</v>
      </c>
      <c r="L26" s="159">
        <f>K$26*(1-Data!$E$312)</f>
        <v>133439.08721805047</v>
      </c>
      <c r="M26" s="159">
        <f>L$26*(1-Data!$E$312)</f>
        <v>128328.37017759914</v>
      </c>
      <c r="N26" s="159">
        <f>M$26*(1-Data!$E$312)</f>
        <v>123413.39359979708</v>
      </c>
      <c r="O26" s="159">
        <f>N$26*(1-Data!$E$312)</f>
        <v>118686.66062492486</v>
      </c>
      <c r="P26" s="159">
        <f>O$26*(1-Data!$E$312)</f>
        <v>114140.96152299024</v>
      </c>
      <c r="Q26" s="159">
        <f>P$26*(1-Data!$E$312)</f>
        <v>109769.36269665971</v>
      </c>
      <c r="R26" s="159">
        <f>Q$26*(1-Data!$E$312)</f>
        <v>105565.19610537765</v>
      </c>
      <c r="S26" s="159">
        <f>R$26*(1-Data!$E$312)</f>
        <v>101522.04909454168</v>
      </c>
      <c r="T26" s="159">
        <f>S$26*(1-Data!$E$312)</f>
        <v>97633.754614220743</v>
      </c>
      <c r="U26" s="159">
        <f>T$26*(1-Data!$E$312)</f>
        <v>93894.381812496082</v>
      </c>
      <c r="V26" s="159">
        <f>U$26*(1-Data!$E$312)</f>
        <v>90298.226989077477</v>
      </c>
      <c r="W26" s="159">
        <f>V$26*(1-Data!$E$312)</f>
        <v>86839.804895395806</v>
      </c>
      <c r="X26" s="159">
        <f>W$26*(1-Data!$E$312)</f>
        <v>83513.840367902143</v>
      </c>
      <c r="Y26" s="159">
        <f>X$26*(1-Data!$E$312)</f>
        <v>80315.260281811497</v>
      </c>
      <c r="Z26" s="159">
        <f>Y$26*(1-Data!$E$312)</f>
        <v>77239.185813018121</v>
      </c>
      <c r="AA26" s="159">
        <f>Z$26*(1-Data!$E$312)</f>
        <v>74280.92499637953</v>
      </c>
      <c r="AB26" s="159">
        <f>AA$26*(1-Data!$E$312)</f>
        <v>71435.965569018197</v>
      </c>
      <c r="AC26" s="159">
        <f>AB$26*(1-Data!$E$312)</f>
        <v>68699.968087724803</v>
      </c>
      <c r="AD26" s="159">
        <f>AC$26*(1-Data!$E$312)</f>
        <v>66068.759309964938</v>
      </c>
      <c r="AE26" s="159">
        <f>AD$26*(1-Data!$E$312)</f>
        <v>63538.325828393281</v>
      </c>
      <c r="AF26" s="159">
        <f>AE$26*(1-Data!$E$312)</f>
        <v>61104.807949165821</v>
      </c>
      <c r="AG26" s="159">
        <f>AF$26*(1-Data!$E$312)</f>
        <v>58764.493804712773</v>
      </c>
      <c r="AH26" s="159">
        <f>AG$26*(1-Data!$E$312)</f>
        <v>56513.813691992276</v>
      </c>
      <c r="AI26" s="159">
        <f>AH$26*(1-Data!$E$312)</f>
        <v>54349.334627588971</v>
      </c>
      <c r="AJ26" s="159">
        <f>AI$26*(1-Data!$E$312)</f>
        <v>52267.755111352315</v>
      </c>
      <c r="AK26" s="159">
        <f>AJ$26*(1-Data!$E$312)</f>
        <v>50265.900090587522</v>
      </c>
      <c r="AL26" s="159">
        <f>AK$26*(1-Data!$E$312)</f>
        <v>48340.71611711802</v>
      </c>
      <c r="AM26" s="159">
        <f>AL$26*(1-Data!$E$312)</f>
        <v>46489.266689832402</v>
      </c>
      <c r="AN26" s="159">
        <f>AM$26*(1-Data!$E$312)</f>
        <v>44708.72777561182</v>
      </c>
      <c r="AO26" s="159">
        <f>AN$26*(1-Data!$E$312)</f>
        <v>42996.383501805889</v>
      </c>
      <c r="AP26" s="17"/>
    </row>
    <row r="27" spans="1:42" x14ac:dyDescent="0.25">
      <c r="A27" s="12"/>
      <c r="B27" s="13"/>
      <c r="C27" s="96" t="s">
        <v>124</v>
      </c>
      <c r="D27" s="41"/>
      <c r="E27" s="15"/>
      <c r="F27" s="16"/>
      <c r="G27" s="14"/>
      <c r="H27" s="150">
        <f>Data!$E$310</f>
        <v>180000</v>
      </c>
      <c r="I27" s="159">
        <f>$H$27*(1-Data!$E$312)</f>
        <v>173106</v>
      </c>
      <c r="J27" s="159">
        <f>I$27*(1-Data!$E$312)</f>
        <v>166476.04019999999</v>
      </c>
      <c r="K27" s="159">
        <f>J$27*(1-Data!$E$312)</f>
        <v>160100.00786034</v>
      </c>
      <c r="L27" s="159">
        <f>K$27*(1-Data!$E$312)</f>
        <v>153968.17755928898</v>
      </c>
      <c r="M27" s="159">
        <f>L$27*(1-Data!$E$312)</f>
        <v>148071.19635876821</v>
      </c>
      <c r="N27" s="159">
        <f>M$27*(1-Data!$E$312)</f>
        <v>142400.0695382274</v>
      </c>
      <c r="O27" s="159">
        <f>N$27*(1-Data!$E$312)</f>
        <v>136946.14687491328</v>
      </c>
      <c r="P27" s="159">
        <f>O$27*(1-Data!$E$312)</f>
        <v>131701.10944960409</v>
      </c>
      <c r="Q27" s="159">
        <f>P$27*(1-Data!$E$312)</f>
        <v>126656.95695768425</v>
      </c>
      <c r="R27" s="159">
        <f>Q$27*(1-Data!$E$312)</f>
        <v>121805.99550620494</v>
      </c>
      <c r="S27" s="159">
        <f>R$27*(1-Data!$E$312)</f>
        <v>117140.82587831729</v>
      </c>
      <c r="T27" s="159">
        <f>S$27*(1-Data!$E$312)</f>
        <v>112654.33224717774</v>
      </c>
      <c r="U27" s="159">
        <f>T$27*(1-Data!$E$312)</f>
        <v>108339.67132211082</v>
      </c>
      <c r="V27" s="159">
        <f>U$27*(1-Data!$E$312)</f>
        <v>104190.26191047397</v>
      </c>
      <c r="W27" s="159">
        <f>V$27*(1-Data!$E$312)</f>
        <v>100199.77487930281</v>
      </c>
      <c r="X27" s="159">
        <f>W$27*(1-Data!$E$312)</f>
        <v>96362.123501425522</v>
      </c>
      <c r="Y27" s="159">
        <f>X$27*(1-Data!$E$312)</f>
        <v>92671.454171320918</v>
      </c>
      <c r="Z27" s="159">
        <f>Y$27*(1-Data!$E$312)</f>
        <v>89122.137476559321</v>
      </c>
      <c r="AA27" s="159">
        <f>Z$27*(1-Data!$E$312)</f>
        <v>85708.759611207104</v>
      </c>
      <c r="AB27" s="159">
        <f>AA$27*(1-Data!$E$312)</f>
        <v>82426.114118097874</v>
      </c>
      <c r="AC27" s="159">
        <f>AB$27*(1-Data!$E$312)</f>
        <v>79269.193947374719</v>
      </c>
      <c r="AD27" s="159">
        <f>AC$27*(1-Data!$E$312)</f>
        <v>76233.183819190264</v>
      </c>
      <c r="AE27" s="159">
        <f>AD$27*(1-Data!$E$312)</f>
        <v>73313.452878915283</v>
      </c>
      <c r="AF27" s="159">
        <f>AE$27*(1-Data!$E$312)</f>
        <v>70505.547633652823</v>
      </c>
      <c r="AG27" s="159">
        <f>AF$27*(1-Data!$E$312)</f>
        <v>67805.185159283923</v>
      </c>
      <c r="AH27" s="159">
        <f>AG$27*(1-Data!$E$312)</f>
        <v>65208.246567683345</v>
      </c>
      <c r="AI27" s="159">
        <f>AH$27*(1-Data!$E$312)</f>
        <v>62710.770724141075</v>
      </c>
      <c r="AJ27" s="159">
        <f>AI$27*(1-Data!$E$312)</f>
        <v>60308.948205406472</v>
      </c>
      <c r="AK27" s="159">
        <f>AJ$27*(1-Data!$E$312)</f>
        <v>57999.115489139404</v>
      </c>
      <c r="AL27" s="159">
        <f>AK$27*(1-Data!$E$312)</f>
        <v>55777.749365905365</v>
      </c>
      <c r="AM27" s="159">
        <f>AL$27*(1-Data!$E$312)</f>
        <v>53641.461565191188</v>
      </c>
      <c r="AN27" s="159">
        <f>AM$27*(1-Data!$E$312)</f>
        <v>51586.993587244368</v>
      </c>
      <c r="AO27" s="159">
        <f>AN$27*(1-Data!$E$312)</f>
        <v>49611.211732852906</v>
      </c>
      <c r="AP27" s="17"/>
    </row>
    <row r="28" spans="1:42" x14ac:dyDescent="0.25">
      <c r="A28" s="12"/>
      <c r="B28" s="13"/>
      <c r="C28" s="96" t="s">
        <v>126</v>
      </c>
      <c r="D28" s="41"/>
      <c r="E28" s="15"/>
      <c r="F28" s="16"/>
      <c r="G28" s="14"/>
      <c r="H28" s="150">
        <f>Data!$E$311</f>
        <v>235000</v>
      </c>
      <c r="I28" s="159">
        <f>$H$28*(1-Data!$E$312)</f>
        <v>225999.5</v>
      </c>
      <c r="J28" s="159">
        <f>I$28*(1-Data!$E$312)</f>
        <v>217343.71914999999</v>
      </c>
      <c r="K28" s="159">
        <f>J$28*(1-Data!$E$312)</f>
        <v>209019.454706555</v>
      </c>
      <c r="L28" s="159">
        <f>K$28*(1-Data!$E$312)</f>
        <v>201014.00959129393</v>
      </c>
      <c r="M28" s="159">
        <f>L$28*(1-Data!$E$312)</f>
        <v>193315.17302394737</v>
      </c>
      <c r="N28" s="159">
        <f>M$28*(1-Data!$E$312)</f>
        <v>185911.20189713017</v>
      </c>
      <c r="O28" s="159">
        <f>N$28*(1-Data!$E$312)</f>
        <v>178790.80286447008</v>
      </c>
      <c r="P28" s="159">
        <f>O$28*(1-Data!$E$312)</f>
        <v>171943.11511476088</v>
      </c>
      <c r="Q28" s="159">
        <f>P$28*(1-Data!$E$312)</f>
        <v>165357.69380586554</v>
      </c>
      <c r="R28" s="159">
        <f>Q$28*(1-Data!$E$312)</f>
        <v>159024.49413310087</v>
      </c>
      <c r="S28" s="159">
        <f>R$28*(1-Data!$E$312)</f>
        <v>152933.85600780312</v>
      </c>
      <c r="T28" s="159">
        <f>S$28*(1-Data!$E$312)</f>
        <v>147076.48932270426</v>
      </c>
      <c r="U28" s="159">
        <f>T$28*(1-Data!$E$312)</f>
        <v>141443.45978164469</v>
      </c>
      <c r="V28" s="159">
        <f>U$28*(1-Data!$E$312)</f>
        <v>136026.17527200771</v>
      </c>
      <c r="W28" s="159">
        <f>V$28*(1-Data!$E$312)</f>
        <v>130816.37275908981</v>
      </c>
      <c r="X28" s="159">
        <f>W$28*(1-Data!$E$312)</f>
        <v>125806.10568241666</v>
      </c>
      <c r="Y28" s="159">
        <f>X$28*(1-Data!$E$312)</f>
        <v>120987.7318347801</v>
      </c>
      <c r="Z28" s="159">
        <f>Y$28*(1-Data!$E$312)</f>
        <v>116353.90170550803</v>
      </c>
      <c r="AA28" s="159">
        <f>Z$28*(1-Data!$E$312)</f>
        <v>111897.54727018707</v>
      </c>
      <c r="AB28" s="159">
        <f>AA$28*(1-Data!$E$312)</f>
        <v>107611.87120973891</v>
      </c>
      <c r="AC28" s="159">
        <f>AB$28*(1-Data!$E$312)</f>
        <v>103490.3365424059</v>
      </c>
      <c r="AD28" s="159">
        <f>AC$28*(1-Data!$E$312)</f>
        <v>99526.656652831749</v>
      </c>
      <c r="AE28" s="159">
        <f>AD$28*(1-Data!$E$312)</f>
        <v>95714.78570302829</v>
      </c>
      <c r="AF28" s="159">
        <f>AE$28*(1-Data!$E$312)</f>
        <v>92048.909410602311</v>
      </c>
      <c r="AG28" s="159">
        <f>AF$28*(1-Data!$E$312)</f>
        <v>88523.436180176242</v>
      </c>
      <c r="AH28" s="159">
        <f>AG$28*(1-Data!$E$312)</f>
        <v>85132.988574475487</v>
      </c>
      <c r="AI28" s="159">
        <f>AH$28*(1-Data!$E$312)</f>
        <v>81872.395112073078</v>
      </c>
      <c r="AJ28" s="159">
        <f>AI$28*(1-Data!$E$312)</f>
        <v>78736.682379280683</v>
      </c>
      <c r="AK28" s="159">
        <f>AJ$28*(1-Data!$E$312)</f>
        <v>75721.067444154236</v>
      </c>
      <c r="AL28" s="159">
        <f>AK$28*(1-Data!$E$312)</f>
        <v>72820.950561043122</v>
      </c>
      <c r="AM28" s="159">
        <f>AL$28*(1-Data!$E$312)</f>
        <v>70031.908154555174</v>
      </c>
      <c r="AN28" s="159">
        <f>AM$28*(1-Data!$E$312)</f>
        <v>67349.686072235709</v>
      </c>
      <c r="AO28" s="159">
        <f>AN$28*(1-Data!$E$312)</f>
        <v>64770.193095669078</v>
      </c>
      <c r="AP28" s="17"/>
    </row>
    <row r="29" spans="1:42" x14ac:dyDescent="0.25">
      <c r="A29" s="12"/>
      <c r="B29" s="13"/>
      <c r="C29" s="41"/>
      <c r="D29" s="41"/>
      <c r="E29" s="15"/>
      <c r="F29" s="16"/>
      <c r="G29" s="14"/>
      <c r="H29" s="141"/>
      <c r="I29" s="141"/>
      <c r="J29" s="141"/>
      <c r="K29" s="141"/>
      <c r="L29" s="141"/>
      <c r="M29" s="141"/>
      <c r="N29" s="141"/>
      <c r="O29" s="141"/>
      <c r="P29" s="141"/>
      <c r="Q29" s="141"/>
      <c r="R29" s="141"/>
      <c r="S29" s="141"/>
      <c r="T29" s="141"/>
      <c r="U29" s="141"/>
      <c r="V29" s="141"/>
      <c r="W29" s="141"/>
      <c r="X29" s="141"/>
      <c r="Y29" s="141"/>
      <c r="Z29" s="141"/>
      <c r="AA29" s="141"/>
      <c r="AB29" s="141"/>
      <c r="AC29" s="14"/>
      <c r="AD29" s="14"/>
      <c r="AE29" s="14"/>
      <c r="AF29" s="14"/>
      <c r="AG29" s="14"/>
      <c r="AH29" s="14"/>
      <c r="AI29" s="14"/>
      <c r="AJ29" s="14"/>
      <c r="AK29" s="14"/>
      <c r="AL29" s="14"/>
      <c r="AM29" s="14"/>
      <c r="AN29" s="14"/>
      <c r="AO29" s="14"/>
      <c r="AP29" s="17"/>
    </row>
    <row r="30" spans="1:42" x14ac:dyDescent="0.25">
      <c r="A30" s="23"/>
      <c r="B30" s="23"/>
      <c r="C30" s="24" t="s">
        <v>505</v>
      </c>
      <c r="D30" s="24"/>
      <c r="E30" s="25"/>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7"/>
    </row>
    <row r="31" spans="1:42" x14ac:dyDescent="0.25">
      <c r="A31" s="261"/>
      <c r="B31" s="261"/>
      <c r="C31" s="261" t="s">
        <v>558</v>
      </c>
      <c r="D31" s="261"/>
      <c r="E31" s="262"/>
      <c r="F31" s="263"/>
      <c r="G31" s="263"/>
      <c r="H31" s="264"/>
      <c r="I31" s="264"/>
      <c r="J31" s="264"/>
      <c r="K31" s="264"/>
      <c r="L31" s="264"/>
      <c r="M31" s="264"/>
      <c r="N31" s="264"/>
      <c r="O31" s="264"/>
      <c r="P31" s="264"/>
      <c r="Q31" s="264"/>
      <c r="R31" s="264"/>
      <c r="S31" s="264"/>
      <c r="T31" s="264"/>
      <c r="U31" s="264"/>
      <c r="V31" s="264"/>
      <c r="W31" s="264"/>
      <c r="X31" s="264"/>
      <c r="Y31" s="264"/>
      <c r="Z31" s="264"/>
      <c r="AA31" s="264"/>
      <c r="AB31" s="264"/>
      <c r="AC31" s="263"/>
      <c r="AD31" s="263"/>
      <c r="AE31" s="263"/>
      <c r="AF31" s="263"/>
      <c r="AG31" s="263"/>
      <c r="AH31" s="263"/>
      <c r="AI31" s="263"/>
      <c r="AJ31" s="263"/>
      <c r="AK31" s="263"/>
      <c r="AL31" s="263"/>
      <c r="AM31" s="263"/>
      <c r="AN31" s="263"/>
      <c r="AO31" s="263"/>
      <c r="AP31" s="265"/>
    </row>
    <row r="32" spans="1:42" outlineLevel="1" x14ac:dyDescent="0.25">
      <c r="A32" s="12"/>
      <c r="B32" s="13"/>
      <c r="C32" s="41"/>
      <c r="D32" s="41"/>
      <c r="E32" s="15"/>
      <c r="F32" s="16"/>
      <c r="G32" s="14"/>
      <c r="H32" s="141"/>
      <c r="I32" s="141"/>
      <c r="J32" s="141"/>
      <c r="K32" s="141"/>
      <c r="L32" s="141"/>
      <c r="M32" s="141"/>
      <c r="N32" s="141"/>
      <c r="O32" s="141"/>
      <c r="P32" s="141"/>
      <c r="Q32" s="141"/>
      <c r="R32" s="141"/>
      <c r="S32" s="141"/>
      <c r="T32" s="141"/>
      <c r="U32" s="141"/>
      <c r="V32" s="141"/>
      <c r="W32" s="141"/>
      <c r="X32" s="141"/>
      <c r="Y32" s="141"/>
      <c r="Z32" s="141"/>
      <c r="AA32" s="141"/>
      <c r="AB32" s="141"/>
      <c r="AC32" s="14"/>
      <c r="AD32" s="14"/>
      <c r="AE32" s="14"/>
      <c r="AF32" s="14"/>
      <c r="AG32" s="14"/>
      <c r="AH32" s="14"/>
      <c r="AI32" s="14"/>
      <c r="AJ32" s="14"/>
      <c r="AK32" s="14"/>
      <c r="AL32" s="14"/>
      <c r="AM32" s="14"/>
      <c r="AN32" s="14"/>
      <c r="AO32" s="14"/>
      <c r="AP32" s="17"/>
    </row>
    <row r="33" spans="1:42" outlineLevel="1" x14ac:dyDescent="0.25">
      <c r="A33" s="12"/>
      <c r="B33" s="13"/>
      <c r="C33" s="37" t="s">
        <v>508</v>
      </c>
      <c r="D33" s="37"/>
      <c r="E33" s="38"/>
      <c r="F33" s="39"/>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17"/>
    </row>
    <row r="34" spans="1:42" outlineLevel="1" x14ac:dyDescent="0.25">
      <c r="A34" s="12"/>
      <c r="B34" s="13"/>
      <c r="C34" s="95" t="s">
        <v>559</v>
      </c>
      <c r="D34" s="14"/>
      <c r="E34" s="15"/>
      <c r="F34" s="16"/>
      <c r="G34" s="14"/>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29"/>
    </row>
    <row r="35" spans="1:42" outlineLevel="1" x14ac:dyDescent="0.25">
      <c r="A35" s="12"/>
      <c r="B35" s="13"/>
      <c r="C35" s="96" t="s">
        <v>120</v>
      </c>
      <c r="D35" s="14"/>
      <c r="E35" s="15" t="s">
        <v>142</v>
      </c>
      <c r="F35" s="158" t="str">
        <f>Dashboard!$I$43</f>
        <v>2 Axle rigid</v>
      </c>
      <c r="G35" s="14"/>
      <c r="H35" s="151">
        <f>IF(COUNT($H$3:H3)=(Dashboard!$I$31+1),IF($F$35=$C$35,Data!$E$302,0),0)</f>
        <v>0</v>
      </c>
      <c r="I35" s="151">
        <f>IF(COUNT($H$3:I3)=(Dashboard!$I$31+1),IF($F$35=$C$35,Data!$E$302,0),0)</f>
        <v>0</v>
      </c>
      <c r="J35" s="151">
        <f>IF(COUNT($H$3:J3)=(Dashboard!$I$31+1),IF($F$35=$C$35,Data!$E$302,0),0)</f>
        <v>0</v>
      </c>
      <c r="K35" s="151">
        <f>IF(COUNT($H$3:K3)=(Dashboard!$I$31+1),IF($F$35=$C$35,Data!$E$302,0),0)</f>
        <v>0</v>
      </c>
      <c r="L35" s="151">
        <f>IF(COUNT($H$3:L3)=(Dashboard!$I$31+1),IF($F$35=$C$35,Data!$E$302,0),0)</f>
        <v>0</v>
      </c>
      <c r="M35" s="151">
        <f>IF(COUNT($H$3:M3)=(Dashboard!$I$31+1),IF($F$35=$C$35,Data!$E$302,0),0)</f>
        <v>0</v>
      </c>
      <c r="N35" s="151">
        <f>IF(COUNT($H$3:N3)=(Dashboard!$I$31+1),IF($F$35=$C$35,Data!$E$302,0),0)</f>
        <v>0</v>
      </c>
      <c r="O35" s="151">
        <f>IF(COUNT($H$3:O3)=(Dashboard!$I$31+1),IF($F$35=$C$35,Data!$E$302,0),0)</f>
        <v>0</v>
      </c>
      <c r="P35" s="151">
        <f>IF(COUNT($H$3:P3)=(Dashboard!$I$31+1),IF($F$35=$C$35,Data!$E$302,0),0)</f>
        <v>0</v>
      </c>
      <c r="Q35" s="151">
        <f>IF(COUNT($H$3:Q3)=(Dashboard!$I$31+1),IF($F$35=$C$35,Data!$E$302,0),0)</f>
        <v>0</v>
      </c>
      <c r="R35" s="151">
        <f>IF(COUNT($H$3:R3)=(Dashboard!$I$31+1),IF($F$35=$C$35,Data!$E$302,0),0)</f>
        <v>0</v>
      </c>
      <c r="S35" s="151">
        <f>IF(COUNT($H$3:S3)=(Dashboard!$I$31+1),IF($F$35=$C$35,Data!$E$302,0),0)</f>
        <v>0</v>
      </c>
      <c r="T35" s="151">
        <f>IF(COUNT($H$3:T3)=(Dashboard!$I$31+1),IF($F$35=$C$35,Data!$E$302,0),0)</f>
        <v>605000</v>
      </c>
      <c r="U35" s="151">
        <f>IF(COUNT($H$3:U3)=(Dashboard!$I$31+1),IF($F$35=$C$35,Data!$E$302,0),0)</f>
        <v>0</v>
      </c>
      <c r="V35" s="151">
        <f>IF(COUNT($H$3:V3)=(Dashboard!$I$31+1),IF($F$35=$C$35,Data!$E$302,0),0)</f>
        <v>0</v>
      </c>
      <c r="W35" s="151">
        <f>IF(COUNT($H$3:W3)=(Dashboard!$I$31+1),IF($F$35=$C$35,Data!$E$302,0),0)</f>
        <v>0</v>
      </c>
      <c r="X35" s="151">
        <f>IF(COUNT($H$3:X3)=(Dashboard!$I$31+1),IF($F$35=$C$35,Data!$E$302,0),0)</f>
        <v>0</v>
      </c>
      <c r="Y35" s="151">
        <f>IF(COUNT($H$3:Y3)=(Dashboard!$I$31+1),IF($F$35=$C$35,Data!$E$302,0),0)</f>
        <v>0</v>
      </c>
      <c r="Z35" s="151">
        <f>IF(COUNT($H$3:Z3)=(Dashboard!$I$31+1),IF($F$35=$C$35,Data!$E$302,0),0)</f>
        <v>0</v>
      </c>
      <c r="AA35" s="151">
        <f>IF(COUNT($H$3:AA3)=(Dashboard!$I$31+1),IF($F$35=$C$35,Data!$E$302,0),0)</f>
        <v>0</v>
      </c>
      <c r="AB35" s="151">
        <f>IF(COUNT($H$3:AB3)=(Dashboard!$I$31+1),IF($F$35=$C$35,Data!$E$302,0),0)</f>
        <v>0</v>
      </c>
      <c r="AC35" s="151">
        <f>IF(COUNT($H$3:AC3)=(Dashboard!$I$31+1),IF($F$35=$C$35,Data!$E$302,0),0)</f>
        <v>0</v>
      </c>
      <c r="AD35" s="151">
        <f>IF(COUNT($H$3:AD3)=(Dashboard!$I$31+1),IF($F$35=$C$35,Data!$E$302,0),0)</f>
        <v>0</v>
      </c>
      <c r="AE35" s="151">
        <f>IF(COUNT($H$3:AE3)=(Dashboard!$I$31+1),IF($F$35=$C$35,Data!$E$302,0),0)</f>
        <v>0</v>
      </c>
      <c r="AF35" s="151">
        <f>IF(COUNT($H$3:AF3)=(Dashboard!$I$31+1),IF($F$35=$C$35,Data!$E$302,0),0)</f>
        <v>0</v>
      </c>
      <c r="AG35" s="151">
        <f>IF(COUNT($H$3:AG3)=(Dashboard!$I$31+1),IF($F$35=$C$35,Data!$E$302,0),0)</f>
        <v>0</v>
      </c>
      <c r="AH35" s="151">
        <f>IF(COUNT($H$3:AH3)=(Dashboard!$I$31+1),IF($F$35=$C$35,Data!$E$302,0),0)</f>
        <v>0</v>
      </c>
      <c r="AI35" s="151">
        <f>IF(COUNT($H$3:AI3)=(Dashboard!$I$31+1),IF($F$35=$C$35,Data!$E$302,0),0)</f>
        <v>0</v>
      </c>
      <c r="AJ35" s="151">
        <f>IF(COUNT($H$3:AJ3)=(Dashboard!$I$31+1),IF($F$35=$C$35,Data!$E$302,0),0)</f>
        <v>0</v>
      </c>
      <c r="AK35" s="151">
        <f>IF(COUNT($H$3:AK3)=(Dashboard!$I$31+1),IF($F$35=$C$35,Data!$E$302,0),0)</f>
        <v>0</v>
      </c>
      <c r="AL35" s="151">
        <f>IF(COUNT($H$3:AL3)=(Dashboard!$I$31+1),IF($F$35=$C$35,Data!$E$302,0),0)</f>
        <v>0</v>
      </c>
      <c r="AM35" s="151">
        <f>IF(COUNT($H$3:AM3)=(Dashboard!$I$31+1),IF($F$35=$C$35,Data!$E$302,0),0)</f>
        <v>0</v>
      </c>
      <c r="AN35" s="151">
        <f>IF(COUNT($H$3:AN3)=(Dashboard!$I$31+1),IF($F$35=$C$35,Data!$E$302,0),0)</f>
        <v>0</v>
      </c>
      <c r="AO35" s="151">
        <f>IF(COUNT($H$3:AO3)=(Dashboard!$I$31+1),IF($F$35=$C$35,Data!$E$302,0),0)</f>
        <v>0</v>
      </c>
      <c r="AP35" s="29"/>
    </row>
    <row r="36" spans="1:42" outlineLevel="1" x14ac:dyDescent="0.25">
      <c r="A36" s="12"/>
      <c r="B36" s="13"/>
      <c r="C36" s="96" t="s">
        <v>124</v>
      </c>
      <c r="D36" s="14"/>
      <c r="E36" s="15" t="s">
        <v>142</v>
      </c>
      <c r="F36" s="158" t="str">
        <f>Dashboard!$I$43</f>
        <v>2 Axle rigid</v>
      </c>
      <c r="G36" s="14"/>
      <c r="H36" s="151">
        <f>IF(COUNT($H$3:H3)=(Dashboard!$I$31+1),IF($F$36=$C$36,Data!$E$303,0),0)</f>
        <v>0</v>
      </c>
      <c r="I36" s="151">
        <f>IF(COUNT($H$3:I3)=(Dashboard!$I$31+1),IF($F$36=$C$36,Data!$E$303,0),0)</f>
        <v>0</v>
      </c>
      <c r="J36" s="151">
        <f>IF(COUNT($H$3:J3)=(Dashboard!$I$31+1),IF($F$36=$C$36,Data!$E$303,0),0)</f>
        <v>0</v>
      </c>
      <c r="K36" s="151">
        <f>IF(COUNT($H$3:K3)=(Dashboard!$I$31+1),IF($F$36=$C$36,Data!$E$303,0),0)</f>
        <v>0</v>
      </c>
      <c r="L36" s="151">
        <f>IF(COUNT($H$3:L3)=(Dashboard!$I$31+1),IF($F$36=$C$36,Data!$E$303,0),0)</f>
        <v>0</v>
      </c>
      <c r="M36" s="151">
        <f>IF(COUNT($H$3:M3)=(Dashboard!$I$31+1),IF($F$36=$C$36,Data!$E$303,0),0)</f>
        <v>0</v>
      </c>
      <c r="N36" s="151">
        <f>IF(COUNT($H$3:N3)=(Dashboard!$I$31+1),IF($F$36=$C$36,Data!$E$303,0),0)</f>
        <v>0</v>
      </c>
      <c r="O36" s="151">
        <f>IF(COUNT($H$3:O3)=(Dashboard!$I$31+1),IF($F$36=$C$36,Data!$E$303,0),0)</f>
        <v>0</v>
      </c>
      <c r="P36" s="151">
        <f>IF(COUNT($H$3:P3)=(Dashboard!$I$31+1),IF($F$36=$C$36,Data!$E$303,0),0)</f>
        <v>0</v>
      </c>
      <c r="Q36" s="151">
        <f>IF(COUNT($H$3:Q3)=(Dashboard!$I$31+1),IF($F$36=$C$36,Data!$E$303,0),0)</f>
        <v>0</v>
      </c>
      <c r="R36" s="151">
        <f>IF(COUNT($H$3:R3)=(Dashboard!$I$31+1),IF($F$36=$C$36,Data!$E$303,0),0)</f>
        <v>0</v>
      </c>
      <c r="S36" s="151">
        <f>IF(COUNT($H$3:S3)=(Dashboard!$I$31+1),IF($F$36=$C$36,Data!$E$303,0),0)</f>
        <v>0</v>
      </c>
      <c r="T36" s="151">
        <f>IF(COUNT($H$3:T3)=(Dashboard!$I$31+1),IF($F$36=$C$36,Data!$E$303,0),0)</f>
        <v>0</v>
      </c>
      <c r="U36" s="151">
        <f>IF(COUNT($H$3:U3)=(Dashboard!$I$31+1),IF($F$36=$C$36,Data!$E$303,0),0)</f>
        <v>0</v>
      </c>
      <c r="V36" s="151">
        <f>IF(COUNT($H$3:V3)=(Dashboard!$I$31+1),IF($F$36=$C$36,Data!$E$303,0),0)</f>
        <v>0</v>
      </c>
      <c r="W36" s="151">
        <f>IF(COUNT($H$3:W3)=(Dashboard!$I$31+1),IF($F$36=$C$36,Data!$E$303,0),0)</f>
        <v>0</v>
      </c>
      <c r="X36" s="151">
        <f>IF(COUNT($H$3:X3)=(Dashboard!$I$31+1),IF($F$36=$C$36,Data!$E$303,0),0)</f>
        <v>0</v>
      </c>
      <c r="Y36" s="151">
        <f>IF(COUNT($H$3:Y3)=(Dashboard!$I$31+1),IF($F$36=$C$36,Data!$E$303,0),0)</f>
        <v>0</v>
      </c>
      <c r="Z36" s="151">
        <f>IF(COUNT($H$3:Z3)=(Dashboard!$I$31+1),IF($F$36=$C$36,Data!$E$303,0),0)</f>
        <v>0</v>
      </c>
      <c r="AA36" s="151">
        <f>IF(COUNT($H$3:AA3)=(Dashboard!$I$31+1),IF($F$36=$C$36,Data!$E$303,0),0)</f>
        <v>0</v>
      </c>
      <c r="AB36" s="151">
        <f>IF(COUNT($H$3:AB3)=(Dashboard!$I$31+1),IF($F$36=$C$36,Data!$E$303,0),0)</f>
        <v>0</v>
      </c>
      <c r="AC36" s="151">
        <f>IF(COUNT($H$3:AC3)=(Dashboard!$I$31+1),IF($F$36=$C$36,Data!$E$303,0),0)</f>
        <v>0</v>
      </c>
      <c r="AD36" s="151">
        <f>IF(COUNT($H$3:AD3)=(Dashboard!$I$31+1),IF($F$36=$C$36,Data!$E$303,0),0)</f>
        <v>0</v>
      </c>
      <c r="AE36" s="151">
        <f>IF(COUNT($H$3:AE3)=(Dashboard!$I$31+1),IF($F$36=$C$36,Data!$E$303,0),0)</f>
        <v>0</v>
      </c>
      <c r="AF36" s="151">
        <f>IF(COUNT($H$3:AF3)=(Dashboard!$I$31+1),IF($F$36=$C$36,Data!$E$303,0),0)</f>
        <v>0</v>
      </c>
      <c r="AG36" s="151">
        <f>IF(COUNT($H$3:AG3)=(Dashboard!$I$31+1),IF($F$36=$C$36,Data!$E$303,0),0)</f>
        <v>0</v>
      </c>
      <c r="AH36" s="151">
        <f>IF(COUNT($H$3:AH3)=(Dashboard!$I$31+1),IF($F$36=$C$36,Data!$E$303,0),0)</f>
        <v>0</v>
      </c>
      <c r="AI36" s="151">
        <f>IF(COUNT($H$3:AI3)=(Dashboard!$I$31+1),IF($F$36=$C$36,Data!$E$303,0),0)</f>
        <v>0</v>
      </c>
      <c r="AJ36" s="151">
        <f>IF(COUNT($H$3:AJ3)=(Dashboard!$I$31+1),IF($F$36=$C$36,Data!$E$303,0),0)</f>
        <v>0</v>
      </c>
      <c r="AK36" s="151">
        <f>IF(COUNT($H$3:AK3)=(Dashboard!$I$31+1),IF($F$36=$C$36,Data!$E$303,0),0)</f>
        <v>0</v>
      </c>
      <c r="AL36" s="151">
        <f>IF(COUNT($H$3:AL3)=(Dashboard!$I$31+1),IF($F$36=$C$36,Data!$E$303,0),0)</f>
        <v>0</v>
      </c>
      <c r="AM36" s="151">
        <f>IF(COUNT($H$3:AM3)=(Dashboard!$I$31+1),IF($F$36=$C$36,Data!$E$303,0),0)</f>
        <v>0</v>
      </c>
      <c r="AN36" s="151">
        <f>IF(COUNT($H$3:AN3)=(Dashboard!$I$31+1),IF($F$36=$C$36,Data!$E$303,0),0)</f>
        <v>0</v>
      </c>
      <c r="AO36" s="151">
        <f>IF(COUNT($H$3:AO3)=(Dashboard!$I$31+1),IF($F$36=$C$36,Data!$E$303,0),0)</f>
        <v>0</v>
      </c>
      <c r="AP36" s="29"/>
    </row>
    <row r="37" spans="1:42" outlineLevel="1" x14ac:dyDescent="0.25">
      <c r="A37" s="12"/>
      <c r="B37" s="13"/>
      <c r="C37" s="96" t="s">
        <v>126</v>
      </c>
      <c r="D37" s="14"/>
      <c r="E37" s="15" t="s">
        <v>142</v>
      </c>
      <c r="F37" s="158" t="str">
        <f>Dashboard!$I$43</f>
        <v>2 Axle rigid</v>
      </c>
      <c r="G37" s="14"/>
      <c r="H37" s="151">
        <f>IF(COUNT($H$3:H3)=(Dashboard!$I$31+1),IF($F$37=$C$37,Data!$E$304,0),0)</f>
        <v>0</v>
      </c>
      <c r="I37" s="151">
        <f>IF(COUNT($H$3:I3)=(Dashboard!$I$31+1),IF($F$37=$C$37,Data!$E$304,0),0)</f>
        <v>0</v>
      </c>
      <c r="J37" s="151">
        <f>IF(COUNT($H$3:J3)=(Dashboard!$I$31+1),IF($F$37=$C$37,Data!$E$304,0),0)</f>
        <v>0</v>
      </c>
      <c r="K37" s="151">
        <f>IF(COUNT($H$3:K3)=(Dashboard!$I$31+1),IF($F$37=$C$37,Data!$E$304,0),0)</f>
        <v>0</v>
      </c>
      <c r="L37" s="151">
        <f>IF(COUNT($H$3:L3)=(Dashboard!$I$31+1),IF($F$37=$C$37,Data!$E$304,0),0)</f>
        <v>0</v>
      </c>
      <c r="M37" s="151">
        <f>IF(COUNT($H$3:M3)=(Dashboard!$I$31+1),IF($F$37=$C$37,Data!$E$304,0),0)</f>
        <v>0</v>
      </c>
      <c r="N37" s="151">
        <f>IF(COUNT($H$3:N3)=(Dashboard!$I$31+1),IF($F$37=$C$37,Data!$E$304,0),0)</f>
        <v>0</v>
      </c>
      <c r="O37" s="151">
        <f>IF(COUNT($H$3:O3)=(Dashboard!$I$31+1),IF($F$37=$C$37,Data!$E$304,0),0)</f>
        <v>0</v>
      </c>
      <c r="P37" s="151">
        <f>IF(COUNT($H$3:P3)=(Dashboard!$I$31+1),IF($F$37=$C$37,Data!$E$304,0),0)</f>
        <v>0</v>
      </c>
      <c r="Q37" s="151">
        <f>IF(COUNT($H$3:Q3)=(Dashboard!$I$31+1),IF($F$37=$C$37,Data!$E$304,0),0)</f>
        <v>0</v>
      </c>
      <c r="R37" s="151">
        <f>IF(COUNT($H$3:R3)=(Dashboard!$I$31+1),IF($F$37=$C$37,Data!$E$304,0),0)</f>
        <v>0</v>
      </c>
      <c r="S37" s="151">
        <f>IF(COUNT($H$3:S3)=(Dashboard!$I$31+1),IF($F$37=$C$37,Data!$E$304,0),0)</f>
        <v>0</v>
      </c>
      <c r="T37" s="151">
        <f>IF(COUNT($H$3:T3)=(Dashboard!$I$31+1),IF($F$37=$C$37,Data!$E$304,0),0)</f>
        <v>0</v>
      </c>
      <c r="U37" s="151">
        <f>IF(COUNT($H$3:U3)=(Dashboard!$I$31+1),IF($F$37=$C$37,Data!$E$304,0),0)</f>
        <v>0</v>
      </c>
      <c r="V37" s="151">
        <f>IF(COUNT($H$3:V3)=(Dashboard!$I$31+1),IF($F$37=$C$37,Data!$E$304,0),0)</f>
        <v>0</v>
      </c>
      <c r="W37" s="151">
        <f>IF(COUNT($H$3:W3)=(Dashboard!$I$31+1),IF($F$37=$C$37,Data!$E$304,0),0)</f>
        <v>0</v>
      </c>
      <c r="X37" s="151">
        <f>IF(COUNT($H$3:X3)=(Dashboard!$I$31+1),IF($F$37=$C$37,Data!$E$304,0),0)</f>
        <v>0</v>
      </c>
      <c r="Y37" s="151">
        <f>IF(COUNT($H$3:Y3)=(Dashboard!$I$31+1),IF($F$37=$C$37,Data!$E$304,0),0)</f>
        <v>0</v>
      </c>
      <c r="Z37" s="151">
        <f>IF(COUNT($H$3:Z3)=(Dashboard!$I$31+1),IF($F$37=$C$37,Data!$E$304,0),0)</f>
        <v>0</v>
      </c>
      <c r="AA37" s="151">
        <f>IF(COUNT($H$3:AA3)=(Dashboard!$I$31+1),IF($F$37=$C$37,Data!$E$304,0),0)</f>
        <v>0</v>
      </c>
      <c r="AB37" s="151">
        <f>IF(COUNT($H$3:AB3)=(Dashboard!$I$31+1),IF($F$37=$C$37,Data!$E$304,0),0)</f>
        <v>0</v>
      </c>
      <c r="AC37" s="151">
        <f>IF(COUNT($H$3:AC3)=(Dashboard!$I$31+1),IF($F$37=$C$37,Data!$E$304,0),0)</f>
        <v>0</v>
      </c>
      <c r="AD37" s="151">
        <f>IF(COUNT($H$3:AD3)=(Dashboard!$I$31+1),IF($F$37=$C$37,Data!$E$304,0),0)</f>
        <v>0</v>
      </c>
      <c r="AE37" s="151">
        <f>IF(COUNT($H$3:AE3)=(Dashboard!$I$31+1),IF($F$37=$C$37,Data!$E$304,0),0)</f>
        <v>0</v>
      </c>
      <c r="AF37" s="151">
        <f>IF(COUNT($H$3:AF3)=(Dashboard!$I$31+1),IF($F$37=$C$37,Data!$E$304,0),0)</f>
        <v>0</v>
      </c>
      <c r="AG37" s="151">
        <f>IF(COUNT($H$3:AG3)=(Dashboard!$I$31+1),IF($F$37=$C$37,Data!$E$304,0),0)</f>
        <v>0</v>
      </c>
      <c r="AH37" s="151">
        <f>IF(COUNT($H$3:AH3)=(Dashboard!$I$31+1),IF($F$37=$C$37,Data!$E$304,0),0)</f>
        <v>0</v>
      </c>
      <c r="AI37" s="151">
        <f>IF(COUNT($H$3:AI3)=(Dashboard!$I$31+1),IF($F$37=$C$37,Data!$E$304,0),0)</f>
        <v>0</v>
      </c>
      <c r="AJ37" s="151">
        <f>IF(COUNT($H$3:AJ3)=(Dashboard!$I$31+1),IF($F$37=$C$37,Data!$E$304,0),0)</f>
        <v>0</v>
      </c>
      <c r="AK37" s="151">
        <f>IF(COUNT($H$3:AK3)=(Dashboard!$I$31+1),IF($F$37=$C$37,Data!$E$304,0),0)</f>
        <v>0</v>
      </c>
      <c r="AL37" s="151">
        <f>IF(COUNT($H$3:AL3)=(Dashboard!$I$31+1),IF($F$37=$C$37,Data!$E$304,0),0)</f>
        <v>0</v>
      </c>
      <c r="AM37" s="151">
        <f>IF(COUNT($H$3:AM3)=(Dashboard!$I$31+1),IF($F$37=$C$37,Data!$E$304,0),0)</f>
        <v>0</v>
      </c>
      <c r="AN37" s="151">
        <f>IF(COUNT($H$3:AN3)=(Dashboard!$I$31+1),IF($F$37=$C$37,Data!$E$304,0),0)</f>
        <v>0</v>
      </c>
      <c r="AO37" s="151">
        <f>IF(COUNT($H$3:AO3)=(Dashboard!$I$31+1),IF($F$37=$C$37,Data!$E$304,0),0)</f>
        <v>0</v>
      </c>
      <c r="AP37" s="29"/>
    </row>
    <row r="38" spans="1:42" outlineLevel="1" x14ac:dyDescent="0.25">
      <c r="A38" s="12"/>
      <c r="B38" s="13"/>
      <c r="C38" s="96"/>
      <c r="D38" s="14"/>
      <c r="E38" s="15"/>
      <c r="F38" s="158"/>
      <c r="G38" s="14"/>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29"/>
    </row>
    <row r="39" spans="1:42" outlineLevel="1" x14ac:dyDescent="0.25">
      <c r="A39" s="12"/>
      <c r="B39" s="13"/>
      <c r="C39" s="373" t="s">
        <v>545</v>
      </c>
      <c r="D39" s="14"/>
      <c r="E39" s="15"/>
      <c r="F39" s="158"/>
      <c r="G39" s="14"/>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29"/>
    </row>
    <row r="40" spans="1:42" outlineLevel="1" x14ac:dyDescent="0.25">
      <c r="A40" s="12"/>
      <c r="B40" s="13"/>
      <c r="C40" s="96" t="s">
        <v>120</v>
      </c>
      <c r="D40" s="14"/>
      <c r="E40" s="15" t="s">
        <v>142</v>
      </c>
      <c r="F40" s="158" t="str">
        <f>Dashboard!$I$43</f>
        <v>2 Axle rigid</v>
      </c>
      <c r="G40" s="14"/>
      <c r="H40" s="151">
        <f>IF(COUNT($H$3:H3)=(Dashboard!$I$31+Data!$E$307+1),IF($F$40=$C$40,H26,0),0)</f>
        <v>0</v>
      </c>
      <c r="I40" s="151">
        <f>IF(COUNT($H$3:I3)=(Dashboard!$I$31+Data!$E$307+1),IF($F$40=$C$40,I26,0),0)</f>
        <v>0</v>
      </c>
      <c r="J40" s="151">
        <f>IF(COUNT($H$3:J3)=(Dashboard!$I$31+Data!$E$307+1),IF($F$40=$C$40,J26,0),0)</f>
        <v>0</v>
      </c>
      <c r="K40" s="151">
        <f>IF(COUNT($H$3:K3)=(Dashboard!$I$31+Data!$E$307+1),IF($F$40=$C$40,K26,0),0)</f>
        <v>0</v>
      </c>
      <c r="L40" s="151">
        <f>IF(COUNT($H$3:L3)=(Dashboard!$I$31+Data!$E$307+1),IF($F$40=$C$40,L26,0),0)</f>
        <v>0</v>
      </c>
      <c r="M40" s="151">
        <f>IF(COUNT($H$3:M3)=(Dashboard!$I$31+Data!$E$307+1),IF($F$40=$C$40,M26,0),0)</f>
        <v>0</v>
      </c>
      <c r="N40" s="151">
        <f>IF(COUNT($H$3:N3)=(Dashboard!$I$31+Data!$E$307+1),IF($F$40=$C$40,N26,0),0)</f>
        <v>0</v>
      </c>
      <c r="O40" s="151">
        <f>IF(COUNT($H$3:O3)=(Dashboard!$I$31+Data!$E$307+1),IF($F$40=$C$40,O26,0),0)</f>
        <v>0</v>
      </c>
      <c r="P40" s="151">
        <f>IF(COUNT($H$3:P3)=(Dashboard!$I$31+Data!$E$307+1),IF($F$40=$C$40,P26,0),0)</f>
        <v>0</v>
      </c>
      <c r="Q40" s="151">
        <f>IF(COUNT($H$3:Q3)=(Dashboard!$I$31+Data!$E$307+1),IF($F$40=$C$40,Q26,0),0)</f>
        <v>0</v>
      </c>
      <c r="R40" s="151">
        <f>IF(COUNT($H$3:R3)=(Dashboard!$I$31+Data!$E$307+1),IF($F$40=$C$40,R26,0),0)</f>
        <v>0</v>
      </c>
      <c r="S40" s="151">
        <f>IF(COUNT($H$3:S3)=(Dashboard!$I$31+Data!$E$307+1),IF($F$40=$C$40,S26,0),0)</f>
        <v>0</v>
      </c>
      <c r="T40" s="151">
        <f>IF(COUNT($H$3:T3)=(Dashboard!$I$31+Data!$E$307+1),IF($F$40=$C$40,T26,0),0)</f>
        <v>0</v>
      </c>
      <c r="U40" s="151">
        <f>IF(COUNT($H$3:U3)=(Dashboard!$I$31+Data!$E$307+1),IF($F$40=$C$40,U26,0),0)</f>
        <v>0</v>
      </c>
      <c r="V40" s="151">
        <f>IF(COUNT($H$3:V3)=(Dashboard!$I$31+Data!$E$307+1),IF($F$40=$C$40,V26,0),0)</f>
        <v>0</v>
      </c>
      <c r="W40" s="151">
        <f>IF(COUNT($H$3:W3)=(Dashboard!$I$31+Data!$E$307+1),IF($F$40=$C$40,W26,0),0)</f>
        <v>0</v>
      </c>
      <c r="X40" s="151">
        <f>IF(COUNT($H$3:X3)=(Dashboard!$I$31+Data!$E$307+1),IF($F$40=$C$40,X26,0),0)</f>
        <v>0</v>
      </c>
      <c r="Y40" s="151">
        <f>IF(COUNT($H$3:Y3)=(Dashboard!$I$31+Data!$E$307+1),IF($F$40=$C$40,Y26,0),0)</f>
        <v>0</v>
      </c>
      <c r="Z40" s="151">
        <f>IF(COUNT($H$3:Z3)=(Dashboard!$I$31+Data!$E$307+1),IF($F$40=$C$40,Z26,0),0)</f>
        <v>0</v>
      </c>
      <c r="AA40" s="151">
        <f>IF(COUNT($H$3:AA3)=(Dashboard!$I$31+Data!$E$307+1),IF($F$40=$C$40,AA26,0),0)</f>
        <v>0</v>
      </c>
      <c r="AB40" s="151">
        <f>IF(COUNT($H$3:AB3)=(Dashboard!$I$31+Data!$E$307+1),IF($F$40=$C$40,AB26,0),0)</f>
        <v>0</v>
      </c>
      <c r="AC40" s="151">
        <f>IF(COUNT($H$3:AC3)=(Dashboard!$I$31+Data!$E$307+1),IF($F$40=$C$40,AC26,0),0)</f>
        <v>68699.968087724803</v>
      </c>
      <c r="AD40" s="151">
        <f>IF(COUNT($H$3:AD3)=(Dashboard!$I$31+Data!$E$307+1),IF($F$40=$C$40,AD26,0),0)</f>
        <v>0</v>
      </c>
      <c r="AE40" s="151">
        <f>IF(COUNT($H$3:AE3)=(Dashboard!$I$31+Data!$E$307+1),IF($F$40=$C$40,AE26,0),0)</f>
        <v>0</v>
      </c>
      <c r="AF40" s="151">
        <f>IF(COUNT($H$3:AF3)=(Dashboard!$I$31+Data!$E$307+1),IF($F$40=$C$40,AF26,0),0)</f>
        <v>0</v>
      </c>
      <c r="AG40" s="151">
        <f>IF(COUNT($H$3:AG3)=(Dashboard!$I$31+Data!$E$307+1),IF($F$40=$C$40,AG26,0),0)</f>
        <v>0</v>
      </c>
      <c r="AH40" s="151">
        <f>IF(COUNT($H$3:AH3)=(Dashboard!$I$31+Data!$E$307+1),IF($F$40=$C$40,AH26,0),0)</f>
        <v>0</v>
      </c>
      <c r="AI40" s="151">
        <f>IF(COUNT($H$3:AI3)=(Dashboard!$I$31+Data!$E$307+1),IF($F$40=$C$40,AI26,0),0)</f>
        <v>0</v>
      </c>
      <c r="AJ40" s="151">
        <f>IF(COUNT($H$3:AJ3)=(Dashboard!$I$31+Data!$E$307+1),IF($F$40=$C$40,AJ26,0),0)</f>
        <v>0</v>
      </c>
      <c r="AK40" s="151">
        <f>IF(COUNT($H$3:AK3)=(Dashboard!$I$31+Data!$E$307+1),IF($F$40=$C$40,AK26,0),0)</f>
        <v>0</v>
      </c>
      <c r="AL40" s="151">
        <f>IF(COUNT($H$3:AL3)=(Dashboard!$I$31+Data!$E$307+1),IF($F$40=$C$40,AL26,0),0)</f>
        <v>0</v>
      </c>
      <c r="AM40" s="151">
        <f>IF(COUNT($H$3:AM3)=(Dashboard!$I$31+Data!$E$307+1),IF($F$40=$C$40,AM26,0),0)</f>
        <v>0</v>
      </c>
      <c r="AN40" s="151">
        <f>IF(COUNT($H$3:AN3)=(Dashboard!$I$31+Data!$E$307+1),IF($F$40=$C$40,AN26,0),0)</f>
        <v>0</v>
      </c>
      <c r="AO40" s="151">
        <f>IF(COUNT($H$3:AO3)=(Dashboard!$I$31+Data!$E$307+1),IF($F$40=$C$40,AO26,0),0)</f>
        <v>0</v>
      </c>
      <c r="AP40" s="29"/>
    </row>
    <row r="41" spans="1:42" outlineLevel="1" x14ac:dyDescent="0.25">
      <c r="A41" s="12"/>
      <c r="B41" s="13"/>
      <c r="C41" s="96" t="s">
        <v>124</v>
      </c>
      <c r="D41" s="14"/>
      <c r="E41" s="15" t="s">
        <v>142</v>
      </c>
      <c r="F41" s="158" t="str">
        <f>Dashboard!$I$43</f>
        <v>2 Axle rigid</v>
      </c>
      <c r="G41" s="14"/>
      <c r="H41" s="151">
        <f>IF(COUNT($H$3:H3)=(Dashboard!$I$31+Data!$E$307+1),IF($F$41=$C$41,H27,0),0)</f>
        <v>0</v>
      </c>
      <c r="I41" s="151">
        <f>IF(COUNT($H$3:I3)=(Dashboard!$I$31+Data!$E$307+1),IF($F$41=$C$41,I27,0),0)</f>
        <v>0</v>
      </c>
      <c r="J41" s="151">
        <f>IF(COUNT($H$3:J3)=(Dashboard!$I$31+Data!$E$307+1),IF($F$41=$C$41,J27,0),0)</f>
        <v>0</v>
      </c>
      <c r="K41" s="151">
        <f>IF(COUNT($H$3:K3)=(Dashboard!$I$31+Data!$E$307+1),IF($F$41=$C$41,K27,0),0)</f>
        <v>0</v>
      </c>
      <c r="L41" s="151">
        <f>IF(COUNT($H$3:L3)=(Dashboard!$I$31+Data!$E$307+1),IF($F$41=$C$41,L27,0),0)</f>
        <v>0</v>
      </c>
      <c r="M41" s="151">
        <f>IF(COUNT($H$3:M3)=(Dashboard!$I$31+Data!$E$307+1),IF($F$41=$C$41,M27,0),0)</f>
        <v>0</v>
      </c>
      <c r="N41" s="151">
        <f>IF(COUNT($H$3:N3)=(Dashboard!$I$31+Data!$E$307+1),IF($F$41=$C$41,N27,0),0)</f>
        <v>0</v>
      </c>
      <c r="O41" s="151">
        <f>IF(COUNT($H$3:O3)=(Dashboard!$I$31+Data!$E$307+1),IF($F$41=$C$41,O27,0),0)</f>
        <v>0</v>
      </c>
      <c r="P41" s="151">
        <f>IF(COUNT($H$3:P3)=(Dashboard!$I$31+Data!$E$307+1),IF($F$41=$C$41,P27,0),0)</f>
        <v>0</v>
      </c>
      <c r="Q41" s="151">
        <f>IF(COUNT($H$3:Q3)=(Dashboard!$I$31+Data!$E$307+1),IF($F$41=$C$41,Q27,0),0)</f>
        <v>0</v>
      </c>
      <c r="R41" s="151">
        <f>IF(COUNT($H$3:R3)=(Dashboard!$I$31+Data!$E$307+1),IF($F$41=$C$41,R27,0),0)</f>
        <v>0</v>
      </c>
      <c r="S41" s="151">
        <f>IF(COUNT($H$3:S3)=(Dashboard!$I$31+Data!$E$307+1),IF($F$41=$C$41,S27,0),0)</f>
        <v>0</v>
      </c>
      <c r="T41" s="151">
        <f>IF(COUNT($H$3:T3)=(Dashboard!$I$31+Data!$E$307+1),IF($F$41=$C$41,T27,0),0)</f>
        <v>0</v>
      </c>
      <c r="U41" s="151">
        <f>IF(COUNT($H$3:U3)=(Dashboard!$I$31+Data!$E$307+1),IF($F$41=$C$41,U27,0),0)</f>
        <v>0</v>
      </c>
      <c r="V41" s="151">
        <f>IF(COUNT($H$3:V3)=(Dashboard!$I$31+Data!$E$307+1),IF($F$41=$C$41,V27,0),0)</f>
        <v>0</v>
      </c>
      <c r="W41" s="151">
        <f>IF(COUNT($H$3:W3)=(Dashboard!$I$31+Data!$E$307+1),IF($F$41=$C$41,W27,0),0)</f>
        <v>0</v>
      </c>
      <c r="X41" s="151">
        <f>IF(COUNT($H$3:X3)=(Dashboard!$I$31+Data!$E$307+1),IF($F$41=$C$41,X27,0),0)</f>
        <v>0</v>
      </c>
      <c r="Y41" s="151">
        <f>IF(COUNT($H$3:Y3)=(Dashboard!$I$31+Data!$E$307+1),IF($F$41=$C$41,Y27,0),0)</f>
        <v>0</v>
      </c>
      <c r="Z41" s="151">
        <f>IF(COUNT($H$3:Z3)=(Dashboard!$I$31+Data!$E$307+1),IF($F$41=$C$41,Z27,0),0)</f>
        <v>0</v>
      </c>
      <c r="AA41" s="151">
        <f>IF(COUNT($H$3:AA3)=(Dashboard!$I$31+Data!$E$307+1),IF($F$41=$C$41,AA27,0),0)</f>
        <v>0</v>
      </c>
      <c r="AB41" s="151">
        <f>IF(COUNT($H$3:AB3)=(Dashboard!$I$31+Data!$E$307+1),IF($F$41=$C$41,AB27,0),0)</f>
        <v>0</v>
      </c>
      <c r="AC41" s="151">
        <f>IF(COUNT($H$3:AC3)=(Dashboard!$I$31+Data!$E$307+1),IF($F$41=$C$41,AC27,0),0)</f>
        <v>0</v>
      </c>
      <c r="AD41" s="151">
        <f>IF(COUNT($H$3:AD3)=(Dashboard!$I$31+Data!$E$307+1),IF($F$41=$C$41,AD27,0),0)</f>
        <v>0</v>
      </c>
      <c r="AE41" s="151">
        <f>IF(COUNT($H$3:AE3)=(Dashboard!$I$31+Data!$E$307+1),IF($F$41=$C$41,AE27,0),0)</f>
        <v>0</v>
      </c>
      <c r="AF41" s="151">
        <f>IF(COUNT($H$3:AF3)=(Dashboard!$I$31+Data!$E$307+1),IF($F$41=$C$41,AF27,0),0)</f>
        <v>0</v>
      </c>
      <c r="AG41" s="151">
        <f>IF(COUNT($H$3:AG3)=(Dashboard!$I$31+Data!$E$307+1),IF($F$41=$C$41,AG27,0),0)</f>
        <v>0</v>
      </c>
      <c r="AH41" s="151">
        <f>IF(COUNT($H$3:AH3)=(Dashboard!$I$31+Data!$E$307+1),IF($F$41=$C$41,AH27,0),0)</f>
        <v>0</v>
      </c>
      <c r="AI41" s="151">
        <f>IF(COUNT($H$3:AI3)=(Dashboard!$I$31+Data!$E$307+1),IF($F$41=$C$41,AI27,0),0)</f>
        <v>0</v>
      </c>
      <c r="AJ41" s="151">
        <f>IF(COUNT($H$3:AJ3)=(Dashboard!$I$31+Data!$E$307+1),IF($F$41=$C$41,AJ27,0),0)</f>
        <v>0</v>
      </c>
      <c r="AK41" s="151">
        <f>IF(COUNT($H$3:AK3)=(Dashboard!$I$31+Data!$E$307+1),IF($F$41=$C$41,AK27,0),0)</f>
        <v>0</v>
      </c>
      <c r="AL41" s="151">
        <f>IF(COUNT($H$3:AL3)=(Dashboard!$I$31+Data!$E$307+1),IF($F$41=$C$41,AL27,0),0)</f>
        <v>0</v>
      </c>
      <c r="AM41" s="151">
        <f>IF(COUNT($H$3:AM3)=(Dashboard!$I$31+Data!$E$307+1),IF($F$41=$C$41,AM27,0),0)</f>
        <v>0</v>
      </c>
      <c r="AN41" s="151">
        <f>IF(COUNT($H$3:AN3)=(Dashboard!$I$31+Data!$E$307+1),IF($F$41=$C$41,AN27,0),0)</f>
        <v>0</v>
      </c>
      <c r="AO41" s="151">
        <f>IF(COUNT($H$3:AO3)=(Dashboard!$I$31+Data!$E$307+1),IF($F$41=$C$41,AO27,0),0)</f>
        <v>0</v>
      </c>
      <c r="AP41" s="29"/>
    </row>
    <row r="42" spans="1:42" outlineLevel="1" x14ac:dyDescent="0.25">
      <c r="A42" s="12"/>
      <c r="B42" s="13"/>
      <c r="C42" s="96" t="s">
        <v>126</v>
      </c>
      <c r="D42" s="14"/>
      <c r="E42" s="15" t="s">
        <v>142</v>
      </c>
      <c r="F42" s="158" t="str">
        <f>Dashboard!$I$43</f>
        <v>2 Axle rigid</v>
      </c>
      <c r="G42" s="14"/>
      <c r="H42" s="151">
        <f>IF(COUNT($H$3:H3)=(Dashboard!$I$31+Data!$E$307+1),IF($F$42=$C$42,H28,0),0)</f>
        <v>0</v>
      </c>
      <c r="I42" s="151">
        <f>IF(COUNT($H$3:I3)=(Dashboard!$I$31+Data!$E$307+1),IF($F$42=$C$42,I28,0),0)</f>
        <v>0</v>
      </c>
      <c r="J42" s="151">
        <f>IF(COUNT($H$3:J3)=(Dashboard!$I$31+Data!$E$307+1),IF($F$42=$C$42,J28,0),0)</f>
        <v>0</v>
      </c>
      <c r="K42" s="151">
        <f>IF(COUNT($H$3:K3)=(Dashboard!$I$31+Data!$E$307+1),IF($F$42=$C$42,K28,0),0)</f>
        <v>0</v>
      </c>
      <c r="L42" s="151">
        <f>IF(COUNT($H$3:L3)=(Dashboard!$I$31+Data!$E$307+1),IF($F$42=$C$42,L28,0),0)</f>
        <v>0</v>
      </c>
      <c r="M42" s="151">
        <f>IF(COUNT($H$3:M3)=(Dashboard!$I$31+Data!$E$307+1),IF($F$42=$C$42,M28,0),0)</f>
        <v>0</v>
      </c>
      <c r="N42" s="151">
        <f>IF(COUNT($H$3:N3)=(Dashboard!$I$31+Data!$E$307+1),IF($F$42=$C$42,N28,0),0)</f>
        <v>0</v>
      </c>
      <c r="O42" s="151">
        <f>IF(COUNT($H$3:O3)=(Dashboard!$I$31+Data!$E$307+1),IF($F$42=$C$42,O28,0),0)</f>
        <v>0</v>
      </c>
      <c r="P42" s="151">
        <f>IF(COUNT($H$3:P3)=(Dashboard!$I$31+Data!$E$307+1),IF($F$42=$C$42,P28,0),0)</f>
        <v>0</v>
      </c>
      <c r="Q42" s="151">
        <f>IF(COUNT($H$3:Q3)=(Dashboard!$I$31+Data!$E$307+1),IF($F$42=$C$42,Q28,0),0)</f>
        <v>0</v>
      </c>
      <c r="R42" s="151">
        <f>IF(COUNT($H$3:R3)=(Dashboard!$I$31+Data!$E$307+1),IF($F$42=$C$42,R28,0),0)</f>
        <v>0</v>
      </c>
      <c r="S42" s="151">
        <f>IF(COUNT($H$3:S3)=(Dashboard!$I$31+Data!$E$307+1),IF($F$42=$C$42,S28,0),0)</f>
        <v>0</v>
      </c>
      <c r="T42" s="151">
        <f>IF(COUNT($H$3:T3)=(Dashboard!$I$31+Data!$E$307+1),IF($F$42=$C$42,T28,0),0)</f>
        <v>0</v>
      </c>
      <c r="U42" s="151">
        <f>IF(COUNT($H$3:U3)=(Dashboard!$I$31+Data!$E$307+1),IF($F$42=$C$42,U28,0),0)</f>
        <v>0</v>
      </c>
      <c r="V42" s="151">
        <f>IF(COUNT($H$3:V3)=(Dashboard!$I$31+Data!$E$307+1),IF($F$42=$C$42,V28,0),0)</f>
        <v>0</v>
      </c>
      <c r="W42" s="151">
        <f>IF(COUNT($H$3:W3)=(Dashboard!$I$31+Data!$E$307+1),IF($F$42=$C$42,W28,0),0)</f>
        <v>0</v>
      </c>
      <c r="X42" s="151">
        <f>IF(COUNT($H$3:X3)=(Dashboard!$I$31+Data!$E$307+1),IF($F$42=$C$42,X28,0),0)</f>
        <v>0</v>
      </c>
      <c r="Y42" s="151">
        <f>IF(COUNT($H$3:Y3)=(Dashboard!$I$31+Data!$E$307+1),IF($F$42=$C$42,Y28,0),0)</f>
        <v>0</v>
      </c>
      <c r="Z42" s="151">
        <f>IF(COUNT($H$3:Z3)=(Dashboard!$I$31+Data!$E$307+1),IF($F$42=$C$42,Z28,0),0)</f>
        <v>0</v>
      </c>
      <c r="AA42" s="151">
        <f>IF(COUNT($H$3:AA3)=(Dashboard!$I$31+Data!$E$307+1),IF($F$42=$C$42,AA28,0),0)</f>
        <v>0</v>
      </c>
      <c r="AB42" s="151">
        <f>IF(COUNT($H$3:AB3)=(Dashboard!$I$31+Data!$E$307+1),IF($F$42=$C$42,AB28,0),0)</f>
        <v>0</v>
      </c>
      <c r="AC42" s="151">
        <f>IF(COUNT($H$3:AC3)=(Dashboard!$I$31+Data!$E$307+1),IF($F$42=$C$42,AC28,0),0)</f>
        <v>0</v>
      </c>
      <c r="AD42" s="151">
        <f>IF(COUNT($H$3:AD3)=(Dashboard!$I$31+Data!$E$307+1),IF($F$42=$C$42,AD28,0),0)</f>
        <v>0</v>
      </c>
      <c r="AE42" s="151">
        <f>IF(COUNT($H$3:AE3)=(Dashboard!$I$31+Data!$E$307+1),IF($F$42=$C$42,AE28,0),0)</f>
        <v>0</v>
      </c>
      <c r="AF42" s="151">
        <f>IF(COUNT($H$3:AF3)=(Dashboard!$I$31+Data!$E$307+1),IF($F$42=$C$42,AF28,0),0)</f>
        <v>0</v>
      </c>
      <c r="AG42" s="151">
        <f>IF(COUNT($H$3:AG3)=(Dashboard!$I$31+Data!$E$307+1),IF($F$42=$C$42,AG28,0),0)</f>
        <v>0</v>
      </c>
      <c r="AH42" s="151">
        <f>IF(COUNT($H$3:AH3)=(Dashboard!$I$31+Data!$E$307+1),IF($F$42=$C$42,AH28,0),0)</f>
        <v>0</v>
      </c>
      <c r="AI42" s="151">
        <f>IF(COUNT($H$3:AI3)=(Dashboard!$I$31+Data!$E$307+1),IF($F$42=$C$42,AI28,0),0)</f>
        <v>0</v>
      </c>
      <c r="AJ42" s="151">
        <f>IF(COUNT($H$3:AJ3)=(Dashboard!$I$31+Data!$E$307+1),IF($F$42=$C$42,AJ28,0),0)</f>
        <v>0</v>
      </c>
      <c r="AK42" s="151">
        <f>IF(COUNT($H$3:AK3)=(Dashboard!$I$31+Data!$E$307+1),IF($F$42=$C$42,AK28,0),0)</f>
        <v>0</v>
      </c>
      <c r="AL42" s="151">
        <f>IF(COUNT($H$3:AL3)=(Dashboard!$I$31+Data!$E$307+1),IF($F$42=$C$42,AL28,0),0)</f>
        <v>0</v>
      </c>
      <c r="AM42" s="151">
        <f>IF(COUNT($H$3:AM3)=(Dashboard!$I$31+Data!$E$307+1),IF($F$42=$C$42,AM28,0),0)</f>
        <v>0</v>
      </c>
      <c r="AN42" s="151">
        <f>IF(COUNT($H$3:AN3)=(Dashboard!$I$31+Data!$E$307+1),IF($F$42=$C$42,AN28,0),0)</f>
        <v>0</v>
      </c>
      <c r="AO42" s="151">
        <f>IF(COUNT($H$3:AO3)=(Dashboard!$I$31+Data!$E$307+1),IF($F$42=$C$42,AO28,0),0)</f>
        <v>0</v>
      </c>
      <c r="AP42" s="29"/>
    </row>
    <row r="43" spans="1:42" outlineLevel="1" x14ac:dyDescent="0.25">
      <c r="A43" s="12"/>
      <c r="B43" s="13"/>
      <c r="C43" s="96"/>
      <c r="D43" s="14"/>
      <c r="E43" s="15"/>
      <c r="F43" s="158"/>
      <c r="G43" s="14"/>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29"/>
    </row>
    <row r="44" spans="1:42" outlineLevel="1" x14ac:dyDescent="0.25">
      <c r="A44" s="12"/>
      <c r="B44" s="13"/>
      <c r="C44" s="140" t="s">
        <v>306</v>
      </c>
      <c r="D44" s="14"/>
      <c r="E44" s="15"/>
      <c r="F44" s="16"/>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7"/>
    </row>
    <row r="45" spans="1:42" outlineLevel="1" x14ac:dyDescent="0.25">
      <c r="A45" s="12"/>
      <c r="B45" s="13"/>
      <c r="C45" s="14" t="s">
        <v>546</v>
      </c>
      <c r="D45" s="14"/>
      <c r="E45" s="15" t="s">
        <v>142</v>
      </c>
      <c r="F45" s="16"/>
      <c r="G45" s="14"/>
      <c r="H45" s="159">
        <f>IF(COUNT($H$3:H3)=(Dashboard!$I$31+1),Data!$E$316,0)</f>
        <v>0</v>
      </c>
      <c r="I45" s="159">
        <f>IF(COUNT($H$3:I3)=(Dashboard!$I$31+1),Data!$E$316,0)</f>
        <v>0</v>
      </c>
      <c r="J45" s="159">
        <f>IF(COUNT($H$3:J3)=(Dashboard!$I$31+1),Data!$E$316,0)</f>
        <v>0</v>
      </c>
      <c r="K45" s="159">
        <f>IF(COUNT($H$3:K3)=(Dashboard!$I$31+1),Data!$E$316,0)</f>
        <v>0</v>
      </c>
      <c r="L45" s="159">
        <f>IF(COUNT($H$3:L3)=(Dashboard!$I$31+1),Data!$E$316,0)</f>
        <v>0</v>
      </c>
      <c r="M45" s="159">
        <f>IF(COUNT($H$3:M3)=(Dashboard!$I$31+1),Data!$E$316,0)</f>
        <v>0</v>
      </c>
      <c r="N45" s="159">
        <f>IF(COUNT($H$3:N3)=(Dashboard!$I$31+1),Data!$E$316,0)</f>
        <v>0</v>
      </c>
      <c r="O45" s="159">
        <f>IF(COUNT($H$3:O3)=(Dashboard!$I$31+1),Data!$E$316,0)</f>
        <v>0</v>
      </c>
      <c r="P45" s="159">
        <f>IF(COUNT($H$3:P3)=(Dashboard!$I$31+1),Data!$E$316,0)</f>
        <v>0</v>
      </c>
      <c r="Q45" s="159">
        <f>IF(COUNT($H$3:Q3)=(Dashboard!$I$31+1),Data!$E$316,0)</f>
        <v>0</v>
      </c>
      <c r="R45" s="159">
        <f>IF(COUNT($H$3:R3)=(Dashboard!$I$31+1),Data!$E$316,0)</f>
        <v>0</v>
      </c>
      <c r="S45" s="159">
        <f>IF(COUNT($H$3:S3)=(Dashboard!$I$31+1),Data!$E$316,0)</f>
        <v>0</v>
      </c>
      <c r="T45" s="159">
        <f>IF(COUNT($H$3:T3)=(Dashboard!$I$31+1),Data!$E$316,0)</f>
        <v>62335</v>
      </c>
      <c r="U45" s="159">
        <f>IF(COUNT($H$3:U3)=(Dashboard!$I$31+1),Data!$E$316,0)</f>
        <v>0</v>
      </c>
      <c r="V45" s="159">
        <f>IF(COUNT($H$3:V3)=(Dashboard!$I$31+1),Data!$E$316,0)</f>
        <v>0</v>
      </c>
      <c r="W45" s="159">
        <f>IF(COUNT($H$3:W3)=(Dashboard!$I$31+1),Data!$E$316,0)</f>
        <v>0</v>
      </c>
      <c r="X45" s="159">
        <f>IF(COUNT($H$3:X3)=(Dashboard!$I$31+1),Data!$E$316,0)</f>
        <v>0</v>
      </c>
      <c r="Y45" s="159">
        <f>IF(COUNT($H$3:Y3)=(Dashboard!$I$31+1),Data!$E$316,0)</f>
        <v>0</v>
      </c>
      <c r="Z45" s="159">
        <f>IF(COUNT($H$3:Z3)=(Dashboard!$I$31+1),Data!$E$316,0)</f>
        <v>0</v>
      </c>
      <c r="AA45" s="159">
        <f>IF(COUNT($H$3:AA3)=(Dashboard!$I$31+1),Data!$E$316,0)</f>
        <v>0</v>
      </c>
      <c r="AB45" s="159">
        <f>IF(COUNT($H$3:AB3)=(Dashboard!$I$31+1),Data!$E$316,0)</f>
        <v>0</v>
      </c>
      <c r="AC45" s="159">
        <f>IF(COUNT($H$3:AC3)=(Dashboard!$I$31+1),Data!$E$316,0)</f>
        <v>0</v>
      </c>
      <c r="AD45" s="159">
        <f>IF(COUNT($H$3:AD3)=(Dashboard!$I$31+1),Data!$E$316,0)</f>
        <v>0</v>
      </c>
      <c r="AE45" s="159">
        <f>IF(COUNT($H$3:AE3)=(Dashboard!$I$31+1),Data!$E$316,0)</f>
        <v>0</v>
      </c>
      <c r="AF45" s="159">
        <f>IF(COUNT($H$3:AF3)=(Dashboard!$I$31+1),Data!$E$316,0)</f>
        <v>0</v>
      </c>
      <c r="AG45" s="159">
        <f>IF(COUNT($H$3:AG3)=(Dashboard!$I$31+1),Data!$E$316,0)</f>
        <v>0</v>
      </c>
      <c r="AH45" s="159">
        <f>IF(COUNT($H$3:AH3)=(Dashboard!$I$31+1),Data!$E$316,0)</f>
        <v>0</v>
      </c>
      <c r="AI45" s="159">
        <f>IF(COUNT($H$3:AI3)=(Dashboard!$I$31+1),Data!$E$316,0)</f>
        <v>0</v>
      </c>
      <c r="AJ45" s="159">
        <f>IF(COUNT($H$3:AJ3)=(Dashboard!$I$31+1),Data!$E$316,0)</f>
        <v>0</v>
      </c>
      <c r="AK45" s="159">
        <f>IF(COUNT($H$3:AK3)=(Dashboard!$I$31+1),Data!$E$316,0)</f>
        <v>0</v>
      </c>
      <c r="AL45" s="159">
        <f>IF(COUNT($H$3:AL3)=(Dashboard!$I$31+1),Data!$E$316,0)</f>
        <v>0</v>
      </c>
      <c r="AM45" s="159">
        <f>IF(COUNT($H$3:AM3)=(Dashboard!$I$31+1),Data!$E$316,0)</f>
        <v>0</v>
      </c>
      <c r="AN45" s="159">
        <f>IF(COUNT($H$3:AN3)=(Dashboard!$I$31+1),Data!$E$316,0)</f>
        <v>0</v>
      </c>
      <c r="AO45" s="159">
        <f>IF(COUNT($H$3:AO3)=(Dashboard!$I$31+1),Data!$E$316,0)</f>
        <v>0</v>
      </c>
      <c r="AP45" s="17"/>
    </row>
    <row r="46" spans="1:42" outlineLevel="1" x14ac:dyDescent="0.25">
      <c r="A46" s="12"/>
      <c r="B46" s="13"/>
      <c r="C46" s="14" t="s">
        <v>547</v>
      </c>
      <c r="D46" s="14"/>
      <c r="E46" s="15" t="s">
        <v>142</v>
      </c>
      <c r="F46" s="16"/>
      <c r="G46" s="14"/>
      <c r="H46" s="159">
        <f>IF(COUNT($H$3:H3)=(Dashboard!$I$31+1),Data!$E$317,0)</f>
        <v>0</v>
      </c>
      <c r="I46" s="159">
        <f>IF(COUNT($H$3:I3)=(Dashboard!$I$31+1),Data!$E$317,0)</f>
        <v>0</v>
      </c>
      <c r="J46" s="159">
        <f>IF(COUNT($H$3:J3)=(Dashboard!$I$31+1),Data!$E$317,0)</f>
        <v>0</v>
      </c>
      <c r="K46" s="159">
        <f>IF(COUNT($H$3:K3)=(Dashboard!$I$31+1),Data!$E$317,0)</f>
        <v>0</v>
      </c>
      <c r="L46" s="159">
        <f>IF(COUNT($H$3:L3)=(Dashboard!$I$31+1),Data!$E$317,0)</f>
        <v>0</v>
      </c>
      <c r="M46" s="159">
        <f>IF(COUNT($H$3:M3)=(Dashboard!$I$31+1),Data!$E$317,0)</f>
        <v>0</v>
      </c>
      <c r="N46" s="159">
        <f>IF(COUNT($H$3:N3)=(Dashboard!$I$31+1),Data!$E$317,0)</f>
        <v>0</v>
      </c>
      <c r="O46" s="159">
        <f>IF(COUNT($H$3:O3)=(Dashboard!$I$31+1),Data!$E$317,0)</f>
        <v>0</v>
      </c>
      <c r="P46" s="159">
        <f>IF(COUNT($H$3:P3)=(Dashboard!$I$31+1),Data!$E$317,0)</f>
        <v>0</v>
      </c>
      <c r="Q46" s="159">
        <f>IF(COUNT($H$3:Q3)=(Dashboard!$I$31+1),Data!$E$317,0)</f>
        <v>0</v>
      </c>
      <c r="R46" s="159">
        <f>IF(COUNT($H$3:R3)=(Dashboard!$I$31+1),Data!$E$317,0)</f>
        <v>0</v>
      </c>
      <c r="S46" s="159">
        <f>IF(COUNT($H$3:S3)=(Dashboard!$I$31+1),Data!$E$317,0)</f>
        <v>0</v>
      </c>
      <c r="T46" s="159">
        <f>IF(COUNT($H$3:T3)=(Dashboard!$I$31+1),Data!$E$317,0)</f>
        <v>70444.868888888886</v>
      </c>
      <c r="U46" s="159">
        <f>IF(COUNT($H$3:U3)=(Dashboard!$I$31+1),Data!$E$317,0)</f>
        <v>0</v>
      </c>
      <c r="V46" s="159">
        <f>IF(COUNT($H$3:V3)=(Dashboard!$I$31+1),Data!$E$317,0)</f>
        <v>0</v>
      </c>
      <c r="W46" s="159">
        <f>IF(COUNT($H$3:W3)=(Dashboard!$I$31+1),Data!$E$317,0)</f>
        <v>0</v>
      </c>
      <c r="X46" s="159">
        <f>IF(COUNT($H$3:X3)=(Dashboard!$I$31+1),Data!$E$317,0)</f>
        <v>0</v>
      </c>
      <c r="Y46" s="159">
        <f>IF(COUNT($H$3:Y3)=(Dashboard!$I$31+1),Data!$E$317,0)</f>
        <v>0</v>
      </c>
      <c r="Z46" s="159">
        <f>IF(COUNT($H$3:Z3)=(Dashboard!$I$31+1),Data!$E$317,0)</f>
        <v>0</v>
      </c>
      <c r="AA46" s="159">
        <f>IF(COUNT($H$3:AA3)=(Dashboard!$I$31+1),Data!$E$317,0)</f>
        <v>0</v>
      </c>
      <c r="AB46" s="159">
        <f>IF(COUNT($H$3:AB3)=(Dashboard!$I$31+1),Data!$E$317,0)</f>
        <v>0</v>
      </c>
      <c r="AC46" s="159">
        <f>IF(COUNT($H$3:AC3)=(Dashboard!$I$31+1),Data!$E$317,0)</f>
        <v>0</v>
      </c>
      <c r="AD46" s="159">
        <f>IF(COUNT($H$3:AD3)=(Dashboard!$I$31+1),Data!$E$317,0)</f>
        <v>0</v>
      </c>
      <c r="AE46" s="159">
        <f>IF(COUNT($H$3:AE3)=(Dashboard!$I$31+1),Data!$E$317,0)</f>
        <v>0</v>
      </c>
      <c r="AF46" s="159">
        <f>IF(COUNT($H$3:AF3)=(Dashboard!$I$31+1),Data!$E$317,0)</f>
        <v>0</v>
      </c>
      <c r="AG46" s="159">
        <f>IF(COUNT($H$3:AG3)=(Dashboard!$I$31+1),Data!$E$317,0)</f>
        <v>0</v>
      </c>
      <c r="AH46" s="159">
        <f>IF(COUNT($H$3:AH3)=(Dashboard!$I$31+1),Data!$E$317,0)</f>
        <v>0</v>
      </c>
      <c r="AI46" s="159">
        <f>IF(COUNT($H$3:AI3)=(Dashboard!$I$31+1),Data!$E$317,0)</f>
        <v>0</v>
      </c>
      <c r="AJ46" s="159">
        <f>IF(COUNT($H$3:AJ3)=(Dashboard!$I$31+1),Data!$E$317,0)</f>
        <v>0</v>
      </c>
      <c r="AK46" s="159">
        <f>IF(COUNT($H$3:AK3)=(Dashboard!$I$31+1),Data!$E$317,0)</f>
        <v>0</v>
      </c>
      <c r="AL46" s="159">
        <f>IF(COUNT($H$3:AL3)=(Dashboard!$I$31+1),Data!$E$317,0)</f>
        <v>0</v>
      </c>
      <c r="AM46" s="159">
        <f>IF(COUNT($H$3:AM3)=(Dashboard!$I$31+1),Data!$E$317,0)</f>
        <v>0</v>
      </c>
      <c r="AN46" s="159">
        <f>IF(COUNT($H$3:AN3)=(Dashboard!$I$31+1),Data!$E$317,0)</f>
        <v>0</v>
      </c>
      <c r="AO46" s="159">
        <f>IF(COUNT($H$3:AO3)=(Dashboard!$I$31+1),Data!$E$317,0)</f>
        <v>0</v>
      </c>
      <c r="AP46" s="17"/>
    </row>
    <row r="47" spans="1:42" outlineLevel="1" x14ac:dyDescent="0.25">
      <c r="A47" s="12"/>
      <c r="B47" s="13"/>
      <c r="C47" s="136" t="s">
        <v>310</v>
      </c>
      <c r="D47" s="14"/>
      <c r="E47" s="15" t="s">
        <v>142</v>
      </c>
      <c r="F47" s="158">
        <f>Dashboard!$I$44</f>
        <v>0</v>
      </c>
      <c r="G47" s="14"/>
      <c r="H47" s="159">
        <f>IF(COUNT($H$3:H3)=(Dashboard!$I$31+1),($F$47*Data!$E$318)/Dashboard!$I$41,0)</f>
        <v>0</v>
      </c>
      <c r="I47" s="159">
        <f>IF(COUNT($H$3:I3)=(Dashboard!$I$31+1),($F$47*Data!$E$318)/Dashboard!$I$41,0)</f>
        <v>0</v>
      </c>
      <c r="J47" s="159">
        <f>IF(COUNT($H$3:J3)=(Dashboard!$I$31+1),($F$47*Data!$E$318)/Dashboard!$I$41,0)</f>
        <v>0</v>
      </c>
      <c r="K47" s="159">
        <f>IF(COUNT($H$3:K3)=(Dashboard!$I$31+1),($F$47*Data!$E$318)/Dashboard!$I$41,0)</f>
        <v>0</v>
      </c>
      <c r="L47" s="159">
        <f>IF(COUNT($H$3:L3)=(Dashboard!$I$31+1),($F$47*Data!$E$318)/Dashboard!$I$41,0)</f>
        <v>0</v>
      </c>
      <c r="M47" s="159">
        <f>IF(COUNT($H$3:M3)=(Dashboard!$I$31+1),($F$47*Data!$E$318)/Dashboard!$I$41,0)</f>
        <v>0</v>
      </c>
      <c r="N47" s="159">
        <f>IF(COUNT($H$3:N3)=(Dashboard!$I$31+1),($F$47*Data!$E$318)/Dashboard!$I$41,0)</f>
        <v>0</v>
      </c>
      <c r="O47" s="159">
        <f>IF(COUNT($H$3:O3)=(Dashboard!$I$31+1),($F$47*Data!$E$318)/Dashboard!$I$41,0)</f>
        <v>0</v>
      </c>
      <c r="P47" s="159">
        <f>IF(COUNT($H$3:P3)=(Dashboard!$I$31+1),($F$47*Data!$E$318)/Dashboard!$I$41,0)</f>
        <v>0</v>
      </c>
      <c r="Q47" s="159">
        <f>IF(COUNT($H$3:Q3)=(Dashboard!$I$31+1),($F$47*Data!$E$318)/Dashboard!$I$41,0)</f>
        <v>0</v>
      </c>
      <c r="R47" s="159">
        <f>IF(COUNT($H$3:R3)=(Dashboard!$I$31+1),($F$47*Data!$E$318)/Dashboard!$I$41,0)</f>
        <v>0</v>
      </c>
      <c r="S47" s="159">
        <f>IF(COUNT($H$3:S3)=(Dashboard!$I$31+1),($F$47*Data!$E$318)/Dashboard!$I$41,0)</f>
        <v>0</v>
      </c>
      <c r="T47" s="159">
        <f>IF(COUNT($H$3:T3)=(Dashboard!$I$31+1),($F$47*Data!$E$318)/Dashboard!$I$41,0)</f>
        <v>0</v>
      </c>
      <c r="U47" s="159">
        <f>IF(COUNT($H$3:U3)=(Dashboard!$I$31+1),($F$47*Data!$E$318)/Dashboard!$I$41,0)</f>
        <v>0</v>
      </c>
      <c r="V47" s="159">
        <f>IF(COUNT($H$3:V3)=(Dashboard!$I$31+1),($F$47*Data!$E$318)/Dashboard!$I$41,0)</f>
        <v>0</v>
      </c>
      <c r="W47" s="159">
        <f>IF(COUNT($H$3:W3)=(Dashboard!$I$31+1),($F$47*Data!$E$318)/Dashboard!$I$41,0)</f>
        <v>0</v>
      </c>
      <c r="X47" s="159">
        <f>IF(COUNT($H$3:X3)=(Dashboard!$I$31+1),($F$47*Data!$E$318)/Dashboard!$I$41,0)</f>
        <v>0</v>
      </c>
      <c r="Y47" s="159">
        <f>IF(COUNT($H$3:Y3)=(Dashboard!$I$31+1),($F$47*Data!$E$318)/Dashboard!$I$41,0)</f>
        <v>0</v>
      </c>
      <c r="Z47" s="159">
        <f>IF(COUNT($H$3:Z3)=(Dashboard!$I$31+1),($F$47*Data!$E$318)/Dashboard!$I$41,0)</f>
        <v>0</v>
      </c>
      <c r="AA47" s="159">
        <f>IF(COUNT($H$3:AA3)=(Dashboard!$I$31+1),($F$47*Data!$E$318)/Dashboard!$I$41,0)</f>
        <v>0</v>
      </c>
      <c r="AB47" s="159">
        <f>IF(COUNT($H$3:AB3)=(Dashboard!$I$31+1),($F$47*Data!$E$318)/Dashboard!$I$41,0)</f>
        <v>0</v>
      </c>
      <c r="AC47" s="159">
        <f>IF(COUNT($H$3:AC3)=(Dashboard!$I$31+1),($F$47*Data!$E$318)/Dashboard!$I$41,0)</f>
        <v>0</v>
      </c>
      <c r="AD47" s="159">
        <f>IF(COUNT($H$3:AD3)=(Dashboard!$I$31+1),($F$47*Data!$E$318)/Dashboard!$I$41,0)</f>
        <v>0</v>
      </c>
      <c r="AE47" s="159">
        <f>IF(COUNT($H$3:AE3)=(Dashboard!$I$31+1),($F$47*Data!$E$318)/Dashboard!$I$41,0)</f>
        <v>0</v>
      </c>
      <c r="AF47" s="159">
        <f>IF(COUNT($H$3:AF3)=(Dashboard!$I$31+1),($F$47*Data!$E$318)/Dashboard!$I$41,0)</f>
        <v>0</v>
      </c>
      <c r="AG47" s="159">
        <f>IF(COUNT($H$3:AG3)=(Dashboard!$I$31+1),($F$47*Data!$E$318)/Dashboard!$I$41,0)</f>
        <v>0</v>
      </c>
      <c r="AH47" s="159">
        <f>IF(COUNT($H$3:AH3)=(Dashboard!$I$31+1),($F$47*Data!$E$318)/Dashboard!$I$41,0)</f>
        <v>0</v>
      </c>
      <c r="AI47" s="159">
        <f>IF(COUNT($H$3:AI3)=(Dashboard!$I$31+1),($F$47*Data!$E$318)/Dashboard!$I$41,0)</f>
        <v>0</v>
      </c>
      <c r="AJ47" s="159">
        <f>IF(COUNT($H$3:AJ3)=(Dashboard!$I$31+1),($F$47*Data!$E$318)/Dashboard!$I$41,0)</f>
        <v>0</v>
      </c>
      <c r="AK47" s="159">
        <f>IF(COUNT($H$3:AK3)=(Dashboard!$I$31+1),($F$47*Data!$E$318)/Dashboard!$I$41,0)</f>
        <v>0</v>
      </c>
      <c r="AL47" s="159">
        <f>IF(COUNT($H$3:AL3)=(Dashboard!$I$31+1),($F$47*Data!$E$318)/Dashboard!$I$41,0)</f>
        <v>0</v>
      </c>
      <c r="AM47" s="159">
        <f>IF(COUNT($H$3:AM3)=(Dashboard!$I$31+1),($F$47*Data!$E$318)/Dashboard!$I$41,0)</f>
        <v>0</v>
      </c>
      <c r="AN47" s="159">
        <f>IF(COUNT($H$3:AN3)=(Dashboard!$I$31+1),($F$47*Data!$E$318)/Dashboard!$I$41,0)</f>
        <v>0</v>
      </c>
      <c r="AO47" s="159">
        <f>IF(COUNT($H$3:AO3)=(Dashboard!$I$31+1),($F$47*Data!$E$318)/Dashboard!$I$41,0)</f>
        <v>0</v>
      </c>
      <c r="AP47" s="17"/>
    </row>
    <row r="48" spans="1:42" outlineLevel="1" x14ac:dyDescent="0.25">
      <c r="A48" s="12"/>
      <c r="B48" s="13"/>
      <c r="C48" s="14" t="s">
        <v>311</v>
      </c>
      <c r="D48" s="14"/>
      <c r="E48" s="15" t="s">
        <v>142</v>
      </c>
      <c r="F48" s="16"/>
      <c r="G48" s="14"/>
      <c r="H48" s="159">
        <f>IF(COUNT($H$3:H4)=(Dashboard!$I$31+1),($F$47*Data!$E$319)/Dashboard!$I$41,0)</f>
        <v>0</v>
      </c>
      <c r="I48" s="159">
        <f>IF(COUNT($H$3:I4)=(Dashboard!$I$31+1),($F$47*Data!$E$319)/Dashboard!$I$41,0)</f>
        <v>0</v>
      </c>
      <c r="J48" s="159">
        <f>IF(COUNT($H$3:J4)=(Dashboard!$I$31+1),($F$47*Data!$E$319)/Dashboard!$I$41,0)</f>
        <v>0</v>
      </c>
      <c r="K48" s="159">
        <f>IF(COUNT($H$3:K4)=(Dashboard!$I$31+1),($F$47*Data!$E$319)/Dashboard!$I$41,0)</f>
        <v>0</v>
      </c>
      <c r="L48" s="159">
        <f>IF(COUNT($H$3:L4)=(Dashboard!$I$31+1),($F$47*Data!$E$319)/Dashboard!$I$41,0)</f>
        <v>0</v>
      </c>
      <c r="M48" s="159">
        <f>IF(COUNT($H$3:M4)=(Dashboard!$I$31+1),($F$47*Data!$E$319)/Dashboard!$I$41,0)</f>
        <v>0</v>
      </c>
      <c r="N48" s="159">
        <f>IF(COUNT($H$3:N4)=(Dashboard!$I$31+1),($F$47*Data!$E$319)/Dashboard!$I$41,0)</f>
        <v>0</v>
      </c>
      <c r="O48" s="159">
        <f>IF(COUNT($H$3:O4)=(Dashboard!$I$31+1),($F$47*Data!$E$319)/Dashboard!$I$41,0)</f>
        <v>0</v>
      </c>
      <c r="P48" s="159">
        <f>IF(COUNT($H$3:P4)=(Dashboard!$I$31+1),($F$47*Data!$E$319)/Dashboard!$I$41,0)</f>
        <v>0</v>
      </c>
      <c r="Q48" s="159">
        <f>IF(COUNT($H$3:Q4)=(Dashboard!$I$31+1),($F$47*Data!$E$319)/Dashboard!$I$41,0)</f>
        <v>0</v>
      </c>
      <c r="R48" s="159">
        <f>IF(COUNT($H$3:R4)=(Dashboard!$I$31+1),($F$47*Data!$E$319)/Dashboard!$I$41,0)</f>
        <v>0</v>
      </c>
      <c r="S48" s="159">
        <f>IF(COUNT($H$3:S4)=(Dashboard!$I$31+1),($F$47*Data!$E$319)/Dashboard!$I$41,0)</f>
        <v>0</v>
      </c>
      <c r="T48" s="159">
        <f>IF(COUNT($H$3:T4)=(Dashboard!$I$31+1),($F$47*Data!$E$319)/Dashboard!$I$41,0)</f>
        <v>0</v>
      </c>
      <c r="U48" s="159">
        <f>IF(COUNT($H$3:U4)=(Dashboard!$I$31+1),($F$47*Data!$E$319)/Dashboard!$I$41,0)</f>
        <v>0</v>
      </c>
      <c r="V48" s="159">
        <f>IF(COUNT($H$3:V4)=(Dashboard!$I$31+1),($F$47*Data!$E$319)/Dashboard!$I$41,0)</f>
        <v>0</v>
      </c>
      <c r="W48" s="159">
        <f>IF(COUNT($H$3:W4)=(Dashboard!$I$31+1),($F$47*Data!$E$319)/Dashboard!$I$41,0)</f>
        <v>0</v>
      </c>
      <c r="X48" s="159">
        <f>IF(COUNT($H$3:X4)=(Dashboard!$I$31+1),($F$47*Data!$E$319)/Dashboard!$I$41,0)</f>
        <v>0</v>
      </c>
      <c r="Y48" s="159">
        <f>IF(COUNT($H$3:Y4)=(Dashboard!$I$31+1),($F$47*Data!$E$319)/Dashboard!$I$41,0)</f>
        <v>0</v>
      </c>
      <c r="Z48" s="159">
        <f>IF(COUNT($H$3:Z4)=(Dashboard!$I$31+1),($F$47*Data!$E$319)/Dashboard!$I$41,0)</f>
        <v>0</v>
      </c>
      <c r="AA48" s="159">
        <f>IF(COUNT($H$3:AA4)=(Dashboard!$I$31+1),($F$47*Data!$E$319)/Dashboard!$I$41,0)</f>
        <v>0</v>
      </c>
      <c r="AB48" s="159">
        <f>IF(COUNT($H$3:AB4)=(Dashboard!$I$31+1),($F$47*Data!$E$319)/Dashboard!$I$41,0)</f>
        <v>0</v>
      </c>
      <c r="AC48" s="159">
        <f>IF(COUNT($H$3:AC4)=(Dashboard!$I$31+1),($F$47*Data!$E$319)/Dashboard!$I$41,0)</f>
        <v>0</v>
      </c>
      <c r="AD48" s="159">
        <f>IF(COUNT($H$3:AD4)=(Dashboard!$I$31+1),($F$47*Data!$E$319)/Dashboard!$I$41,0)</f>
        <v>0</v>
      </c>
      <c r="AE48" s="159">
        <f>IF(COUNT($H$3:AE4)=(Dashboard!$I$31+1),($F$47*Data!$E$319)/Dashboard!$I$41,0)</f>
        <v>0</v>
      </c>
      <c r="AF48" s="159">
        <f>IF(COUNT($H$3:AF4)=(Dashboard!$I$31+1),($F$47*Data!$E$319)/Dashboard!$I$41,0)</f>
        <v>0</v>
      </c>
      <c r="AG48" s="159">
        <f>IF(COUNT($H$3:AG4)=(Dashboard!$I$31+1),($F$47*Data!$E$319)/Dashboard!$I$41,0)</f>
        <v>0</v>
      </c>
      <c r="AH48" s="159">
        <f>IF(COUNT($H$3:AH4)=(Dashboard!$I$31+1),($F$47*Data!$E$319)/Dashboard!$I$41,0)</f>
        <v>0</v>
      </c>
      <c r="AI48" s="159">
        <f>IF(COUNT($H$3:AI4)=(Dashboard!$I$31+1),($F$47*Data!$E$319)/Dashboard!$I$41,0)</f>
        <v>0</v>
      </c>
      <c r="AJ48" s="159">
        <f>IF(COUNT($H$3:AJ4)=(Dashboard!$I$31+1),($F$47*Data!$E$319)/Dashboard!$I$41,0)</f>
        <v>0</v>
      </c>
      <c r="AK48" s="159">
        <f>IF(COUNT($H$3:AK4)=(Dashboard!$I$31+1),($F$47*Data!$E$319)/Dashboard!$I$41,0)</f>
        <v>0</v>
      </c>
      <c r="AL48" s="159">
        <f>IF(COUNT($H$3:AL4)=(Dashboard!$I$31+1),($F$47*Data!$E$319)/Dashboard!$I$41,0)</f>
        <v>0</v>
      </c>
      <c r="AM48" s="159">
        <f>IF(COUNT($H$3:AM4)=(Dashboard!$I$31+1),($F$47*Data!$E$319)/Dashboard!$I$41,0)</f>
        <v>0</v>
      </c>
      <c r="AN48" s="159">
        <f>IF(COUNT($H$3:AN4)=(Dashboard!$I$31+1),($F$47*Data!$E$319)/Dashboard!$I$41,0)</f>
        <v>0</v>
      </c>
      <c r="AO48" s="159">
        <f>IF(COUNT($H$3:AO4)=(Dashboard!$I$31+1),($F$47*Data!$E$319)/Dashboard!$I$41,0)</f>
        <v>0</v>
      </c>
      <c r="AP48" s="17"/>
    </row>
    <row r="49" spans="1:42" outlineLevel="1" x14ac:dyDescent="0.25">
      <c r="A49" s="12"/>
      <c r="B49" s="13"/>
      <c r="C49" s="41"/>
      <c r="D49" s="14"/>
      <c r="E49" s="15"/>
      <c r="F49" s="16"/>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7"/>
    </row>
    <row r="50" spans="1:42" outlineLevel="1" x14ac:dyDescent="0.25">
      <c r="A50" s="12"/>
      <c r="B50" s="13"/>
      <c r="C50" s="19" t="s">
        <v>510</v>
      </c>
      <c r="D50" s="45"/>
      <c r="E50" s="15"/>
      <c r="F50" s="158"/>
      <c r="G50" s="14"/>
      <c r="H50" s="182">
        <f t="shared" ref="H50:AO50" si="3">SUM(H35:H48)</f>
        <v>0</v>
      </c>
      <c r="I50" s="182">
        <f t="shared" si="3"/>
        <v>0</v>
      </c>
      <c r="J50" s="182">
        <f t="shared" si="3"/>
        <v>0</v>
      </c>
      <c r="K50" s="182">
        <f t="shared" si="3"/>
        <v>0</v>
      </c>
      <c r="L50" s="182">
        <f t="shared" si="3"/>
        <v>0</v>
      </c>
      <c r="M50" s="182">
        <f t="shared" si="3"/>
        <v>0</v>
      </c>
      <c r="N50" s="182">
        <f t="shared" si="3"/>
        <v>0</v>
      </c>
      <c r="O50" s="182">
        <f t="shared" si="3"/>
        <v>0</v>
      </c>
      <c r="P50" s="182">
        <f t="shared" si="3"/>
        <v>0</v>
      </c>
      <c r="Q50" s="182">
        <f t="shared" si="3"/>
        <v>0</v>
      </c>
      <c r="R50" s="182">
        <f t="shared" si="3"/>
        <v>0</v>
      </c>
      <c r="S50" s="182">
        <f t="shared" si="3"/>
        <v>0</v>
      </c>
      <c r="T50" s="182">
        <f t="shared" si="3"/>
        <v>737779.86888888886</v>
      </c>
      <c r="U50" s="182">
        <f t="shared" si="3"/>
        <v>0</v>
      </c>
      <c r="V50" s="182">
        <f t="shared" si="3"/>
        <v>0</v>
      </c>
      <c r="W50" s="182">
        <f t="shared" si="3"/>
        <v>0</v>
      </c>
      <c r="X50" s="182">
        <f t="shared" si="3"/>
        <v>0</v>
      </c>
      <c r="Y50" s="182">
        <f t="shared" si="3"/>
        <v>0</v>
      </c>
      <c r="Z50" s="182">
        <f t="shared" si="3"/>
        <v>0</v>
      </c>
      <c r="AA50" s="182">
        <f t="shared" si="3"/>
        <v>0</v>
      </c>
      <c r="AB50" s="182">
        <f t="shared" si="3"/>
        <v>0</v>
      </c>
      <c r="AC50" s="182">
        <f t="shared" si="3"/>
        <v>68699.968087724803</v>
      </c>
      <c r="AD50" s="182">
        <f t="shared" si="3"/>
        <v>0</v>
      </c>
      <c r="AE50" s="182">
        <f t="shared" si="3"/>
        <v>0</v>
      </c>
      <c r="AF50" s="182">
        <f t="shared" si="3"/>
        <v>0</v>
      </c>
      <c r="AG50" s="182">
        <f t="shared" si="3"/>
        <v>0</v>
      </c>
      <c r="AH50" s="182">
        <f t="shared" si="3"/>
        <v>0</v>
      </c>
      <c r="AI50" s="182">
        <f t="shared" si="3"/>
        <v>0</v>
      </c>
      <c r="AJ50" s="182">
        <f t="shared" si="3"/>
        <v>0</v>
      </c>
      <c r="AK50" s="182">
        <f t="shared" si="3"/>
        <v>0</v>
      </c>
      <c r="AL50" s="182">
        <f t="shared" si="3"/>
        <v>0</v>
      </c>
      <c r="AM50" s="182">
        <f t="shared" si="3"/>
        <v>0</v>
      </c>
      <c r="AN50" s="182">
        <f t="shared" si="3"/>
        <v>0</v>
      </c>
      <c r="AO50" s="182">
        <f t="shared" si="3"/>
        <v>0</v>
      </c>
      <c r="AP50" s="29"/>
    </row>
    <row r="51" spans="1:42" s="140" customFormat="1" outlineLevel="1" x14ac:dyDescent="0.25">
      <c r="A51" s="78"/>
      <c r="B51" s="19"/>
      <c r="C51" s="95" t="s">
        <v>511</v>
      </c>
      <c r="D51" s="20"/>
      <c r="E51" s="21"/>
      <c r="F51" s="48"/>
      <c r="G51" s="20"/>
      <c r="H51" s="20"/>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370"/>
    </row>
    <row r="52" spans="1:42" s="140" customFormat="1" outlineLevel="1" x14ac:dyDescent="0.25">
      <c r="A52" s="78"/>
      <c r="B52" s="19"/>
      <c r="C52" s="95" t="s">
        <v>560</v>
      </c>
      <c r="D52" s="20"/>
      <c r="E52" s="21" t="s">
        <v>142</v>
      </c>
      <c r="F52" s="48"/>
      <c r="G52" s="20"/>
      <c r="H52" s="20"/>
      <c r="I52" s="244">
        <f>SUM(I59:I60)</f>
        <v>0</v>
      </c>
      <c r="J52" s="244">
        <f t="shared" ref="J52:AO52" si="4">SUM(J59:J60)</f>
        <v>0</v>
      </c>
      <c r="K52" s="244">
        <f t="shared" si="4"/>
        <v>0</v>
      </c>
      <c r="L52" s="244">
        <f t="shared" si="4"/>
        <v>0</v>
      </c>
      <c r="M52" s="244">
        <f t="shared" si="4"/>
        <v>0</v>
      </c>
      <c r="N52" s="244">
        <f t="shared" si="4"/>
        <v>0</v>
      </c>
      <c r="O52" s="244">
        <f t="shared" si="4"/>
        <v>0</v>
      </c>
      <c r="P52" s="244">
        <f t="shared" si="4"/>
        <v>0</v>
      </c>
      <c r="Q52" s="244">
        <f t="shared" si="4"/>
        <v>0</v>
      </c>
      <c r="R52" s="244">
        <f t="shared" si="4"/>
        <v>0</v>
      </c>
      <c r="S52" s="244">
        <f t="shared" si="4"/>
        <v>0</v>
      </c>
      <c r="T52" s="244">
        <f t="shared" si="4"/>
        <v>54287.134110070772</v>
      </c>
      <c r="U52" s="244">
        <f t="shared" si="4"/>
        <v>54287.134110070772</v>
      </c>
      <c r="V52" s="244">
        <f t="shared" si="4"/>
        <v>54287.134110070772</v>
      </c>
      <c r="W52" s="244">
        <f t="shared" si="4"/>
        <v>54287.134110070772</v>
      </c>
      <c r="X52" s="244">
        <f t="shared" si="4"/>
        <v>54287.134110070772</v>
      </c>
      <c r="Y52" s="244">
        <f t="shared" si="4"/>
        <v>54287.134110070772</v>
      </c>
      <c r="Z52" s="244">
        <f t="shared" si="4"/>
        <v>54287.134110070772</v>
      </c>
      <c r="AA52" s="244">
        <f t="shared" si="4"/>
        <v>54287.134110070772</v>
      </c>
      <c r="AB52" s="244">
        <f t="shared" si="4"/>
        <v>54287.134110070772</v>
      </c>
      <c r="AC52" s="244">
        <f t="shared" si="4"/>
        <v>62129.169464391518</v>
      </c>
      <c r="AD52" s="244">
        <f t="shared" si="4"/>
        <v>62129.169464391518</v>
      </c>
      <c r="AE52" s="244">
        <f t="shared" si="4"/>
        <v>62129.169464391518</v>
      </c>
      <c r="AF52" s="244">
        <f t="shared" si="4"/>
        <v>62129.169464391518</v>
      </c>
      <c r="AG52" s="244">
        <f t="shared" si="4"/>
        <v>62129.169464391518</v>
      </c>
      <c r="AH52" s="244">
        <f t="shared" si="4"/>
        <v>62129.169464391518</v>
      </c>
      <c r="AI52" s="244">
        <f t="shared" si="4"/>
        <v>62129.169464391518</v>
      </c>
      <c r="AJ52" s="244">
        <f t="shared" si="4"/>
        <v>62129.169464391518</v>
      </c>
      <c r="AK52" s="244">
        <f t="shared" si="4"/>
        <v>62129.169464391518</v>
      </c>
      <c r="AL52" s="244">
        <f t="shared" si="4"/>
        <v>62129.169464391518</v>
      </c>
      <c r="AM52" s="244">
        <f t="shared" si="4"/>
        <v>62129.169464391518</v>
      </c>
      <c r="AN52" s="244">
        <f t="shared" si="4"/>
        <v>0</v>
      </c>
      <c r="AO52" s="244">
        <f t="shared" si="4"/>
        <v>0</v>
      </c>
      <c r="AP52" s="370"/>
    </row>
    <row r="53" spans="1:42" s="140" customFormat="1" outlineLevel="1" x14ac:dyDescent="0.25">
      <c r="A53" s="78"/>
      <c r="B53" s="19"/>
      <c r="C53" s="95" t="s">
        <v>561</v>
      </c>
      <c r="D53" s="20"/>
      <c r="E53" s="21" t="s">
        <v>142</v>
      </c>
      <c r="F53" s="48"/>
      <c r="G53" s="20"/>
      <c r="H53" s="20"/>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370"/>
    </row>
    <row r="54" spans="1:42" s="140" customFormat="1" outlineLevel="1" x14ac:dyDescent="0.25">
      <c r="A54" s="78"/>
      <c r="B54" s="19"/>
      <c r="C54" s="95" t="s">
        <v>562</v>
      </c>
      <c r="D54" s="20"/>
      <c r="E54" s="21" t="s">
        <v>142</v>
      </c>
      <c r="F54" s="16"/>
      <c r="G54" s="20"/>
      <c r="H54" s="20"/>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370"/>
    </row>
    <row r="55" spans="1:42" s="140" customFormat="1" outlineLevel="1" x14ac:dyDescent="0.25">
      <c r="A55" s="78"/>
      <c r="B55" s="19"/>
      <c r="C55" s="95" t="s">
        <v>563</v>
      </c>
      <c r="D55" s="20"/>
      <c r="E55" s="21" t="s">
        <v>266</v>
      </c>
      <c r="F55" s="16"/>
      <c r="G55" s="20"/>
      <c r="H55" s="20"/>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370"/>
    </row>
    <row r="56" spans="1:42" outlineLevel="1" x14ac:dyDescent="0.25">
      <c r="A56" s="12"/>
      <c r="B56" s="13"/>
      <c r="C56" s="95" t="s">
        <v>561</v>
      </c>
      <c r="D56" s="45"/>
      <c r="E56" s="15" t="s">
        <v>142</v>
      </c>
      <c r="F56" s="16"/>
      <c r="G56" s="14"/>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29"/>
    </row>
    <row r="57" spans="1:42" outlineLevel="1" x14ac:dyDescent="0.25">
      <c r="A57" s="12"/>
      <c r="B57" s="13"/>
      <c r="C57" s="19"/>
      <c r="D57" s="45"/>
      <c r="E57" s="15"/>
      <c r="F57" s="16"/>
      <c r="G57" s="14"/>
      <c r="H57" s="382">
        <f>(H50&gt;0)*1</f>
        <v>0</v>
      </c>
      <c r="I57" s="382">
        <f t="shared" ref="I57:AO57" si="5">(I50&gt;0)*1</f>
        <v>0</v>
      </c>
      <c r="J57" s="382">
        <f t="shared" si="5"/>
        <v>0</v>
      </c>
      <c r="K57" s="382">
        <f t="shared" si="5"/>
        <v>0</v>
      </c>
      <c r="L57" s="382">
        <f t="shared" si="5"/>
        <v>0</v>
      </c>
      <c r="M57" s="382">
        <f t="shared" si="5"/>
        <v>0</v>
      </c>
      <c r="N57" s="382">
        <f t="shared" si="5"/>
        <v>0</v>
      </c>
      <c r="O57" s="382">
        <f t="shared" si="5"/>
        <v>0</v>
      </c>
      <c r="P57" s="382">
        <f t="shared" si="5"/>
        <v>0</v>
      </c>
      <c r="Q57" s="382">
        <f t="shared" si="5"/>
        <v>0</v>
      </c>
      <c r="R57" s="382">
        <f t="shared" si="5"/>
        <v>0</v>
      </c>
      <c r="S57" s="382">
        <f t="shared" si="5"/>
        <v>0</v>
      </c>
      <c r="T57" s="382">
        <f>(T50&gt;0)*1</f>
        <v>1</v>
      </c>
      <c r="U57" s="382">
        <f t="shared" si="5"/>
        <v>0</v>
      </c>
      <c r="V57" s="382">
        <f t="shared" si="5"/>
        <v>0</v>
      </c>
      <c r="W57" s="382">
        <f t="shared" si="5"/>
        <v>0</v>
      </c>
      <c r="X57" s="382">
        <f t="shared" si="5"/>
        <v>0</v>
      </c>
      <c r="Y57" s="382">
        <f t="shared" si="5"/>
        <v>0</v>
      </c>
      <c r="Z57" s="382">
        <f t="shared" si="5"/>
        <v>0</v>
      </c>
      <c r="AA57" s="382">
        <f t="shared" si="5"/>
        <v>0</v>
      </c>
      <c r="AB57" s="382">
        <f t="shared" si="5"/>
        <v>0</v>
      </c>
      <c r="AC57" s="382">
        <f t="shared" si="5"/>
        <v>1</v>
      </c>
      <c r="AD57" s="382">
        <f t="shared" si="5"/>
        <v>0</v>
      </c>
      <c r="AE57" s="382">
        <f t="shared" si="5"/>
        <v>0</v>
      </c>
      <c r="AF57" s="382">
        <f t="shared" si="5"/>
        <v>0</v>
      </c>
      <c r="AG57" s="382">
        <f t="shared" si="5"/>
        <v>0</v>
      </c>
      <c r="AH57" s="382">
        <f t="shared" si="5"/>
        <v>0</v>
      </c>
      <c r="AI57" s="382">
        <f t="shared" si="5"/>
        <v>0</v>
      </c>
      <c r="AJ57" s="382">
        <f t="shared" si="5"/>
        <v>0</v>
      </c>
      <c r="AK57" s="382">
        <f t="shared" si="5"/>
        <v>0</v>
      </c>
      <c r="AL57" s="382">
        <f t="shared" si="5"/>
        <v>0</v>
      </c>
      <c r="AM57" s="382">
        <f t="shared" si="5"/>
        <v>0</v>
      </c>
      <c r="AN57" s="382">
        <f t="shared" si="5"/>
        <v>0</v>
      </c>
      <c r="AO57" s="382">
        <f t="shared" si="5"/>
        <v>0</v>
      </c>
      <c r="AP57" s="29"/>
    </row>
    <row r="58" spans="1:42" outlineLevel="1" x14ac:dyDescent="0.25">
      <c r="A58" s="12"/>
      <c r="B58" s="13"/>
      <c r="C58" s="14"/>
      <c r="D58" s="379" t="s">
        <v>564</v>
      </c>
      <c r="E58" s="380" t="s">
        <v>565</v>
      </c>
      <c r="F58" s="16"/>
      <c r="G58" s="14"/>
      <c r="H58" s="382">
        <f>SUM($H$57:H57)*(H57&gt;0)</f>
        <v>0</v>
      </c>
      <c r="I58" s="382">
        <f>SUM($H$57:I57)*(I57&gt;0)</f>
        <v>0</v>
      </c>
      <c r="J58" s="382">
        <f>SUM($H$57:J57)*(J57&gt;0)</f>
        <v>0</v>
      </c>
      <c r="K58" s="382">
        <f>SUM($H$57:K57)*(K57&gt;0)</f>
        <v>0</v>
      </c>
      <c r="L58" s="382">
        <f>SUM($H$57:L57)*(L57&gt;0)</f>
        <v>0</v>
      </c>
      <c r="M58" s="382">
        <f>SUM($H$57:M57)*(M57&gt;0)</f>
        <v>0</v>
      </c>
      <c r="N58" s="382">
        <f>SUM($H$57:N57)*(N57&gt;0)</f>
        <v>0</v>
      </c>
      <c r="O58" s="382">
        <f>SUM($H$57:O57)*(O57&gt;0)</f>
        <v>0</v>
      </c>
      <c r="P58" s="382">
        <f>SUM($H$57:P57)*(P57&gt;0)</f>
        <v>0</v>
      </c>
      <c r="Q58" s="382">
        <f>SUM($H$57:Q57)*(Q57&gt;0)</f>
        <v>0</v>
      </c>
      <c r="R58" s="382">
        <f>SUM($H$57:R57)*(R57&gt;0)</f>
        <v>0</v>
      </c>
      <c r="S58" s="382">
        <f>SUM($H$57:S57)*(S57&gt;0)</f>
        <v>0</v>
      </c>
      <c r="T58" s="382">
        <f>SUM($H$57:T57)*(T57&gt;0)</f>
        <v>1</v>
      </c>
      <c r="U58" s="382">
        <f>SUM($H$57:U57)*(U57&gt;0)</f>
        <v>0</v>
      </c>
      <c r="V58" s="382">
        <f>SUM($H$57:V57)*(V57&gt;0)</f>
        <v>0</v>
      </c>
      <c r="W58" s="382">
        <f>SUM($H$57:W57)*(W57&gt;0)</f>
        <v>0</v>
      </c>
      <c r="X58" s="382">
        <f>SUM($H$57:X57)*(X57&gt;0)</f>
        <v>0</v>
      </c>
      <c r="Y58" s="382">
        <f>SUM($H$57:Y57)*(Y57&gt;0)</f>
        <v>0</v>
      </c>
      <c r="Z58" s="382">
        <f>SUM($H$57:Z57)*(Z57&gt;0)</f>
        <v>0</v>
      </c>
      <c r="AA58" s="382">
        <f>SUM($H$57:AA57)*(AA57&gt;0)</f>
        <v>0</v>
      </c>
      <c r="AB58" s="382">
        <f>SUM($H$57:AB57)*(AB57&gt;0)</f>
        <v>0</v>
      </c>
      <c r="AC58" s="382">
        <f>SUM($H$57:AC57)*(AC57&gt;0)</f>
        <v>2</v>
      </c>
      <c r="AD58" s="382">
        <f>SUM($H$57:AD57)*(AD57&gt;0)</f>
        <v>0</v>
      </c>
      <c r="AE58" s="382">
        <f>SUM($H$57:AE57)*(AE57&gt;0)</f>
        <v>0</v>
      </c>
      <c r="AF58" s="382">
        <f>SUM($H$57:AF57)*(AF57&gt;0)</f>
        <v>0</v>
      </c>
      <c r="AG58" s="382">
        <f>SUM($H$57:AG57)*(AG57&gt;0)</f>
        <v>0</v>
      </c>
      <c r="AH58" s="382">
        <f>SUM($H$57:AH57)*(AH57&gt;0)</f>
        <v>0</v>
      </c>
      <c r="AI58" s="382">
        <f>SUM($H$57:AI57)*(AI57&gt;0)</f>
        <v>0</v>
      </c>
      <c r="AJ58" s="382">
        <f>SUM($H$57:AJ57)*(AJ57&gt;0)</f>
        <v>0</v>
      </c>
      <c r="AK58" s="382">
        <f>SUM($H$57:AK57)*(AK57&gt;0)</f>
        <v>0</v>
      </c>
      <c r="AL58" s="382">
        <f>SUM($H$57:AL57)*(AL57&gt;0)</f>
        <v>0</v>
      </c>
      <c r="AM58" s="382">
        <f>SUM($H$57:AM57)*(AM57&gt;0)</f>
        <v>0</v>
      </c>
      <c r="AN58" s="382">
        <f>SUM($H$57:AN57)*(AN57&gt;0)</f>
        <v>0</v>
      </c>
      <c r="AO58" s="382">
        <f>SUM($H$57:AO57)*(AO57&gt;0)</f>
        <v>0</v>
      </c>
      <c r="AP58" s="29"/>
    </row>
    <row r="59" spans="1:42" outlineLevel="1" x14ac:dyDescent="0.25">
      <c r="A59" s="12"/>
      <c r="B59" s="13"/>
      <c r="C59" s="95" t="s">
        <v>549</v>
      </c>
      <c r="D59" s="381">
        <f>IFERROR(INDEX($H$50:$AO$50,1,MATCH(1,$H$58:$AO$58,0)),0)</f>
        <v>737779.86888888886</v>
      </c>
      <c r="E59" s="380">
        <f>IFERROR(INDEX($H$3:$AO$3,1,MATCH(1,$H$58:$AO$58,0)),0)</f>
        <v>12</v>
      </c>
      <c r="F59" s="16"/>
      <c r="G59" s="14"/>
      <c r="H59" s="182"/>
      <c r="I59" s="182">
        <f>-PMT(Data!$E$10,$D$62,$D59,0,0)*(I$3&gt;=$E59)*(I$3&lt;=$E59+$D$62-1)</f>
        <v>0</v>
      </c>
      <c r="J59" s="182">
        <f>-PMT(Data!$E$10,$D$62,$D59,0,0)*(J$3&gt;=$E59)*(J$3&lt;=$E59+$D$62-1)</f>
        <v>0</v>
      </c>
      <c r="K59" s="182">
        <f>-PMT(Data!$E$10,$D$62,$D59,0,0)*(K$3&gt;=$E59)*(K$3&lt;=$E59+$D$62-1)</f>
        <v>0</v>
      </c>
      <c r="L59" s="182">
        <f>-PMT(Data!$E$10,$D$62,$D59,0,0)*(L$3&gt;=$E59)*(L$3&lt;=$E59+$D$62-1)</f>
        <v>0</v>
      </c>
      <c r="M59" s="182">
        <f>-PMT(Data!$E$10,$D$62,$D59,0,0)*(M$3&gt;=$E59)*(M$3&lt;=$E59+$D$62-1)</f>
        <v>0</v>
      </c>
      <c r="N59" s="182">
        <f>-PMT(Data!$E$10,$D$62,$D59,0,0)*(N$3&gt;=$E59)*(N$3&lt;=$E59+$D$62-1)</f>
        <v>0</v>
      </c>
      <c r="O59" s="182">
        <f>-PMT(Data!$E$10,$D$62,$D59,0,0)*(O$3&gt;=$E59)*(O$3&lt;=$E59+$D$62-1)</f>
        <v>0</v>
      </c>
      <c r="P59" s="182">
        <f>-PMT(Data!$E$10,$D$62,$D59,0,0)*(P$3&gt;=$E59)*(P$3&lt;=$E59+$D$62-1)</f>
        <v>0</v>
      </c>
      <c r="Q59" s="182">
        <f>-PMT(Data!$E$10,$D$62,$D59,0,0)*(Q$3&gt;=$E59)*(Q$3&lt;=$E59+$D$62-1)</f>
        <v>0</v>
      </c>
      <c r="R59" s="182">
        <f>-PMT(Data!$E$10,$D$62,$D59,0,0)*(R$3&gt;=$E59)*(R$3&lt;=$E59+$D$62-1)</f>
        <v>0</v>
      </c>
      <c r="S59" s="182">
        <f>-PMT(Data!$E$10,$D$62,$D59,0,0)*(S$3&gt;=$E59)*(S$3&lt;=$E59+$D$62-1)</f>
        <v>0</v>
      </c>
      <c r="T59" s="182">
        <f>-PMT(Data!$E$10,$D$62,$D59,0,0)*(T$3&gt;=$E59)*(T$3&lt;=$E59+$D$62-1)</f>
        <v>54287.134110070772</v>
      </c>
      <c r="U59" s="182">
        <f>-PMT(Data!$E$10,$D$62,$D59,0,0)*(U$3&gt;=$E59)*(U$3&lt;=$E59+$D$62-1)</f>
        <v>54287.134110070772</v>
      </c>
      <c r="V59" s="182">
        <f>-PMT(Data!$E$10,$D$62,$D59,0,0)*(V$3&gt;=$E59)*(V$3&lt;=$E59+$D$62-1)</f>
        <v>54287.134110070772</v>
      </c>
      <c r="W59" s="182">
        <f>-PMT(Data!$E$10,$D$62,$D59,0,0)*(W$3&gt;=$E59)*(W$3&lt;=$E59+$D$62-1)</f>
        <v>54287.134110070772</v>
      </c>
      <c r="X59" s="182">
        <f>-PMT(Data!$E$10,$D$62,$D59,0,0)*(X$3&gt;=$E59)*(X$3&lt;=$E59+$D$62-1)</f>
        <v>54287.134110070772</v>
      </c>
      <c r="Y59" s="182">
        <f>-PMT(Data!$E$10,$D$62,$D59,0,0)*(Y$3&gt;=$E59)*(Y$3&lt;=$E59+$D$62-1)</f>
        <v>54287.134110070772</v>
      </c>
      <c r="Z59" s="182">
        <f>-PMT(Data!$E$10,$D$62,$D59,0,0)*(Z$3&gt;=$E59)*(Z$3&lt;=$E59+$D$62-1)</f>
        <v>54287.134110070772</v>
      </c>
      <c r="AA59" s="182">
        <f>-PMT(Data!$E$10,$D$62,$D59,0,0)*(AA$3&gt;=$E59)*(AA$3&lt;=$E59+$D$62-1)</f>
        <v>54287.134110070772</v>
      </c>
      <c r="AB59" s="182">
        <f>-PMT(Data!$E$10,$D$62,$D59,0,0)*(AB$3&gt;=$E59)*(AB$3&lt;=$E59+$D$62-1)</f>
        <v>54287.134110070772</v>
      </c>
      <c r="AC59" s="182">
        <f>-PMT(Data!$E$10,$D$62,$D59,0,0)*(AC$3&gt;=$E59)*(AC$3&lt;=$E59+$D$62-1)</f>
        <v>54287.134110070772</v>
      </c>
      <c r="AD59" s="182">
        <f>-PMT(Data!$E$10,$D$62,$D59,0,0)*(AD$3&gt;=$E59)*(AD$3&lt;=$E59+$D$62-1)</f>
        <v>54287.134110070772</v>
      </c>
      <c r="AE59" s="182">
        <f>-PMT(Data!$E$10,$D$62,$D59,0,0)*(AE$3&gt;=$E59)*(AE$3&lt;=$E59+$D$62-1)</f>
        <v>54287.134110070772</v>
      </c>
      <c r="AF59" s="182">
        <f>-PMT(Data!$E$10,$D$62,$D59,0,0)*(AF$3&gt;=$E59)*(AF$3&lt;=$E59+$D$62-1)</f>
        <v>54287.134110070772</v>
      </c>
      <c r="AG59" s="182">
        <f>-PMT(Data!$E$10,$D$62,$D59,0,0)*(AG$3&gt;=$E59)*(AG$3&lt;=$E59+$D$62-1)</f>
        <v>54287.134110070772</v>
      </c>
      <c r="AH59" s="182">
        <f>-PMT(Data!$E$10,$D$62,$D59,0,0)*(AH$3&gt;=$E59)*(AH$3&lt;=$E59+$D$62-1)</f>
        <v>54287.134110070772</v>
      </c>
      <c r="AI59" s="182">
        <f>-PMT(Data!$E$10,$D$62,$D59,0,0)*(AI$3&gt;=$E59)*(AI$3&lt;=$E59+$D$62-1)</f>
        <v>54287.134110070772</v>
      </c>
      <c r="AJ59" s="182">
        <f>-PMT(Data!$E$10,$D$62,$D59,0,0)*(AJ$3&gt;=$E59)*(AJ$3&lt;=$E59+$D$62-1)</f>
        <v>54287.134110070772</v>
      </c>
      <c r="AK59" s="182">
        <f>-PMT(Data!$E$10,$D$62,$D59,0,0)*(AK$3&gt;=$E59)*(AK$3&lt;=$E59+$D$62-1)</f>
        <v>54287.134110070772</v>
      </c>
      <c r="AL59" s="182">
        <f>-PMT(Data!$E$10,$D$62,$D59,0,0)*(AL$3&gt;=$E59)*(AL$3&lt;=$E59+$D$62-1)</f>
        <v>54287.134110070772</v>
      </c>
      <c r="AM59" s="182">
        <f>-PMT(Data!$E$10,$D$62,$D59,0,0)*(AM$3&gt;=$E59)*(AM$3&lt;=$E59+$D$62-1)</f>
        <v>54287.134110070772</v>
      </c>
      <c r="AN59" s="182">
        <f>-PMT(Data!$E$10,$D$62,$D59,0,0)*(AN$3&gt;=$E59)*(AN$3&lt;=$E59+$D$62-1)</f>
        <v>0</v>
      </c>
      <c r="AO59" s="182">
        <f>-PMT(Data!$E$10,$D$62,$D59,0,0)*(AO$3&gt;=$E59)*(AO$3&lt;=$E59+$D$62-1)</f>
        <v>0</v>
      </c>
      <c r="AP59" s="29"/>
    </row>
    <row r="60" spans="1:42" outlineLevel="1" x14ac:dyDescent="0.25">
      <c r="A60" s="12"/>
      <c r="B60" s="13"/>
      <c r="C60" s="95" t="s">
        <v>550</v>
      </c>
      <c r="D60" s="381">
        <f>IFERROR(INDEX($H$50:$AO$50,1,MATCH(2,$H$58:$AO$58,0)),0)</f>
        <v>68699.968087724803</v>
      </c>
      <c r="E60" s="380">
        <f>IFERROR(INDEX($H$3:$AO$3,1,MATCH(2,$H$58:$AO$58,0)),0)</f>
        <v>21</v>
      </c>
      <c r="F60" s="16"/>
      <c r="G60" s="14"/>
      <c r="H60" s="182"/>
      <c r="I60" s="182">
        <f>-PMT(Data!$E$10,$D$63,$D60,0,0)*(I$3&gt;=$E60)*(I$3&lt;=$E60+$D$63-1)</f>
        <v>0</v>
      </c>
      <c r="J60" s="182">
        <f>-PMT(Data!$E$10,$D$63,$D60,0,0)*(J$3&gt;=$E60)*(J$3&lt;=$E60+$D$63-1)</f>
        <v>0</v>
      </c>
      <c r="K60" s="182">
        <f>-PMT(Data!$E$10,$D$63,$D60,0,0)*(K$3&gt;=$E60)*(K$3&lt;=$E60+$D$63-1)</f>
        <v>0</v>
      </c>
      <c r="L60" s="182">
        <f>-PMT(Data!$E$10,$D$63,$D60,0,0)*(L$3&gt;=$E60)*(L$3&lt;=$E60+$D$63-1)</f>
        <v>0</v>
      </c>
      <c r="M60" s="182">
        <f>-PMT(Data!$E$10,$D$63,$D60,0,0)*(M$3&gt;=$E60)*(M$3&lt;=$E60+$D$63-1)</f>
        <v>0</v>
      </c>
      <c r="N60" s="182">
        <f>-PMT(Data!$E$10,$D$63,$D60,0,0)*(N$3&gt;=$E60)*(N$3&lt;=$E60+$D$63-1)</f>
        <v>0</v>
      </c>
      <c r="O60" s="182">
        <f>-PMT(Data!$E$10,$D$63,$D60,0,0)*(O$3&gt;=$E60)*(O$3&lt;=$E60+$D$63-1)</f>
        <v>0</v>
      </c>
      <c r="P60" s="182">
        <f>-PMT(Data!$E$10,$D$63,$D60,0,0)*(P$3&gt;=$E60)*(P$3&lt;=$E60+$D$63-1)</f>
        <v>0</v>
      </c>
      <c r="Q60" s="182">
        <f>-PMT(Data!$E$10,$D$63,$D60,0,0)*(Q$3&gt;=$E60)*(Q$3&lt;=$E60+$D$63-1)</f>
        <v>0</v>
      </c>
      <c r="R60" s="182">
        <f>-PMT(Data!$E$10,$D$63,$D60,0,0)*(R$3&gt;=$E60)*(R$3&lt;=$E60+$D$63-1)</f>
        <v>0</v>
      </c>
      <c r="S60" s="182">
        <f>-PMT(Data!$E$10,$D$63,$D60,0,0)*(S$3&gt;=$E60)*(S$3&lt;=$E60+$D$63-1)</f>
        <v>0</v>
      </c>
      <c r="T60" s="182">
        <f>-PMT(Data!$E$10,$D$63,$D60,0,0)*(T$3&gt;=$E60)*(T$3&lt;=$E60+$D$63-1)</f>
        <v>0</v>
      </c>
      <c r="U60" s="182">
        <f>-PMT(Data!$E$10,$D$63,$D60,0,0)*(U$3&gt;=$E60)*(U$3&lt;=$E60+$D$63-1)</f>
        <v>0</v>
      </c>
      <c r="V60" s="182">
        <f>-PMT(Data!$E$10,$D$63,$D60,0,0)*(V$3&gt;=$E60)*(V$3&lt;=$E60+$D$63-1)</f>
        <v>0</v>
      </c>
      <c r="W60" s="182">
        <f>-PMT(Data!$E$10,$D$63,$D60,0,0)*(W$3&gt;=$E60)*(W$3&lt;=$E60+$D$63-1)</f>
        <v>0</v>
      </c>
      <c r="X60" s="182">
        <f>-PMT(Data!$E$10,$D$63,$D60,0,0)*(X$3&gt;=$E60)*(X$3&lt;=$E60+$D$63-1)</f>
        <v>0</v>
      </c>
      <c r="Y60" s="182">
        <f>-PMT(Data!$E$10,$D$63,$D60,0,0)*(Y$3&gt;=$E60)*(Y$3&lt;=$E60+$D$63-1)</f>
        <v>0</v>
      </c>
      <c r="Z60" s="182">
        <f>-PMT(Data!$E$10,$D$63,$D60,0,0)*(Z$3&gt;=$E60)*(Z$3&lt;=$E60+$D$63-1)</f>
        <v>0</v>
      </c>
      <c r="AA60" s="182">
        <f>-PMT(Data!$E$10,$D$63,$D60,0,0)*(AA$3&gt;=$E60)*(AA$3&lt;=$E60+$D$63-1)</f>
        <v>0</v>
      </c>
      <c r="AB60" s="182">
        <f>-PMT(Data!$E$10,$D$63,$D60,0,0)*(AB$3&gt;=$E60)*(AB$3&lt;=$E60+$D$63-1)</f>
        <v>0</v>
      </c>
      <c r="AC60" s="182">
        <f>-PMT(Data!$E$10,$D$63,$D60,0,0)*(AC$3&gt;=$E60)*(AC$3&lt;=$E60+$D$63-1)</f>
        <v>7842.0353543207457</v>
      </c>
      <c r="AD60" s="182">
        <f>-PMT(Data!$E$10,$D$63,$D60,0,0)*(AD$3&gt;=$E60)*(AD$3&lt;=$E60+$D$63-1)</f>
        <v>7842.0353543207457</v>
      </c>
      <c r="AE60" s="182">
        <f>-PMT(Data!$E$10,$D$63,$D60,0,0)*(AE$3&gt;=$E60)*(AE$3&lt;=$E60+$D$63-1)</f>
        <v>7842.0353543207457</v>
      </c>
      <c r="AF60" s="182">
        <f>-PMT(Data!$E$10,$D$63,$D60,0,0)*(AF$3&gt;=$E60)*(AF$3&lt;=$E60+$D$63-1)</f>
        <v>7842.0353543207457</v>
      </c>
      <c r="AG60" s="182">
        <f>-PMT(Data!$E$10,$D$63,$D60,0,0)*(AG$3&gt;=$E60)*(AG$3&lt;=$E60+$D$63-1)</f>
        <v>7842.0353543207457</v>
      </c>
      <c r="AH60" s="182">
        <f>-PMT(Data!$E$10,$D$63,$D60,0,0)*(AH$3&gt;=$E60)*(AH$3&lt;=$E60+$D$63-1)</f>
        <v>7842.0353543207457</v>
      </c>
      <c r="AI60" s="182">
        <f>-PMT(Data!$E$10,$D$63,$D60,0,0)*(AI$3&gt;=$E60)*(AI$3&lt;=$E60+$D$63-1)</f>
        <v>7842.0353543207457</v>
      </c>
      <c r="AJ60" s="182">
        <f>-PMT(Data!$E$10,$D$63,$D60,0,0)*(AJ$3&gt;=$E60)*(AJ$3&lt;=$E60+$D$63-1)</f>
        <v>7842.0353543207457</v>
      </c>
      <c r="AK60" s="182">
        <f>-PMT(Data!$E$10,$D$63,$D60,0,0)*(AK$3&gt;=$E60)*(AK$3&lt;=$E60+$D$63-1)</f>
        <v>7842.0353543207457</v>
      </c>
      <c r="AL60" s="182">
        <f>-PMT(Data!$E$10,$D$63,$D60,0,0)*(AL$3&gt;=$E60)*(AL$3&lt;=$E60+$D$63-1)</f>
        <v>7842.0353543207457</v>
      </c>
      <c r="AM60" s="182">
        <f>-PMT(Data!$E$10,$D$63,$D60,0,0)*(AM$3&gt;=$E60)*(AM$3&lt;=$E60+$D$63-1)</f>
        <v>7842.0353543207457</v>
      </c>
      <c r="AN60" s="182">
        <f>-PMT(Data!$E$10,$D$63,$D60,0,0)*(AN$3&gt;=$E60)*(AN$3&lt;=$E60+$D$63-1)</f>
        <v>0</v>
      </c>
      <c r="AO60" s="182">
        <f>-PMT(Data!$E$10,$D$63,$D60,0,0)*(AO$3&gt;=$E60)*(AO$3&lt;=$E60+$D$63-1)</f>
        <v>0</v>
      </c>
      <c r="AP60" s="29"/>
    </row>
    <row r="61" spans="1:42" outlineLevel="1" x14ac:dyDescent="0.25">
      <c r="A61" s="12"/>
      <c r="B61" s="13"/>
      <c r="C61" s="95"/>
      <c r="D61" s="15"/>
      <c r="E61" s="15"/>
      <c r="F61" s="16"/>
      <c r="G61" s="14"/>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29"/>
    </row>
    <row r="62" spans="1:42" outlineLevel="1" x14ac:dyDescent="0.25">
      <c r="A62" s="12"/>
      <c r="B62" s="13"/>
      <c r="C62" s="95" t="s">
        <v>566</v>
      </c>
      <c r="D62" s="380">
        <f>Data!$E$337</f>
        <v>20</v>
      </c>
      <c r="E62" s="15"/>
      <c r="F62" s="16"/>
      <c r="G62" s="14"/>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29"/>
    </row>
    <row r="63" spans="1:42" outlineLevel="1" x14ac:dyDescent="0.25">
      <c r="A63" s="12"/>
      <c r="B63" s="13"/>
      <c r="C63" s="95" t="s">
        <v>567</v>
      </c>
      <c r="D63" s="380">
        <f>Data!$E$337-Data!$E$345</f>
        <v>11</v>
      </c>
      <c r="E63" s="15"/>
      <c r="F63" s="16"/>
      <c r="G63" s="14"/>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29"/>
    </row>
    <row r="64" spans="1:42" outlineLevel="1" x14ac:dyDescent="0.25">
      <c r="A64" s="12"/>
      <c r="B64" s="13"/>
      <c r="C64" s="19" t="s">
        <v>510</v>
      </c>
      <c r="D64" s="45"/>
      <c r="E64" s="15"/>
      <c r="F64" s="158"/>
      <c r="G64" s="14"/>
      <c r="H64" s="182">
        <f>H59+H60</f>
        <v>0</v>
      </c>
      <c r="I64" s="182">
        <f t="shared" ref="I64:AO64" si="6">I59+I60</f>
        <v>0</v>
      </c>
      <c r="J64" s="182">
        <f t="shared" si="6"/>
        <v>0</v>
      </c>
      <c r="K64" s="182">
        <f t="shared" si="6"/>
        <v>0</v>
      </c>
      <c r="L64" s="182">
        <f t="shared" si="6"/>
        <v>0</v>
      </c>
      <c r="M64" s="182">
        <f t="shared" si="6"/>
        <v>0</v>
      </c>
      <c r="N64" s="182">
        <f t="shared" si="6"/>
        <v>0</v>
      </c>
      <c r="O64" s="182">
        <f t="shared" si="6"/>
        <v>0</v>
      </c>
      <c r="P64" s="182">
        <f t="shared" si="6"/>
        <v>0</v>
      </c>
      <c r="Q64" s="182">
        <f t="shared" si="6"/>
        <v>0</v>
      </c>
      <c r="R64" s="182">
        <f t="shared" si="6"/>
        <v>0</v>
      </c>
      <c r="S64" s="182">
        <f t="shared" si="6"/>
        <v>0</v>
      </c>
      <c r="T64" s="182">
        <f>T59+T60</f>
        <v>54287.134110070772</v>
      </c>
      <c r="U64" s="182">
        <f t="shared" si="6"/>
        <v>54287.134110070772</v>
      </c>
      <c r="V64" s="182">
        <f t="shared" si="6"/>
        <v>54287.134110070772</v>
      </c>
      <c r="W64" s="182">
        <f t="shared" si="6"/>
        <v>54287.134110070772</v>
      </c>
      <c r="X64" s="182">
        <f t="shared" si="6"/>
        <v>54287.134110070772</v>
      </c>
      <c r="Y64" s="182">
        <f t="shared" si="6"/>
        <v>54287.134110070772</v>
      </c>
      <c r="Z64" s="182">
        <f t="shared" si="6"/>
        <v>54287.134110070772</v>
      </c>
      <c r="AA64" s="182">
        <f t="shared" si="6"/>
        <v>54287.134110070772</v>
      </c>
      <c r="AB64" s="182">
        <f t="shared" si="6"/>
        <v>54287.134110070772</v>
      </c>
      <c r="AC64" s="182">
        <f t="shared" si="6"/>
        <v>62129.169464391518</v>
      </c>
      <c r="AD64" s="182">
        <f t="shared" si="6"/>
        <v>62129.169464391518</v>
      </c>
      <c r="AE64" s="182">
        <f t="shared" si="6"/>
        <v>62129.169464391518</v>
      </c>
      <c r="AF64" s="182">
        <f t="shared" si="6"/>
        <v>62129.169464391518</v>
      </c>
      <c r="AG64" s="182">
        <f t="shared" si="6"/>
        <v>62129.169464391518</v>
      </c>
      <c r="AH64" s="182">
        <f t="shared" si="6"/>
        <v>62129.169464391518</v>
      </c>
      <c r="AI64" s="182">
        <f t="shared" si="6"/>
        <v>62129.169464391518</v>
      </c>
      <c r="AJ64" s="182">
        <f t="shared" si="6"/>
        <v>62129.169464391518</v>
      </c>
      <c r="AK64" s="182">
        <f t="shared" si="6"/>
        <v>62129.169464391518</v>
      </c>
      <c r="AL64" s="182">
        <f t="shared" si="6"/>
        <v>62129.169464391518</v>
      </c>
      <c r="AM64" s="182">
        <f>AM59+AM60</f>
        <v>62129.169464391518</v>
      </c>
      <c r="AN64" s="182">
        <f t="shared" si="6"/>
        <v>0</v>
      </c>
      <c r="AO64" s="182">
        <f t="shared" si="6"/>
        <v>0</v>
      </c>
      <c r="AP64" s="29"/>
    </row>
    <row r="65" spans="1:42" outlineLevel="1" x14ac:dyDescent="0.25">
      <c r="A65" s="12"/>
      <c r="B65" s="13"/>
      <c r="C65" s="19"/>
      <c r="D65" s="45"/>
      <c r="E65" s="15"/>
      <c r="F65" s="16"/>
      <c r="G65" s="14"/>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29"/>
    </row>
    <row r="66" spans="1:42" outlineLevel="1" x14ac:dyDescent="0.25">
      <c r="A66" s="12"/>
      <c r="B66" s="13"/>
      <c r="C66" s="37" t="s">
        <v>472</v>
      </c>
      <c r="D66" s="37"/>
      <c r="E66" s="38"/>
      <c r="F66" s="39"/>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17"/>
    </row>
    <row r="67" spans="1:42" outlineLevel="1" x14ac:dyDescent="0.25">
      <c r="A67" s="12"/>
      <c r="B67" s="13"/>
      <c r="C67" s="19" t="s">
        <v>28</v>
      </c>
      <c r="D67" s="19"/>
      <c r="E67" s="15"/>
      <c r="F67" s="16"/>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7"/>
    </row>
    <row r="68" spans="1:42" outlineLevel="1" x14ac:dyDescent="0.25">
      <c r="A68" s="12"/>
      <c r="B68" s="13"/>
      <c r="C68" s="20" t="s">
        <v>258</v>
      </c>
      <c r="D68" s="44"/>
      <c r="E68" s="15"/>
      <c r="F68" s="16"/>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7"/>
    </row>
    <row r="69" spans="1:42" outlineLevel="1" x14ac:dyDescent="0.25">
      <c r="A69" s="12"/>
      <c r="B69" s="13"/>
      <c r="C69" s="96" t="s">
        <v>120</v>
      </c>
      <c r="D69" s="45"/>
      <c r="E69" s="15" t="s">
        <v>474</v>
      </c>
      <c r="F69" s="158" t="str">
        <f>Dashboard!$I$43</f>
        <v>2 Axle rigid</v>
      </c>
      <c r="G69" s="14"/>
      <c r="H69" s="150"/>
      <c r="I69" s="177">
        <f>IF($F$69=$C$69,Data!$E$324*I18,0)</f>
        <v>0</v>
      </c>
      <c r="J69" s="177">
        <f>IF($F$69=$C$69,Data!$E$324*J18,0)</f>
        <v>0</v>
      </c>
      <c r="K69" s="177">
        <f>IF($F$69=$C$69,Data!$E$324*K18,0)</f>
        <v>0</v>
      </c>
      <c r="L69" s="177">
        <f>IF($F$69=$C$69,Data!$E$324*L18,0)</f>
        <v>0</v>
      </c>
      <c r="M69" s="177">
        <f>IF($F$69=$C$69,Data!$E$324*M18,0)</f>
        <v>0</v>
      </c>
      <c r="N69" s="177">
        <f>IF($F$69=$C$69,Data!$E$324*N18,0)</f>
        <v>0</v>
      </c>
      <c r="O69" s="177">
        <f>IF($F$69=$C$69,Data!$E$324*O18,0)</f>
        <v>0</v>
      </c>
      <c r="P69" s="177">
        <f>IF($F$69=$C$69,Data!$E$324*P18,0)</f>
        <v>0</v>
      </c>
      <c r="Q69" s="177">
        <f>IF($F$69=$C$69,Data!$E$324*Q18,0)</f>
        <v>0</v>
      </c>
      <c r="R69" s="177">
        <f>IF($F$69=$C$69,Data!$E$324*R18,0)</f>
        <v>0</v>
      </c>
      <c r="S69" s="177">
        <f>IF($F$69=$C$69,Data!$E$324*S18,0)</f>
        <v>0</v>
      </c>
      <c r="T69" s="177">
        <f>IF($F$69=$C$69,Data!$E$324*T18,0)</f>
        <v>0</v>
      </c>
      <c r="U69" s="177">
        <f>IF($F$69=$C$69,Data!$E$324*U18,0)</f>
        <v>45629.999999999993</v>
      </c>
      <c r="V69" s="177">
        <f>IF($F$69=$C$69,Data!$E$324*V18,0)</f>
        <v>45629.999999999993</v>
      </c>
      <c r="W69" s="177">
        <f>IF($F$69=$C$69,Data!$E$324*W18,0)</f>
        <v>45629.999999999993</v>
      </c>
      <c r="X69" s="177">
        <f>IF($F$69=$C$69,Data!$E$324*X18,0)</f>
        <v>45629.999999999993</v>
      </c>
      <c r="Y69" s="177">
        <f>IF($F$69=$C$69,Data!$E$324*Y18,0)</f>
        <v>45629.999999999993</v>
      </c>
      <c r="Z69" s="177">
        <f>IF($F$69=$C$69,Data!$E$324*Z18,0)</f>
        <v>45629.999999999993</v>
      </c>
      <c r="AA69" s="177">
        <f>IF($F$69=$C$69,Data!$E$324*AA18,0)</f>
        <v>45629.999999999993</v>
      </c>
      <c r="AB69" s="177">
        <f>IF($F$69=$C$69,Data!$E$324*AB18,0)</f>
        <v>45629.999999999993</v>
      </c>
      <c r="AC69" s="177">
        <f>IF($F$69=$C$69,Data!$E$324*AC18,0)</f>
        <v>45629.999999999993</v>
      </c>
      <c r="AD69" s="177">
        <f>IF($F$69=$C$69,Data!$E$324*AD18,0)</f>
        <v>45629.999999999993</v>
      </c>
      <c r="AE69" s="177">
        <f>IF($F$69=$C$69,Data!$E$324*AE18,0)</f>
        <v>45629.999999999993</v>
      </c>
      <c r="AF69" s="177">
        <f>IF($F$69=$C$69,Data!$E$324*AF18,0)</f>
        <v>45629.999999999993</v>
      </c>
      <c r="AG69" s="177">
        <f>IF($F$69=$C$69,Data!$E$324*AG18,0)</f>
        <v>45629.999999999993</v>
      </c>
      <c r="AH69" s="177">
        <f>IF($F$69=$C$69,Data!$E$324*AH18,0)</f>
        <v>45629.999999999993</v>
      </c>
      <c r="AI69" s="177">
        <f>IF($F$69=$C$69,Data!$E$324*AI18,0)</f>
        <v>45629.999999999993</v>
      </c>
      <c r="AJ69" s="177">
        <f>IF($F$69=$C$69,Data!$E$324*AJ18,0)</f>
        <v>45629.999999999993</v>
      </c>
      <c r="AK69" s="177">
        <f>IF($F$69=$C$69,Data!$E$324*AK18,0)</f>
        <v>45629.999999999993</v>
      </c>
      <c r="AL69" s="177">
        <f>IF($F$69=$C$69,Data!$E$324*AL18,0)</f>
        <v>45629.999999999993</v>
      </c>
      <c r="AM69" s="177">
        <f>IF($F$69=$C$69,Data!$E$324*AM18,0)</f>
        <v>45629.999999999993</v>
      </c>
      <c r="AN69" s="177">
        <f>IF($F$69=$C$69,Data!$E$324*AN18,0)</f>
        <v>45629.999999999993</v>
      </c>
      <c r="AO69" s="177">
        <f>IF($F$69=$C$69,Data!$E$324*AO18,0)</f>
        <v>0</v>
      </c>
      <c r="AP69" s="29"/>
    </row>
    <row r="70" spans="1:42" outlineLevel="1" x14ac:dyDescent="0.25">
      <c r="A70" s="12"/>
      <c r="B70" s="13"/>
      <c r="C70" s="96" t="s">
        <v>124</v>
      </c>
      <c r="D70" s="45"/>
      <c r="E70" s="15" t="s">
        <v>474</v>
      </c>
      <c r="F70" s="158" t="str">
        <f>Dashboard!$I$43</f>
        <v>2 Axle rigid</v>
      </c>
      <c r="G70" s="14"/>
      <c r="H70" s="150"/>
      <c r="I70" s="177">
        <f>IF($F$70=$C$70,Data!$E$325*I18,0)</f>
        <v>0</v>
      </c>
      <c r="J70" s="177">
        <f>IF($F$70=$C$70,Data!$E$325*J18,0)</f>
        <v>0</v>
      </c>
      <c r="K70" s="177">
        <f>IF($F$70=$C$70,Data!$E$325*K18,0)</f>
        <v>0</v>
      </c>
      <c r="L70" s="177">
        <f>IF($F$70=$C$70,Data!$E$325*L18,0)</f>
        <v>0</v>
      </c>
      <c r="M70" s="177">
        <f>IF($F$70=$C$70,Data!$E$325*M18,0)</f>
        <v>0</v>
      </c>
      <c r="N70" s="177">
        <f>IF($F$70=$C$70,Data!$E$325*N18,0)</f>
        <v>0</v>
      </c>
      <c r="O70" s="177">
        <f>IF($F$70=$C$70,Data!$E$325*O18,0)</f>
        <v>0</v>
      </c>
      <c r="P70" s="177">
        <f>IF($F$70=$C$70,Data!$E$325*P18,0)</f>
        <v>0</v>
      </c>
      <c r="Q70" s="177">
        <f>IF($F$70=$C$70,Data!$E$325*Q18,0)</f>
        <v>0</v>
      </c>
      <c r="R70" s="177">
        <f>IF($F$70=$C$70,Data!$E$325*R18,0)</f>
        <v>0</v>
      </c>
      <c r="S70" s="177">
        <f>IF($F$70=$C$70,Data!$E$325*S18,0)</f>
        <v>0</v>
      </c>
      <c r="T70" s="177">
        <f>IF($F$70=$C$70,Data!$E$325*T18,0)</f>
        <v>0</v>
      </c>
      <c r="U70" s="177">
        <f>IF($F$70=$C$70,Data!$E$325*U18,0)</f>
        <v>0</v>
      </c>
      <c r="V70" s="177">
        <f>IF($F$70=$C$70,Data!$E$325*V18,0)</f>
        <v>0</v>
      </c>
      <c r="W70" s="177">
        <f>IF($F$70=$C$70,Data!$E$325*W18,0)</f>
        <v>0</v>
      </c>
      <c r="X70" s="177">
        <f>IF($F$70=$C$70,Data!$E$325*X18,0)</f>
        <v>0</v>
      </c>
      <c r="Y70" s="177">
        <f>IF($F$70=$C$70,Data!$E$325*Y18,0)</f>
        <v>0</v>
      </c>
      <c r="Z70" s="177">
        <f>IF($F$70=$C$70,Data!$E$325*Z18,0)</f>
        <v>0</v>
      </c>
      <c r="AA70" s="177">
        <f>IF($F$70=$C$70,Data!$E$325*AA18,0)</f>
        <v>0</v>
      </c>
      <c r="AB70" s="177">
        <f>IF($F$70=$C$70,Data!$E$325*AB18,0)</f>
        <v>0</v>
      </c>
      <c r="AC70" s="177">
        <f>IF($F$70=$C$70,Data!$E$325*AC18,0)</f>
        <v>0</v>
      </c>
      <c r="AD70" s="177">
        <f>IF($F$70=$C$70,Data!$E$325*AD18,0)</f>
        <v>0</v>
      </c>
      <c r="AE70" s="177">
        <f>IF($F$70=$C$70,Data!$E$325*AE18,0)</f>
        <v>0</v>
      </c>
      <c r="AF70" s="177">
        <f>IF($F$70=$C$70,Data!$E$325*AF18,0)</f>
        <v>0</v>
      </c>
      <c r="AG70" s="177">
        <f>IF($F$70=$C$70,Data!$E$325*AG18,0)</f>
        <v>0</v>
      </c>
      <c r="AH70" s="177">
        <f>IF($F$70=$C$70,Data!$E$325*AH18,0)</f>
        <v>0</v>
      </c>
      <c r="AI70" s="177">
        <f>IF($F$70=$C$70,Data!$E$325*AI18,0)</f>
        <v>0</v>
      </c>
      <c r="AJ70" s="177">
        <f>IF($F$70=$C$70,Data!$E$325*AJ18,0)</f>
        <v>0</v>
      </c>
      <c r="AK70" s="177">
        <f>IF($F$70=$C$70,Data!$E$325*AK18,0)</f>
        <v>0</v>
      </c>
      <c r="AL70" s="177">
        <f>IF($F$70=$C$70,Data!$E$325*AL18,0)</f>
        <v>0</v>
      </c>
      <c r="AM70" s="177">
        <f>IF($F$70=$C$70,Data!$E$325*AM18,0)</f>
        <v>0</v>
      </c>
      <c r="AN70" s="177">
        <f>IF($F$70=$C$70,Data!$E$325*AN18,0)</f>
        <v>0</v>
      </c>
      <c r="AO70" s="177">
        <f>IF($F$70=$C$70,Data!$E$325*AO18,0)</f>
        <v>0</v>
      </c>
      <c r="AP70" s="29"/>
    </row>
    <row r="71" spans="1:42" outlineLevel="1" x14ac:dyDescent="0.25">
      <c r="A71" s="12"/>
      <c r="B71" s="13"/>
      <c r="C71" s="96" t="s">
        <v>126</v>
      </c>
      <c r="D71" s="45"/>
      <c r="E71" s="15" t="s">
        <v>474</v>
      </c>
      <c r="F71" s="158" t="str">
        <f>Dashboard!$I$43</f>
        <v>2 Axle rigid</v>
      </c>
      <c r="G71" s="14"/>
      <c r="H71" s="150"/>
      <c r="I71" s="177">
        <f>IF($F$71=$C$71,Data!$E$326*I18,0)</f>
        <v>0</v>
      </c>
      <c r="J71" s="177">
        <f>IF($F$71=$C$71,Data!$E$326*J18,0)</f>
        <v>0</v>
      </c>
      <c r="K71" s="177">
        <f>IF($F$71=$C$71,Data!$E$326*K18,0)</f>
        <v>0</v>
      </c>
      <c r="L71" s="177">
        <f>IF($F$71=$C$71,Data!$E$326*L18,0)</f>
        <v>0</v>
      </c>
      <c r="M71" s="177">
        <f>IF($F$71=$C$71,Data!$E$326*M18,0)</f>
        <v>0</v>
      </c>
      <c r="N71" s="177">
        <f>IF($F$71=$C$71,Data!$E$326*N18,0)</f>
        <v>0</v>
      </c>
      <c r="O71" s="177">
        <f>IF($F$71=$C$71,Data!$E$326*O18,0)</f>
        <v>0</v>
      </c>
      <c r="P71" s="177">
        <f>IF($F$71=$C$71,Data!$E$326*P18,0)</f>
        <v>0</v>
      </c>
      <c r="Q71" s="177">
        <f>IF($F$71=$C$71,Data!$E$326*Q18,0)</f>
        <v>0</v>
      </c>
      <c r="R71" s="177">
        <f>IF($F$71=$C$71,Data!$E$326*R18,0)</f>
        <v>0</v>
      </c>
      <c r="S71" s="177">
        <f>IF($F$71=$C$71,Data!$E$326*S18,0)</f>
        <v>0</v>
      </c>
      <c r="T71" s="177">
        <f>IF($F$71=$C$71,Data!$E$326*T18,0)</f>
        <v>0</v>
      </c>
      <c r="U71" s="177">
        <f>IF($F$71=$C$71,Data!$E$326*U18,0)</f>
        <v>0</v>
      </c>
      <c r="V71" s="177">
        <f>IF($F$71=$C$71,Data!$E$326*V18,0)</f>
        <v>0</v>
      </c>
      <c r="W71" s="177">
        <f>IF($F$71=$C$71,Data!$E$326*W18,0)</f>
        <v>0</v>
      </c>
      <c r="X71" s="177">
        <f>IF($F$71=$C$71,Data!$E$326*X18,0)</f>
        <v>0</v>
      </c>
      <c r="Y71" s="177">
        <f>IF($F$71=$C$71,Data!$E$326*Y18,0)</f>
        <v>0</v>
      </c>
      <c r="Z71" s="177">
        <f>IF($F$71=$C$71,Data!$E$326*Z18,0)</f>
        <v>0</v>
      </c>
      <c r="AA71" s="177">
        <f>IF($F$71=$C$71,Data!$E$326*AA18,0)</f>
        <v>0</v>
      </c>
      <c r="AB71" s="177">
        <f>IF($F$71=$C$71,Data!$E$326*AB18,0)</f>
        <v>0</v>
      </c>
      <c r="AC71" s="177">
        <f>IF($F$71=$C$71,Data!$E$326*AC18,0)</f>
        <v>0</v>
      </c>
      <c r="AD71" s="177">
        <f>IF($F$71=$C$71,Data!$E$326*AD18,0)</f>
        <v>0</v>
      </c>
      <c r="AE71" s="177">
        <f>IF($F$71=$C$71,Data!$E$326*AE18,0)</f>
        <v>0</v>
      </c>
      <c r="AF71" s="177">
        <f>IF($F$71=$C$71,Data!$E$326*AF18,0)</f>
        <v>0</v>
      </c>
      <c r="AG71" s="177">
        <f>IF($F$71=$C$71,Data!$E$326*AG18,0)</f>
        <v>0</v>
      </c>
      <c r="AH71" s="177">
        <f>IF($F$71=$C$71,Data!$E$326*AH18,0)</f>
        <v>0</v>
      </c>
      <c r="AI71" s="177">
        <f>IF($F$71=$C$71,Data!$E$326*AI18,0)</f>
        <v>0</v>
      </c>
      <c r="AJ71" s="177">
        <f>IF($F$71=$C$71,Data!$E$326*AJ18,0)</f>
        <v>0</v>
      </c>
      <c r="AK71" s="177">
        <f>IF($F$71=$C$71,Data!$E$326*AK18,0)</f>
        <v>0</v>
      </c>
      <c r="AL71" s="177">
        <f>IF($F$71=$C$71,Data!$E$326*AL18,0)</f>
        <v>0</v>
      </c>
      <c r="AM71" s="177">
        <f>IF($F$71=$C$71,Data!$E$326*AM18,0)</f>
        <v>0</v>
      </c>
      <c r="AN71" s="177">
        <f>IF($F$71=$C$71,Data!$E$326*AN18,0)</f>
        <v>0</v>
      </c>
      <c r="AO71" s="177">
        <f>IF($F$71=$C$71,Data!$E$326*AO18,0)</f>
        <v>0</v>
      </c>
      <c r="AP71" s="29"/>
    </row>
    <row r="72" spans="1:42" outlineLevel="1" x14ac:dyDescent="0.25">
      <c r="A72" s="12"/>
      <c r="B72" s="13"/>
      <c r="C72" s="96"/>
      <c r="D72" s="45"/>
      <c r="E72" s="15"/>
      <c r="F72" s="158"/>
      <c r="G72" s="14"/>
      <c r="H72" s="150"/>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29"/>
    </row>
    <row r="73" spans="1:42" s="51" customFormat="1" outlineLevel="1" x14ac:dyDescent="0.25">
      <c r="A73" s="12"/>
      <c r="B73" s="12"/>
      <c r="C73" s="399" t="s">
        <v>260</v>
      </c>
      <c r="D73" s="12"/>
      <c r="E73" s="79" t="s">
        <v>318</v>
      </c>
      <c r="F73" s="80"/>
      <c r="G73" s="12"/>
      <c r="H73" s="400"/>
      <c r="I73" s="400"/>
      <c r="J73" s="400"/>
      <c r="K73" s="400">
        <f>Data!$E$332*K18</f>
        <v>0</v>
      </c>
      <c r="L73" s="400">
        <f>Data!$E$332*L18</f>
        <v>0</v>
      </c>
      <c r="M73" s="400">
        <f>Data!$E$332*M18</f>
        <v>0</v>
      </c>
      <c r="N73" s="400">
        <f>Data!$E$332*N18</f>
        <v>0</v>
      </c>
      <c r="O73" s="400">
        <f>Data!$E$332*O18</f>
        <v>0</v>
      </c>
      <c r="P73" s="400">
        <f>Data!$E$332*P18</f>
        <v>0</v>
      </c>
      <c r="Q73" s="400">
        <f>Data!$E$332*Q18</f>
        <v>0</v>
      </c>
      <c r="R73" s="400">
        <f>Data!$E$332*R18</f>
        <v>0</v>
      </c>
      <c r="S73" s="400">
        <f>Data!$E$332*S18</f>
        <v>0</v>
      </c>
      <c r="T73" s="400">
        <f>Data!$E$332*T18</f>
        <v>0</v>
      </c>
      <c r="U73" s="400">
        <f>Data!$E$332*U18</f>
        <v>33733.440000000002</v>
      </c>
      <c r="V73" s="400">
        <f>Data!$E$332*V18</f>
        <v>33733.440000000002</v>
      </c>
      <c r="W73" s="400">
        <f>Data!$E$332*W18</f>
        <v>33733.440000000002</v>
      </c>
      <c r="X73" s="400">
        <f>Data!$E$332*X18</f>
        <v>33733.440000000002</v>
      </c>
      <c r="Y73" s="400">
        <f>Data!$E$332*Y18</f>
        <v>33733.440000000002</v>
      </c>
      <c r="Z73" s="400">
        <f>Data!$E$332*Z18</f>
        <v>33733.440000000002</v>
      </c>
      <c r="AA73" s="400">
        <f>Data!$E$332*AA18</f>
        <v>33733.440000000002</v>
      </c>
      <c r="AB73" s="400">
        <f>Data!$E$332*AB18</f>
        <v>33733.440000000002</v>
      </c>
      <c r="AC73" s="400">
        <f>Data!$E$332*AC18</f>
        <v>33733.440000000002</v>
      </c>
      <c r="AD73" s="400">
        <f>Data!$E$332*AD18</f>
        <v>33733.440000000002</v>
      </c>
      <c r="AE73" s="400">
        <f>Data!$E$332*AE18</f>
        <v>33733.440000000002</v>
      </c>
      <c r="AF73" s="400">
        <f>Data!$E$332*AF18</f>
        <v>33733.440000000002</v>
      </c>
      <c r="AG73" s="400">
        <f>Data!$E$332*AG18</f>
        <v>33733.440000000002</v>
      </c>
      <c r="AH73" s="400">
        <f>Data!$E$332*AH18</f>
        <v>33733.440000000002</v>
      </c>
      <c r="AI73" s="400">
        <f>Data!$E$332*AI18</f>
        <v>33733.440000000002</v>
      </c>
      <c r="AJ73" s="400">
        <f>Data!$E$332*AJ18</f>
        <v>33733.440000000002</v>
      </c>
      <c r="AK73" s="400">
        <f>Data!$E$332*AK18</f>
        <v>33733.440000000002</v>
      </c>
      <c r="AL73" s="400">
        <f>Data!$E$332*AL18</f>
        <v>33733.440000000002</v>
      </c>
      <c r="AM73" s="400">
        <f>Data!$E$332*AM18</f>
        <v>33733.440000000002</v>
      </c>
      <c r="AN73" s="400">
        <f>Data!$E$332*AN18</f>
        <v>33733.440000000002</v>
      </c>
      <c r="AO73" s="400">
        <f>Data!$E$332*AO18</f>
        <v>0</v>
      </c>
      <c r="AP73" s="401"/>
    </row>
    <row r="74" spans="1:42" outlineLevel="1" x14ac:dyDescent="0.25">
      <c r="A74" s="12"/>
      <c r="B74" s="13"/>
      <c r="C74" s="96"/>
      <c r="D74" s="45"/>
      <c r="E74" s="15"/>
      <c r="F74" s="158"/>
      <c r="G74" s="14"/>
      <c r="H74" s="150"/>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29"/>
    </row>
    <row r="75" spans="1:42" outlineLevel="1" x14ac:dyDescent="0.25">
      <c r="A75" s="12"/>
      <c r="B75" s="13"/>
      <c r="C75" s="95" t="s">
        <v>568</v>
      </c>
      <c r="D75" s="45"/>
      <c r="E75" s="15"/>
      <c r="F75" s="16"/>
      <c r="G75" s="14"/>
      <c r="H75" s="28"/>
      <c r="I75" s="177"/>
      <c r="J75" s="177"/>
      <c r="K75" s="177"/>
      <c r="L75" s="177"/>
      <c r="M75" s="177"/>
      <c r="N75" s="177"/>
      <c r="O75" s="177"/>
      <c r="P75" s="177"/>
      <c r="Q75" s="177"/>
      <c r="R75" s="177"/>
      <c r="S75" s="177"/>
      <c r="T75" s="177"/>
      <c r="U75" s="177"/>
      <c r="V75" s="177"/>
      <c r="W75" s="177"/>
      <c r="X75" s="177"/>
      <c r="Y75" s="177"/>
      <c r="Z75" s="177"/>
      <c r="AA75" s="177"/>
      <c r="AB75" s="177"/>
      <c r="AC75" s="177"/>
      <c r="AD75" s="28"/>
      <c r="AE75" s="28"/>
      <c r="AF75" s="28"/>
      <c r="AG75" s="28"/>
      <c r="AH75" s="28"/>
      <c r="AI75" s="28"/>
      <c r="AJ75" s="28"/>
      <c r="AK75" s="28"/>
      <c r="AL75" s="28"/>
      <c r="AM75" s="28"/>
      <c r="AN75" s="28"/>
      <c r="AO75" s="28"/>
      <c r="AP75" s="29"/>
    </row>
    <row r="76" spans="1:42" outlineLevel="1" x14ac:dyDescent="0.25">
      <c r="A76" s="12"/>
      <c r="B76" s="13"/>
      <c r="C76" s="96" t="s">
        <v>316</v>
      </c>
      <c r="D76" s="14"/>
      <c r="E76" s="15" t="s">
        <v>569</v>
      </c>
      <c r="F76" s="16"/>
      <c r="G76" s="14"/>
      <c r="H76" s="151"/>
      <c r="I76" s="14">
        <f>IF(I18&gt;0,Data!$E$349*Data!$E$329,0)</f>
        <v>0</v>
      </c>
      <c r="J76" s="14">
        <f>IF(J18&gt;0,Data!$E$349*Data!$E$329,0)</f>
        <v>0</v>
      </c>
      <c r="K76" s="14">
        <f>IF(K18&gt;0,Data!$E$349*Data!$E$329,0)</f>
        <v>0</v>
      </c>
      <c r="L76" s="14">
        <f>IF(L18&gt;0,Data!$E$349*Data!$E$329,0)</f>
        <v>0</v>
      </c>
      <c r="M76" s="14">
        <f>IF(M18&gt;0,Data!$E$349*Data!$E$329,0)</f>
        <v>0</v>
      </c>
      <c r="N76" s="14">
        <f>IF(N18&gt;0,Data!$E$349*Data!$E$329,0)</f>
        <v>0</v>
      </c>
      <c r="O76" s="14">
        <f>IF(O18&gt;0,Data!$E$349*Data!$E$329,0)</f>
        <v>0</v>
      </c>
      <c r="P76" s="14">
        <f>IF(P18&gt;0,Data!$E$349*Data!$E$329,0)</f>
        <v>0</v>
      </c>
      <c r="Q76" s="14">
        <f>IF(Q18&gt;0,Data!$E$349*Data!$E$329,0)</f>
        <v>0</v>
      </c>
      <c r="R76" s="14">
        <f>IF(R18&gt;0,Data!$E$349*Data!$E$329,0)</f>
        <v>0</v>
      </c>
      <c r="S76" s="14">
        <f>IF(S18&gt;0,Data!$E$349*Data!$E$329,0)</f>
        <v>0</v>
      </c>
      <c r="T76" s="14">
        <f>IF(T18&gt;0,Data!$E$349*Data!$E$329,0)</f>
        <v>0</v>
      </c>
      <c r="U76" s="14">
        <f>IF(U18&gt;0,Data!$E$349*Data!$E$329,0)</f>
        <v>0</v>
      </c>
      <c r="V76" s="14">
        <f>IF(V18&gt;0,Data!$E$349*Data!$E$329,0)</f>
        <v>0</v>
      </c>
      <c r="W76" s="14">
        <f>IF(W18&gt;0,Data!$E$349*Data!$E$329,0)</f>
        <v>0</v>
      </c>
      <c r="X76" s="14">
        <f>IF(X18&gt;0,Data!$E$349*Data!$E$329,0)</f>
        <v>0</v>
      </c>
      <c r="Y76" s="14">
        <f>IF(Y18&gt;0,Data!$E$349*Data!$E$329,0)</f>
        <v>0</v>
      </c>
      <c r="Z76" s="14">
        <f>IF(Z18&gt;0,Data!$E$349*Data!$E$329,0)</f>
        <v>0</v>
      </c>
      <c r="AA76" s="14">
        <f>IF(AA18&gt;0,Data!$E$349*Data!$E$329,0)</f>
        <v>0</v>
      </c>
      <c r="AB76" s="14">
        <f>IF(AB18&gt;0,Data!$E$349*Data!$E$329,0)</f>
        <v>0</v>
      </c>
      <c r="AC76" s="14">
        <f>IF(AC18&gt;0,Data!$E$349*Data!$E$329,0)</f>
        <v>0</v>
      </c>
      <c r="AD76" s="14">
        <f>IF(AD18&gt;0,Data!$E$349*Data!$E$329,0)</f>
        <v>0</v>
      </c>
      <c r="AE76" s="14">
        <f>IF(AE18&gt;0,Data!$E$349*Data!$E$329,0)</f>
        <v>0</v>
      </c>
      <c r="AF76" s="14">
        <f>IF(AF18&gt;0,Data!$E$349*Data!$E$329,0)</f>
        <v>0</v>
      </c>
      <c r="AG76" s="14">
        <f>IF(AG18&gt;0,Data!$E$349*Data!$E$329,0)</f>
        <v>0</v>
      </c>
      <c r="AH76" s="14">
        <f>IF(AH18&gt;0,Data!$E$349*Data!$E$329,0)</f>
        <v>0</v>
      </c>
      <c r="AI76" s="14">
        <f>IF(AI18&gt;0,Data!$E$349*Data!$E$329,0)</f>
        <v>0</v>
      </c>
      <c r="AJ76" s="14">
        <f>IF(AJ18&gt;0,Data!$E$349*Data!$E$329,0)</f>
        <v>0</v>
      </c>
      <c r="AK76" s="14">
        <f>IF(AK18&gt;0,Data!$E$349*Data!$E$329,0)</f>
        <v>0</v>
      </c>
      <c r="AL76" s="14">
        <f>IF(AL18&gt;0,Data!$E$349*Data!$E$329,0)</f>
        <v>0</v>
      </c>
      <c r="AM76" s="14">
        <f>IF(AM18&gt;0,Data!$E$349*Data!$E$329,0)</f>
        <v>0</v>
      </c>
      <c r="AN76" s="14">
        <f>IF(AN18&gt;0,Data!$E$349*Data!$E$329,0)</f>
        <v>0</v>
      </c>
      <c r="AO76" s="14">
        <f>IF(AO18&gt;0,Data!$E$349*Data!$E$329,0)</f>
        <v>0</v>
      </c>
      <c r="AP76" s="17"/>
    </row>
    <row r="77" spans="1:42" outlineLevel="1" x14ac:dyDescent="0.25">
      <c r="A77" s="12"/>
      <c r="B77" s="13"/>
      <c r="C77" s="96" t="s">
        <v>319</v>
      </c>
      <c r="D77" s="44"/>
      <c r="E77" s="15" t="s">
        <v>569</v>
      </c>
      <c r="F77" s="158">
        <f>Dashboard!$I$44</f>
        <v>0</v>
      </c>
      <c r="G77" s="14"/>
      <c r="H77" s="46"/>
      <c r="I77" s="159">
        <f>IF(I18&gt;0,$F$212*Data!$E$330/Dashboard!$I$41,0)</f>
        <v>0</v>
      </c>
      <c r="J77" s="159">
        <f>IF(J18&gt;0,$F$212*Data!$E$330/Dashboard!$I$41,0)</f>
        <v>0</v>
      </c>
      <c r="K77" s="159">
        <f>IF(K18&gt;0,$F$212*Data!$E$330/Dashboard!$I$41,0)</f>
        <v>0</v>
      </c>
      <c r="L77" s="159">
        <f>IF(L18&gt;0,$F$212*Data!$E$330/Dashboard!$I$41,0)</f>
        <v>0</v>
      </c>
      <c r="M77" s="159">
        <f>IF(M18&gt;0,$F$212*Data!$E$330/Dashboard!$I$41,0)</f>
        <v>0</v>
      </c>
      <c r="N77" s="159">
        <f>IF(N18&gt;0,$F$212*Data!$E$330/Dashboard!$I$41,0)</f>
        <v>0</v>
      </c>
      <c r="O77" s="159">
        <f>IF(O18&gt;0,$F$212*Data!$E$330/Dashboard!$I$41,0)</f>
        <v>0</v>
      </c>
      <c r="P77" s="159">
        <f>IF(P18&gt;0,$F$212*Data!$E$330/Dashboard!$I$41,0)</f>
        <v>0</v>
      </c>
      <c r="Q77" s="159">
        <f>IF(Q18&gt;0,$F$212*Data!$E$330/Dashboard!$I$41,0)</f>
        <v>0</v>
      </c>
      <c r="R77" s="159">
        <f>IF(R18&gt;0,$F$212*Data!$E$330/Dashboard!$I$41,0)</f>
        <v>0</v>
      </c>
      <c r="S77" s="159">
        <f>IF(S18&gt;0,$F$212*Data!$E$330/Dashboard!$I$41,0)</f>
        <v>0</v>
      </c>
      <c r="T77" s="159">
        <f>IF(T18&gt;0,$F$212*Data!$E$330/Dashboard!$I$41,0)</f>
        <v>0</v>
      </c>
      <c r="U77" s="159">
        <f>IF(U18&gt;0,$F$212*Data!$E$330/Dashboard!$I$41,0)</f>
        <v>0</v>
      </c>
      <c r="V77" s="159">
        <f>IF(V18&gt;0,$F$212*Data!$E$330/Dashboard!$I$41,0)</f>
        <v>0</v>
      </c>
      <c r="W77" s="159">
        <f>IF(W18&gt;0,$F$212*Data!$E$330/Dashboard!$I$41,0)</f>
        <v>0</v>
      </c>
      <c r="X77" s="159">
        <f>IF(X18&gt;0,$F$212*Data!$E$330/Dashboard!$I$41,0)</f>
        <v>0</v>
      </c>
      <c r="Y77" s="159">
        <f>IF(Y18&gt;0,$F$212*Data!$E$330/Dashboard!$I$41,0)</f>
        <v>0</v>
      </c>
      <c r="Z77" s="159">
        <f>IF(Z18&gt;0,$F$212*Data!$E$330/Dashboard!$I$41,0)</f>
        <v>0</v>
      </c>
      <c r="AA77" s="159">
        <f>IF(AA18&gt;0,$F$212*Data!$E$330/Dashboard!$I$41,0)</f>
        <v>0</v>
      </c>
      <c r="AB77" s="159">
        <f>IF(AB18&gt;0,$F$212*Data!$E$330/Dashboard!$I$41,0)</f>
        <v>0</v>
      </c>
      <c r="AC77" s="159">
        <f>IF(AC18&gt;0,$F$212*Data!$E$330/Dashboard!$I$41,0)</f>
        <v>0</v>
      </c>
      <c r="AD77" s="159">
        <f>IF(AD18&gt;0,$F$212*Data!$E$330/Dashboard!$I$41,0)</f>
        <v>0</v>
      </c>
      <c r="AE77" s="159">
        <f>IF(AE18&gt;0,$F$212*Data!$E$330/Dashboard!$I$41,0)</f>
        <v>0</v>
      </c>
      <c r="AF77" s="159">
        <f>IF(AF18&gt;0,$F$212*Data!$E$330/Dashboard!$I$41,0)</f>
        <v>0</v>
      </c>
      <c r="AG77" s="159">
        <f>IF(AG18&gt;0,$F$212*Data!$E$330/Dashboard!$I$41,0)</f>
        <v>0</v>
      </c>
      <c r="AH77" s="159">
        <f>IF(AH18&gt;0,$F$212*Data!$E$330/Dashboard!$I$41,0)</f>
        <v>0</v>
      </c>
      <c r="AI77" s="159">
        <f>IF(AI18&gt;0,$F$212*Data!$E$330/Dashboard!$I$41,0)</f>
        <v>0</v>
      </c>
      <c r="AJ77" s="159">
        <f>IF(AJ18&gt;0,$F$212*Data!$E$330/Dashboard!$I$41,0)</f>
        <v>0</v>
      </c>
      <c r="AK77" s="159">
        <f>IF(AK18&gt;0,$F$212*Data!$E$330/Dashboard!$I$41,0)</f>
        <v>0</v>
      </c>
      <c r="AL77" s="159">
        <f>IF(AL18&gt;0,$F$212*Data!$E$330/Dashboard!$I$41,0)</f>
        <v>0</v>
      </c>
      <c r="AM77" s="159">
        <f>IF(AM18&gt;0,$F$212*Data!$E$330/Dashboard!$I$41,0)</f>
        <v>0</v>
      </c>
      <c r="AN77" s="159">
        <f>IF(AN18&gt;0,$F$212*Data!$E$330/Dashboard!$I$41,0)</f>
        <v>0</v>
      </c>
      <c r="AO77" s="159">
        <f>IF(AO18&gt;0,$F$212*Data!$E$330/Dashboard!$I$41,0)</f>
        <v>0</v>
      </c>
      <c r="AP77" s="17"/>
    </row>
    <row r="78" spans="1:42" outlineLevel="1" x14ac:dyDescent="0.25">
      <c r="A78" s="12"/>
      <c r="B78" s="13"/>
      <c r="C78" s="95" t="s">
        <v>570</v>
      </c>
      <c r="D78" s="45"/>
      <c r="E78" s="15"/>
      <c r="F78" s="16"/>
      <c r="G78" s="14"/>
      <c r="H78" s="28"/>
      <c r="I78" s="56"/>
      <c r="J78" s="56"/>
      <c r="K78" s="56"/>
      <c r="L78" s="56"/>
      <c r="M78" s="56"/>
      <c r="N78" s="56"/>
      <c r="O78" s="56"/>
      <c r="P78" s="56"/>
      <c r="Q78" s="56"/>
      <c r="R78" s="56"/>
      <c r="S78" s="56"/>
      <c r="T78" s="56"/>
      <c r="U78" s="56"/>
      <c r="V78" s="56"/>
      <c r="W78" s="56"/>
      <c r="X78" s="56"/>
      <c r="Y78" s="56"/>
      <c r="Z78" s="56"/>
      <c r="AA78" s="56"/>
      <c r="AB78" s="56"/>
      <c r="AC78" s="28"/>
      <c r="AD78" s="28"/>
      <c r="AE78" s="28"/>
      <c r="AF78" s="28"/>
      <c r="AG78" s="28"/>
      <c r="AH78" s="28"/>
      <c r="AI78" s="28"/>
      <c r="AJ78" s="28"/>
      <c r="AK78" s="28"/>
      <c r="AL78" s="28"/>
      <c r="AM78" s="28"/>
      <c r="AN78" s="28"/>
      <c r="AO78" s="28"/>
      <c r="AP78" s="29"/>
    </row>
    <row r="79" spans="1:42" outlineLevel="1" x14ac:dyDescent="0.25">
      <c r="A79" s="12"/>
      <c r="B79" s="13"/>
      <c r="C79" s="96" t="s">
        <v>127</v>
      </c>
      <c r="D79" s="45"/>
      <c r="E79" s="15" t="s">
        <v>475</v>
      </c>
      <c r="F79" s="158" t="str">
        <f>Dashboard!$I$42</f>
        <v>Flat (Gradient  0%)</v>
      </c>
      <c r="G79" s="14"/>
      <c r="H79" s="28"/>
      <c r="I79" s="178" cm="1">
        <f t="array" ref="I79">INDEX('Control panel'!$F$17:$F$19,MATCH(BEB!$F$79,'Control panel'!$C$17:$C$19,0),0)</f>
        <v>0</v>
      </c>
      <c r="J79" s="178" cm="1">
        <f t="array" ref="J79">INDEX('Control panel'!$F$17:$F$19,MATCH(BEB!$F$79,'Control panel'!$C$17:$C$19,0),0)</f>
        <v>0</v>
      </c>
      <c r="K79" s="178" cm="1">
        <f t="array" ref="K79">INDEX('Control panel'!$F$17:$F$19,MATCH(BEB!$F$79,'Control panel'!$C$17:$C$19,0),0)</f>
        <v>0</v>
      </c>
      <c r="L79" s="178" cm="1">
        <f t="array" ref="L79">INDEX('Control panel'!$F$17:$F$19,MATCH(BEB!$F$79,'Control panel'!$C$17:$C$19,0),0)</f>
        <v>0</v>
      </c>
      <c r="M79" s="178" cm="1">
        <f t="array" ref="M79">INDEX('Control panel'!$F$17:$F$19,MATCH(BEB!$F$79,'Control panel'!$C$17:$C$19,0),0)</f>
        <v>0</v>
      </c>
      <c r="N79" s="178" cm="1">
        <f t="array" ref="N79">INDEX('Control panel'!$F$17:$F$19,MATCH(BEB!$F$79,'Control panel'!$C$17:$C$19,0),0)</f>
        <v>0</v>
      </c>
      <c r="O79" s="178" cm="1">
        <f t="array" ref="O79">INDEX('Control panel'!$F$17:$F$19,MATCH(BEB!$F$79,'Control panel'!$C$17:$C$19,0),0)</f>
        <v>0</v>
      </c>
      <c r="P79" s="178" cm="1">
        <f t="array" ref="P79">INDEX('Control panel'!$F$17:$F$19,MATCH(BEB!$F$79,'Control panel'!$C$17:$C$19,0),0)</f>
        <v>0</v>
      </c>
      <c r="Q79" s="178" cm="1">
        <f t="array" ref="Q79">INDEX('Control panel'!$F$17:$F$19,MATCH(BEB!$F$79,'Control panel'!$C$17:$C$19,0),0)</f>
        <v>0</v>
      </c>
      <c r="R79" s="178" cm="1">
        <f t="array" ref="R79">INDEX('Control panel'!$F$17:$F$19,MATCH(BEB!$F$79,'Control panel'!$C$17:$C$19,0),0)</f>
        <v>0</v>
      </c>
      <c r="S79" s="178" cm="1">
        <f t="array" ref="S79">INDEX('Control panel'!$F$17:$F$19,MATCH(BEB!$F$79,'Control panel'!$C$17:$C$19,0),0)</f>
        <v>0</v>
      </c>
      <c r="T79" s="178" cm="1">
        <f t="array" ref="T79">INDEX('Control panel'!$F$17:$F$19,MATCH(BEB!$F$79,'Control panel'!$C$17:$C$19,0),0)</f>
        <v>0</v>
      </c>
      <c r="U79" s="178" cm="1">
        <f t="array" ref="U79">INDEX('Control panel'!$F$17:$F$19,MATCH(BEB!$F$79,'Control panel'!$C$17:$C$19,0),0)</f>
        <v>0</v>
      </c>
      <c r="V79" s="178" cm="1">
        <f t="array" ref="V79">INDEX('Control panel'!$F$17:$F$19,MATCH(BEB!$F$79,'Control panel'!$C$17:$C$19,0),0)</f>
        <v>0</v>
      </c>
      <c r="W79" s="178" cm="1">
        <f t="array" ref="W79">INDEX('Control panel'!$F$17:$F$19,MATCH(BEB!$F$79,'Control panel'!$C$17:$C$19,0),0)</f>
        <v>0</v>
      </c>
      <c r="X79" s="178" cm="1">
        <f t="array" ref="X79">INDEX('Control panel'!$F$17:$F$19,MATCH(BEB!$F$79,'Control panel'!$C$17:$C$19,0),0)</f>
        <v>0</v>
      </c>
      <c r="Y79" s="178" cm="1">
        <f t="array" ref="Y79">INDEX('Control panel'!$F$17:$F$19,MATCH(BEB!$F$79,'Control panel'!$C$17:$C$19,0),0)</f>
        <v>0</v>
      </c>
      <c r="Z79" s="178" cm="1">
        <f t="array" ref="Z79">INDEX('Control panel'!$F$17:$F$19,MATCH(BEB!$F$79,'Control panel'!$C$17:$C$19,0),0)</f>
        <v>0</v>
      </c>
      <c r="AA79" s="178" cm="1">
        <f t="array" ref="AA79">INDEX('Control panel'!$F$17:$F$19,MATCH(BEB!$F$79,'Control panel'!$C$17:$C$19,0),0)</f>
        <v>0</v>
      </c>
      <c r="AB79" s="178" cm="1">
        <f t="array" ref="AB79">INDEX('Control panel'!$F$17:$F$19,MATCH(BEB!$F$79,'Control panel'!$C$17:$C$19,0),0)</f>
        <v>0</v>
      </c>
      <c r="AC79" s="178" cm="1">
        <f t="array" ref="AC79">INDEX('Control panel'!$F$17:$F$19,MATCH(BEB!$F$79,'Control panel'!$C$17:$C$19,0),0)</f>
        <v>0</v>
      </c>
      <c r="AD79" s="178" cm="1">
        <f t="array" ref="AD79">INDEX('Control panel'!$F$17:$F$19,MATCH(BEB!$F$79,'Control panel'!$C$17:$C$19,0),0)</f>
        <v>0</v>
      </c>
      <c r="AE79" s="178" cm="1">
        <f t="array" ref="AE79">INDEX('Control panel'!$F$17:$F$19,MATCH(BEB!$F$79,'Control panel'!$C$17:$C$19,0),0)</f>
        <v>0</v>
      </c>
      <c r="AF79" s="178" cm="1">
        <f t="array" ref="AF79">INDEX('Control panel'!$F$17:$F$19,MATCH(BEB!$F$79,'Control panel'!$C$17:$C$19,0),0)</f>
        <v>0</v>
      </c>
      <c r="AG79" s="178" cm="1">
        <f t="array" ref="AG79">INDEX('Control panel'!$F$17:$F$19,MATCH(BEB!$F$79,'Control panel'!$C$17:$C$19,0),0)</f>
        <v>0</v>
      </c>
      <c r="AH79" s="178" cm="1">
        <f t="array" ref="AH79">INDEX('Control panel'!$F$17:$F$19,MATCH(BEB!$F$79,'Control panel'!$C$17:$C$19,0),0)</f>
        <v>0</v>
      </c>
      <c r="AI79" s="178" cm="1">
        <f t="array" ref="AI79">INDEX('Control panel'!$F$17:$F$19,MATCH(BEB!$F$79,'Control panel'!$C$17:$C$19,0),0)</f>
        <v>0</v>
      </c>
      <c r="AJ79" s="178" cm="1">
        <f t="array" ref="AJ79">INDEX('Control panel'!$F$17:$F$19,MATCH(BEB!$F$79,'Control panel'!$C$17:$C$19,0),0)</f>
        <v>0</v>
      </c>
      <c r="AK79" s="178" cm="1">
        <f t="array" ref="AK79">INDEX('Control panel'!$F$17:$F$19,MATCH(BEB!$F$79,'Control panel'!$C$17:$C$19,0),0)</f>
        <v>0</v>
      </c>
      <c r="AL79" s="178" cm="1">
        <f t="array" ref="AL79">INDEX('Control panel'!$F$17:$F$19,MATCH(BEB!$F$79,'Control panel'!$C$17:$C$19,0),0)</f>
        <v>0</v>
      </c>
      <c r="AM79" s="178" cm="1">
        <f t="array" ref="AM79">INDEX('Control panel'!$F$17:$F$19,MATCH(BEB!$F$79,'Control panel'!$C$17:$C$19,0),0)</f>
        <v>0</v>
      </c>
      <c r="AN79" s="178" cm="1">
        <f t="array" ref="AN79">INDEX('Control panel'!$F$17:$F$19,MATCH(BEB!$F$79,'Control panel'!$C$17:$C$19,0),0)</f>
        <v>0</v>
      </c>
      <c r="AO79" s="178" cm="1">
        <f t="array" ref="AO79">INDEX('Control panel'!$F$17:$F$19,MATCH(BEB!$F$79,'Control panel'!$C$17:$C$19,0),0)</f>
        <v>0</v>
      </c>
      <c r="AP79" s="29"/>
    </row>
    <row r="80" spans="1:42" ht="15.75" customHeight="1" outlineLevel="1" x14ac:dyDescent="0.25">
      <c r="A80" s="12"/>
      <c r="B80" s="13"/>
      <c r="C80" s="96" t="s">
        <v>120</v>
      </c>
      <c r="D80" s="45"/>
      <c r="E80" s="15"/>
      <c r="F80" s="158" t="str">
        <f>Dashboard!$I$43</f>
        <v>2 Axle rigid</v>
      </c>
      <c r="G80" s="14"/>
      <c r="H80" s="28"/>
      <c r="I80" s="56">
        <f>IF($C$80=$F$80,I18*Data!$E$340*Data!H$76,0)*(1+I79)*(1+Data!$E$91)</f>
        <v>0</v>
      </c>
      <c r="J80" s="56">
        <f>IF($C$80=$F$80,J18*Data!$E$340*Data!I$76,0)*(1+J79)*(1+Data!$E$91)</f>
        <v>0</v>
      </c>
      <c r="K80" s="56">
        <f>IF($C$80=$F$80,K18*Data!$E$340*Data!J$76,0)*(1+K79)*(1+Data!$E$91)</f>
        <v>0</v>
      </c>
      <c r="L80" s="56">
        <f>IF($C$80=$F$80,L18*Data!$E$340*Data!K$76,0)*(1+L79)*(1+Data!$E$91)</f>
        <v>0</v>
      </c>
      <c r="M80" s="56">
        <f>IF($C$80=$F$80,M18*Data!$E$340*Data!L$76,0)*(1+M79)*(1+Data!$E$91)</f>
        <v>0</v>
      </c>
      <c r="N80" s="56">
        <f>IF($C$80=$F$80,N18*Data!$E$340*Data!M$76,0)*(1+N79)*(1+Data!$E$91)</f>
        <v>0</v>
      </c>
      <c r="O80" s="56">
        <f>IF($C$80=$F$80,O18*Data!$E$340*Data!N$76,0)*(1+O79)*(1+Data!$E$91)</f>
        <v>0</v>
      </c>
      <c r="P80" s="56">
        <f>IF($C$80=$F$80,P18*Data!$E$340*Data!O$76,0)*(1+P79)*(1+Data!$E$91)</f>
        <v>0</v>
      </c>
      <c r="Q80" s="56">
        <f>IF($C$80=$F$80,Q18*Data!$E$340*Data!P$76,0)*(1+Q79)*(1+Data!$E$91)</f>
        <v>0</v>
      </c>
      <c r="R80" s="56">
        <f>IF($C$80=$F$80,R18*Data!$E$340*Data!Q$76,0)*(1+R79)*(1+Data!$E$91)</f>
        <v>0</v>
      </c>
      <c r="S80" s="56">
        <f>IF($C$80=$F$80,S18*Data!$E$340*Data!R$76,0)*(1+S79)*(1+Data!$E$91)</f>
        <v>0</v>
      </c>
      <c r="T80" s="56">
        <f>IF($C$80=$F$80,T18*Data!$E$340*Data!S$76,0)*(1+T79)*(1+Data!$E$91)</f>
        <v>0</v>
      </c>
      <c r="U80" s="56">
        <f>IF($C$80=$F$80,U18*Data!$E$340*Data!T$76,0)*(1+U79)*(1+Data!$E$91)</f>
        <v>15418.566000973269</v>
      </c>
      <c r="V80" s="56">
        <f>IF($C$80=$F$80,V18*Data!$E$340*Data!U$76,0)*(1+V79)*(1+Data!$E$91)</f>
        <v>15380.335523051655</v>
      </c>
      <c r="W80" s="56">
        <f>IF($C$80=$F$80,W18*Data!$E$340*Data!V$76,0)*(1+W79)*(1+Data!$E$91)</f>
        <v>15340.45886248249</v>
      </c>
      <c r="X80" s="56">
        <f>IF($C$80=$F$80,X18*Data!$E$340*Data!W$76,0)*(1+X79)*(1+Data!$E$91)</f>
        <v>15301.832287334373</v>
      </c>
      <c r="Y80" s="56">
        <f>IF($C$80=$F$80,Y18*Data!$E$340*Data!X$76,0)*(1+Y79)*(1+Data!$E$91)</f>
        <v>15265.677145490894</v>
      </c>
      <c r="Z80" s="56">
        <f>IF($C$80=$F$80,Z18*Data!$E$340*Data!Y$76,0)*(1+Z79)*(1+Data!$E$91)</f>
        <v>15231.991236689862</v>
      </c>
      <c r="AA80" s="56">
        <f>IF($C$80=$F$80,AA18*Data!$E$340*Data!Z$76,0)*(1+AA79)*(1+Data!$E$91)</f>
        <v>15200.325777400836</v>
      </c>
      <c r="AB80" s="56">
        <f>IF($C$80=$F$80,AB18*Data!$E$340*Data!AA$76,0)*(1+AB79)*(1+Data!$E$91)</f>
        <v>15170.240495597198</v>
      </c>
      <c r="AC80" s="56">
        <f>IF($C$80=$F$80,AC18*Data!$E$340*Data!AB$76,0)*(1+AC79)*(1+Data!$E$91)</f>
        <v>15139.421494710981</v>
      </c>
      <c r="AD80" s="56">
        <f>IF($C$80=$F$80,AD18*Data!$E$340*Data!AC$76,0)*(1+AD79)*(1+Data!$E$91)</f>
        <v>15110.57141319471</v>
      </c>
      <c r="AE80" s="56">
        <f>IF($C$80=$F$80,AE18*Data!$E$340*Data!AD$76,0)*(1+AE79)*(1+Data!$E$91)</f>
        <v>15081.92444850116</v>
      </c>
      <c r="AF80" s="56">
        <f>IF($C$80=$F$80,AF18*Data!$E$340*Data!AE$76,0)*(1+AF79)*(1+Data!$E$91)</f>
        <v>15052.144863271402</v>
      </c>
      <c r="AG80" s="56">
        <f>IF($C$80=$F$80,AG18*Data!$E$340*Data!AF$76,0)*(1+AG79)*(1+Data!$E$91)</f>
        <v>15037.72147929832</v>
      </c>
      <c r="AH80" s="56">
        <f>IF($C$80=$F$80,AH18*Data!$E$340*Data!AG$76,0)*(1+AH79)*(1+Data!$E$91)</f>
        <v>15022.469068965016</v>
      </c>
      <c r="AI80" s="56">
        <f>IF($C$80=$F$80,AI18*Data!$E$340*Data!AH$76,0)*(1+AI79)*(1+Data!$E$91)</f>
        <v>15004.527437185077</v>
      </c>
      <c r="AJ80" s="56">
        <f>IF($C$80=$F$80,AJ18*Data!$E$340*Data!AI$76,0)*(1+AJ79)*(1+Data!$E$91)</f>
        <v>14984.919469318562</v>
      </c>
      <c r="AK80" s="56">
        <f>IF($C$80=$F$80,AK18*Data!$E$340*Data!AJ$76,0)*(1+AK79)*(1+Data!$E$91)</f>
        <v>14984.919469318562</v>
      </c>
      <c r="AL80" s="56">
        <f>IF($C$80=$F$80,AL18*Data!$E$340*Data!AK$76,0)*(1+AL79)*(1+Data!$E$91)</f>
        <v>14984.919469318562</v>
      </c>
      <c r="AM80" s="56">
        <f>IF($C$80=$F$80,AM18*Data!$E$340*Data!AL$76,0)*(1+AM79)*(1+Data!$E$91)</f>
        <v>14984.919469318562</v>
      </c>
      <c r="AN80" s="56">
        <f>IF($C$80=$F$80,AN18*Data!$E$340*Data!AM$76,0)*(1+AN79)*(1+Data!$E$91)</f>
        <v>14984.919469318562</v>
      </c>
      <c r="AO80" s="56">
        <f>IF($C$80=$F$80,AO18*Data!$E$340*Data!AN$76,0)*(1+AO79)*(1+Data!$E$91)</f>
        <v>0</v>
      </c>
      <c r="AP80" s="29"/>
    </row>
    <row r="81" spans="1:42" outlineLevel="1" x14ac:dyDescent="0.25">
      <c r="A81" s="12"/>
      <c r="B81" s="13"/>
      <c r="C81" s="96" t="s">
        <v>124</v>
      </c>
      <c r="D81" s="45"/>
      <c r="E81" s="15"/>
      <c r="F81" s="158" t="str">
        <f>Dashboard!$I$43</f>
        <v>2 Axle rigid</v>
      </c>
      <c r="G81" s="14"/>
      <c r="H81" s="28"/>
      <c r="I81" s="56">
        <f>IF($C$81=$F$81,I18*Data!$E$341*Data!H$76,0)*(1+I79)*(1+Data!$E$91)</f>
        <v>0</v>
      </c>
      <c r="J81" s="56">
        <f>IF($C$81=$F$81,J18*Data!$E$341*Data!I$76,0)*(1+J79)*(1+Data!$E$91)</f>
        <v>0</v>
      </c>
      <c r="K81" s="56">
        <f>IF($C$81=$F$81,K18*Data!$E$341*Data!J$76,0)*(1+K79)*(1+Data!$E$91)</f>
        <v>0</v>
      </c>
      <c r="L81" s="56">
        <f>IF($C$81=$F$81,L18*Data!$E$341*Data!K$76,0)*(1+L79)*(1+Data!$E$91)</f>
        <v>0</v>
      </c>
      <c r="M81" s="56">
        <f>IF($C$81=$F$81,M18*Data!$E$341*Data!L$76,0)*(1+M79)*(1+Data!$E$91)</f>
        <v>0</v>
      </c>
      <c r="N81" s="56">
        <f>IF($C$81=$F$81,N18*Data!$E$341*Data!M$76,0)*(1+N79)*(1+Data!$E$91)</f>
        <v>0</v>
      </c>
      <c r="O81" s="56">
        <f>IF($C$81=$F$81,O18*Data!$E$341*Data!N$76,0)*(1+O79)*(1+Data!$E$91)</f>
        <v>0</v>
      </c>
      <c r="P81" s="56">
        <f>IF($C$81=$F$81,P18*Data!$E$341*Data!O$76,0)*(1+P79)*(1+Data!$E$91)</f>
        <v>0</v>
      </c>
      <c r="Q81" s="56">
        <f>IF($C$81=$F$81,Q18*Data!$E$341*Data!P$76,0)*(1+Q79)*(1+Data!$E$91)</f>
        <v>0</v>
      </c>
      <c r="R81" s="56">
        <f>IF($C$81=$F$81,R18*Data!$E$341*Data!Q$76,0)*(1+R79)*(1+Data!$E$91)</f>
        <v>0</v>
      </c>
      <c r="S81" s="56">
        <f>IF($C$81=$F$81,S18*Data!$E$341*Data!R$76,0)*(1+S79)*(1+Data!$E$91)</f>
        <v>0</v>
      </c>
      <c r="T81" s="56">
        <f>IF($C$81=$F$81,T18*Data!$E$341*Data!S$76,0)*(1+T79)*(1+Data!$E$91)</f>
        <v>0</v>
      </c>
      <c r="U81" s="56">
        <f>IF($C$81=$F$81,U18*Data!$E$341*Data!T$76,0)*(1+U79)*(1+Data!$E$91)</f>
        <v>0</v>
      </c>
      <c r="V81" s="56">
        <f>IF($C$81=$F$81,V18*Data!$E$341*Data!U$76,0)*(1+V79)*(1+Data!$E$91)</f>
        <v>0</v>
      </c>
      <c r="W81" s="56">
        <f>IF($C$81=$F$81,W18*Data!$E$341*Data!V$76,0)*(1+W79)*(1+Data!$E$91)</f>
        <v>0</v>
      </c>
      <c r="X81" s="56">
        <f>IF($C$81=$F$81,X18*Data!$E$341*Data!W$76,0)*(1+X79)*(1+Data!$E$91)</f>
        <v>0</v>
      </c>
      <c r="Y81" s="56">
        <f>IF($C$81=$F$81,Y18*Data!$E$341*Data!X$76,0)*(1+Y79)*(1+Data!$E$91)</f>
        <v>0</v>
      </c>
      <c r="Z81" s="56">
        <f>IF($C$81=$F$81,Z18*Data!$E$341*Data!Y$76,0)*(1+Z79)*(1+Data!$E$91)</f>
        <v>0</v>
      </c>
      <c r="AA81" s="56">
        <f>IF($C$81=$F$81,AA18*Data!$E$341*Data!Z$76,0)*(1+AA79)*(1+Data!$E$91)</f>
        <v>0</v>
      </c>
      <c r="AB81" s="56">
        <f>IF($C$81=$F$81,AB18*Data!$E$341*Data!AA$76,0)*(1+AB79)*(1+Data!$E$91)</f>
        <v>0</v>
      </c>
      <c r="AC81" s="56">
        <f>IF($C$81=$F$81,AC18*Data!$E$341*Data!AB$76,0)*(1+AC79)*(1+Data!$E$91)</f>
        <v>0</v>
      </c>
      <c r="AD81" s="56">
        <f>IF($C$81=$F$81,AD18*Data!$E$341*Data!AC$76,0)*(1+AD79)*(1+Data!$E$91)</f>
        <v>0</v>
      </c>
      <c r="AE81" s="56">
        <f>IF($C$81=$F$81,AE18*Data!$E$341*Data!AD$76,0)*(1+AE79)*(1+Data!$E$91)</f>
        <v>0</v>
      </c>
      <c r="AF81" s="56">
        <f>IF($C$81=$F$81,AF18*Data!$E$341*Data!AE$76,0)*(1+AF79)*(1+Data!$E$91)</f>
        <v>0</v>
      </c>
      <c r="AG81" s="56">
        <f>IF($C$81=$F$81,AG18*Data!$E$341*Data!AF$76,0)*(1+AG79)*(1+Data!$E$91)</f>
        <v>0</v>
      </c>
      <c r="AH81" s="56">
        <f>IF($C$81=$F$81,AH18*Data!$E$341*Data!AG$76,0)*(1+AH79)*(1+Data!$E$91)</f>
        <v>0</v>
      </c>
      <c r="AI81" s="56">
        <f>IF($C$81=$F$81,AI18*Data!$E$341*Data!AH$76,0)*(1+AI79)*(1+Data!$E$91)</f>
        <v>0</v>
      </c>
      <c r="AJ81" s="56">
        <f>IF($C$81=$F$81,AJ18*Data!$E$341*Data!AI$76,0)*(1+AJ79)*(1+Data!$E$91)</f>
        <v>0</v>
      </c>
      <c r="AK81" s="56">
        <f>IF($C$81=$F$81,AK18*Data!$E$341*Data!AJ$76,0)*(1+AK79)*(1+Data!$E$91)</f>
        <v>0</v>
      </c>
      <c r="AL81" s="56">
        <f>IF($C$81=$F$81,AL18*Data!$E$341*Data!AK$76,0)*(1+AL79)*(1+Data!$E$91)</f>
        <v>0</v>
      </c>
      <c r="AM81" s="56">
        <f>IF($C$81=$F$81,AM18*Data!$E$341*Data!AL$76,0)*(1+AM79)*(1+Data!$E$91)</f>
        <v>0</v>
      </c>
      <c r="AN81" s="56">
        <f>IF($C$81=$F$81,AN18*Data!$E$341*Data!AM$76,0)*(1+AN79)*(1+Data!$E$91)</f>
        <v>0</v>
      </c>
      <c r="AO81" s="56">
        <f>IF($C$81=$F$81,AO18*Data!$E$341*Data!AN$76,0)*(1+AO79)*(1+Data!$E$91)</f>
        <v>0</v>
      </c>
      <c r="AP81" s="29"/>
    </row>
    <row r="82" spans="1:42" outlineLevel="1" x14ac:dyDescent="0.25">
      <c r="A82" s="12"/>
      <c r="B82" s="13"/>
      <c r="C82" s="96" t="s">
        <v>126</v>
      </c>
      <c r="D82" s="45"/>
      <c r="E82" s="15"/>
      <c r="F82" s="158" t="str">
        <f>Dashboard!$I$43</f>
        <v>2 Axle rigid</v>
      </c>
      <c r="G82" s="14"/>
      <c r="H82" s="28"/>
      <c r="I82" s="56">
        <f>IF($C$82=$F$82,I18*Data!$E$342*Data!H$76,0)*(1+I79)*(1+Data!$E$91)</f>
        <v>0</v>
      </c>
      <c r="J82" s="56">
        <f>IF($C$82=$F$82,J18*Data!$E$342*Data!I$76,0)*(1+J79)*(1+Data!$E$91)</f>
        <v>0</v>
      </c>
      <c r="K82" s="56">
        <f>IF($C$82=$F$82,K18*Data!$E$342*Data!J$76,0)*(1+K79)*(1+Data!$E$91)</f>
        <v>0</v>
      </c>
      <c r="L82" s="56">
        <f>IF($C$82=$F$82,L18*Data!$E$342*Data!K$76,0)*(1+L79)*(1+Data!$E$91)</f>
        <v>0</v>
      </c>
      <c r="M82" s="56">
        <f>IF($C$82=$F$82,M18*Data!$E$342*Data!L$76,0)*(1+M79)*(1+Data!$E$91)</f>
        <v>0</v>
      </c>
      <c r="N82" s="56">
        <f>IF($C$82=$F$82,N18*Data!$E$342*Data!M$76,0)*(1+N79)*(1+Data!$E$91)</f>
        <v>0</v>
      </c>
      <c r="O82" s="56">
        <f>IF($C$82=$F$82,O18*Data!$E$342*Data!N$76,0)*(1+O79)*(1+Data!$E$91)</f>
        <v>0</v>
      </c>
      <c r="P82" s="56">
        <f>IF($C$82=$F$82,P18*Data!$E$342*Data!O$76,0)*(1+P79)*(1+Data!$E$91)</f>
        <v>0</v>
      </c>
      <c r="Q82" s="56">
        <f>IF($C$82=$F$82,Q18*Data!$E$342*Data!P$76,0)*(1+Q79)*(1+Data!$E$91)</f>
        <v>0</v>
      </c>
      <c r="R82" s="56">
        <f>IF($C$82=$F$82,R18*Data!$E$342*Data!Q$76,0)*(1+R79)*(1+Data!$E$91)</f>
        <v>0</v>
      </c>
      <c r="S82" s="56">
        <f>IF($C$82=$F$82,S18*Data!$E$342*Data!R$76,0)*(1+S79)*(1+Data!$E$91)</f>
        <v>0</v>
      </c>
      <c r="T82" s="56">
        <f>IF($C$82=$F$82,T18*Data!$E$342*Data!S$76,0)*(1+T79)*(1+Data!$E$91)</f>
        <v>0</v>
      </c>
      <c r="U82" s="56">
        <f>IF($C$82=$F$82,U18*Data!$E$342*Data!T$76,0)*(1+U79)*(1+Data!$E$91)</f>
        <v>0</v>
      </c>
      <c r="V82" s="56">
        <f>IF($C$82=$F$82,V18*Data!$E$342*Data!U$76,0)*(1+V79)*(1+Data!$E$91)</f>
        <v>0</v>
      </c>
      <c r="W82" s="56">
        <f>IF($C$82=$F$82,W18*Data!$E$342*Data!V$76,0)*(1+W79)*(1+Data!$E$91)</f>
        <v>0</v>
      </c>
      <c r="X82" s="56">
        <f>IF($C$82=$F$82,X18*Data!$E$342*Data!W$76,0)*(1+X79)*(1+Data!$E$91)</f>
        <v>0</v>
      </c>
      <c r="Y82" s="56">
        <f>IF($C$82=$F$82,Y18*Data!$E$342*Data!X$76,0)*(1+Y79)*(1+Data!$E$91)</f>
        <v>0</v>
      </c>
      <c r="Z82" s="56">
        <f>IF($C$82=$F$82,Z18*Data!$E$342*Data!Y$76,0)*(1+Z79)*(1+Data!$E$91)</f>
        <v>0</v>
      </c>
      <c r="AA82" s="56">
        <f>IF($C$82=$F$82,AA18*Data!$E$342*Data!Z$76,0)*(1+AA79)*(1+Data!$E$91)</f>
        <v>0</v>
      </c>
      <c r="AB82" s="56">
        <f>IF($C$82=$F$82,AB18*Data!$E$342*Data!AA$76,0)*(1+AB79)*(1+Data!$E$91)</f>
        <v>0</v>
      </c>
      <c r="AC82" s="56">
        <f>IF($C$82=$F$82,AC18*Data!$E$342*Data!AB$76,0)*(1+AC79)*(1+Data!$E$91)</f>
        <v>0</v>
      </c>
      <c r="AD82" s="56">
        <f>IF($C$82=$F$82,AD18*Data!$E$342*Data!AC$76,0)*(1+AD79)*(1+Data!$E$91)</f>
        <v>0</v>
      </c>
      <c r="AE82" s="56">
        <f>IF($C$82=$F$82,AE18*Data!$E$342*Data!AD$76,0)*(1+AE79)*(1+Data!$E$91)</f>
        <v>0</v>
      </c>
      <c r="AF82" s="56">
        <f>IF($C$82=$F$82,AF18*Data!$E$342*Data!AE$76,0)*(1+AF79)*(1+Data!$E$91)</f>
        <v>0</v>
      </c>
      <c r="AG82" s="56">
        <f>IF($C$82=$F$82,AG18*Data!$E$342*Data!AF$76,0)*(1+AG79)*(1+Data!$E$91)</f>
        <v>0</v>
      </c>
      <c r="AH82" s="56">
        <f>IF($C$82=$F$82,AH18*Data!$E$342*Data!AG$76,0)*(1+AH79)*(1+Data!$E$91)</f>
        <v>0</v>
      </c>
      <c r="AI82" s="56">
        <f>IF($C$82=$F$82,AI18*Data!$E$342*Data!AH$76,0)*(1+AI79)*(1+Data!$E$91)</f>
        <v>0</v>
      </c>
      <c r="AJ82" s="56">
        <f>IF($C$82=$F$82,AJ18*Data!$E$342*Data!AI$76,0)*(1+AJ79)*(1+Data!$E$91)</f>
        <v>0</v>
      </c>
      <c r="AK82" s="56">
        <f>IF($C$82=$F$82,AK18*Data!$E$342*Data!AJ$76,0)*(1+AK79)*(1+Data!$E$91)</f>
        <v>0</v>
      </c>
      <c r="AL82" s="56">
        <f>IF($C$82=$F$82,AL18*Data!$E$342*Data!AK$76,0)*(1+AL79)*(1+Data!$E$91)</f>
        <v>0</v>
      </c>
      <c r="AM82" s="56">
        <f>IF($C$82=$F$82,AM18*Data!$E$342*Data!AL$76,0)*(1+AM79)*(1+Data!$E$91)</f>
        <v>0</v>
      </c>
      <c r="AN82" s="56">
        <f>IF($C$82=$F$82,AN18*Data!$E$342*Data!AM$76,0)*(1+AN79)*(1+Data!$E$91)</f>
        <v>0</v>
      </c>
      <c r="AO82" s="56">
        <f>IF($C$82=$F$82,AO18*Data!$E$342*Data!AN$76,0)*(1+AO79)*(1+Data!$E$91)</f>
        <v>0</v>
      </c>
      <c r="AP82" s="29"/>
    </row>
    <row r="83" spans="1:42" outlineLevel="1" x14ac:dyDescent="0.25">
      <c r="A83" s="12"/>
      <c r="B83" s="13"/>
      <c r="C83" s="19" t="s">
        <v>571</v>
      </c>
      <c r="D83" s="45"/>
      <c r="E83" s="15"/>
      <c r="F83" s="158"/>
      <c r="G83" s="14"/>
      <c r="H83" s="28"/>
      <c r="I83" s="182">
        <f>SUM(I69:I71)+I73+I76+I77+SUM(I80:I82)</f>
        <v>0</v>
      </c>
      <c r="J83" s="182">
        <f t="shared" ref="J83:AO83" si="7">SUM(J69:J71)+J73+J76+J77+SUM(J80:J82)</f>
        <v>0</v>
      </c>
      <c r="K83" s="182">
        <f t="shared" si="7"/>
        <v>0</v>
      </c>
      <c r="L83" s="182">
        <f t="shared" si="7"/>
        <v>0</v>
      </c>
      <c r="M83" s="182">
        <f t="shared" si="7"/>
        <v>0</v>
      </c>
      <c r="N83" s="182">
        <f t="shared" si="7"/>
        <v>0</v>
      </c>
      <c r="O83" s="182">
        <f t="shared" si="7"/>
        <v>0</v>
      </c>
      <c r="P83" s="182">
        <f t="shared" si="7"/>
        <v>0</v>
      </c>
      <c r="Q83" s="182">
        <f t="shared" si="7"/>
        <v>0</v>
      </c>
      <c r="R83" s="182">
        <f t="shared" si="7"/>
        <v>0</v>
      </c>
      <c r="S83" s="182">
        <f t="shared" si="7"/>
        <v>0</v>
      </c>
      <c r="T83" s="182">
        <f t="shared" si="7"/>
        <v>0</v>
      </c>
      <c r="U83" s="182">
        <f>SUM(U69:U71)+U73+U76+U77+SUM(U80:U82)</f>
        <v>94782.00600097327</v>
      </c>
      <c r="V83" s="182">
        <f t="shared" si="7"/>
        <v>94743.775523051663</v>
      </c>
      <c r="W83" s="182">
        <f t="shared" si="7"/>
        <v>94703.898862482485</v>
      </c>
      <c r="X83" s="182">
        <f t="shared" si="7"/>
        <v>94665.272287334374</v>
      </c>
      <c r="Y83" s="182">
        <f t="shared" si="7"/>
        <v>94629.117145490891</v>
      </c>
      <c r="Z83" s="182">
        <f t="shared" si="7"/>
        <v>94595.431236689867</v>
      </c>
      <c r="AA83" s="182">
        <f t="shared" si="7"/>
        <v>94563.76577740084</v>
      </c>
      <c r="AB83" s="182">
        <f t="shared" si="7"/>
        <v>94533.680495597204</v>
      </c>
      <c r="AC83" s="182">
        <f t="shared" si="7"/>
        <v>94502.861494710989</v>
      </c>
      <c r="AD83" s="182">
        <f t="shared" si="7"/>
        <v>94474.011413194705</v>
      </c>
      <c r="AE83" s="182">
        <f t="shared" si="7"/>
        <v>94445.364448501161</v>
      </c>
      <c r="AF83" s="182">
        <f t="shared" si="7"/>
        <v>94415.584863271404</v>
      </c>
      <c r="AG83" s="182">
        <f t="shared" si="7"/>
        <v>94401.161479298316</v>
      </c>
      <c r="AH83" s="182">
        <f t="shared" si="7"/>
        <v>94385.909068965018</v>
      </c>
      <c r="AI83" s="182">
        <f t="shared" si="7"/>
        <v>94367.967437185085</v>
      </c>
      <c r="AJ83" s="182">
        <f t="shared" si="7"/>
        <v>94348.359469318559</v>
      </c>
      <c r="AK83" s="182">
        <f t="shared" si="7"/>
        <v>94348.359469318559</v>
      </c>
      <c r="AL83" s="182">
        <f t="shared" si="7"/>
        <v>94348.359469318559</v>
      </c>
      <c r="AM83" s="182">
        <f t="shared" si="7"/>
        <v>94348.359469318559</v>
      </c>
      <c r="AN83" s="182">
        <f t="shared" si="7"/>
        <v>94348.359469318559</v>
      </c>
      <c r="AO83" s="182">
        <f t="shared" si="7"/>
        <v>0</v>
      </c>
      <c r="AP83" s="29"/>
    </row>
    <row r="84" spans="1:42" outlineLevel="1" x14ac:dyDescent="0.25">
      <c r="A84" s="12"/>
      <c r="B84" s="13"/>
      <c r="C84" s="19"/>
      <c r="D84" s="45"/>
      <c r="E84" s="15"/>
      <c r="F84" s="158"/>
      <c r="G84" s="14"/>
      <c r="H84" s="28"/>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29"/>
    </row>
    <row r="85" spans="1:42" outlineLevel="1" x14ac:dyDescent="0.25">
      <c r="A85" s="12"/>
      <c r="B85" s="13"/>
      <c r="C85" s="37" t="s">
        <v>572</v>
      </c>
      <c r="D85" s="37"/>
      <c r="E85" s="38"/>
      <c r="F85" s="39"/>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17"/>
    </row>
    <row r="86" spans="1:42" outlineLevel="1" x14ac:dyDescent="0.25">
      <c r="A86" s="12"/>
      <c r="B86" s="13"/>
      <c r="C86" s="96" t="s">
        <v>249</v>
      </c>
      <c r="D86" s="45"/>
      <c r="E86" s="15" t="s">
        <v>142</v>
      </c>
      <c r="F86" s="16"/>
      <c r="G86" s="14"/>
      <c r="H86" s="28"/>
      <c r="I86" s="28">
        <f>IF(COUNT($I$3:I3)=(Dashboard!$I$31+Data!$E$337+1),SUM($H$35:$AO$37)*Data!$E$359,0)</f>
        <v>0</v>
      </c>
      <c r="J86" s="28">
        <f>IF(COUNT($I$3:J3)=(Dashboard!$I$31+Data!$E$337+1),SUM($H$35:$AO$37)*Data!$E$359,0)</f>
        <v>0</v>
      </c>
      <c r="K86" s="28">
        <f>IF(COUNT($I$3:K3)=(Dashboard!$I$31+Data!$E$337+1),SUM($H$35:$AO$37)*Data!$E$359,0)</f>
        <v>0</v>
      </c>
      <c r="L86" s="28">
        <f>IF(COUNT($I$3:L3)=(Dashboard!$I$31+Data!$E$337+1),SUM($H$35:$AO$37)*Data!$E$359,0)</f>
        <v>0</v>
      </c>
      <c r="M86" s="28">
        <f>IF(COUNT($I$3:M3)=(Dashboard!$I$31+Data!$E$337+1),SUM($H$35:$AO$37)*Data!$E$359,0)</f>
        <v>0</v>
      </c>
      <c r="N86" s="28">
        <f>IF(COUNT($I$3:N3)=(Dashboard!$I$31+Data!$E$337+1),SUM($H$35:$AO$37)*Data!$E$359,0)</f>
        <v>0</v>
      </c>
      <c r="O86" s="28">
        <f>IF(COUNT($I$3:O3)=(Dashboard!$I$31+Data!$E$337+1),SUM($H$35:$AO$37)*Data!$E$359,0)</f>
        <v>0</v>
      </c>
      <c r="P86" s="28">
        <f>IF(COUNT($I$3:P3)=(Dashboard!$I$31+Data!$E$337+1),SUM($H$35:$AO$37)*Data!$E$359,0)</f>
        <v>0</v>
      </c>
      <c r="Q86" s="28">
        <f>IF(COUNT($I$3:Q3)=(Dashboard!$I$31+Data!$E$337+1),SUM($H$35:$AO$37)*Data!$E$359,0)</f>
        <v>0</v>
      </c>
      <c r="R86" s="28">
        <f>IF(COUNT($I$3:R3)=(Dashboard!$I$31+Data!$E$337+1),SUM($H$35:$AO$37)*Data!$E$359,0)</f>
        <v>0</v>
      </c>
      <c r="S86" s="28">
        <f>IF(COUNT($I$3:S3)=(Dashboard!$I$31+Data!$E$337+1),SUM($H$35:$AO$37)*Data!$E$359,0)</f>
        <v>0</v>
      </c>
      <c r="T86" s="28">
        <f>IF(COUNT($I$3:T3)=(Dashboard!$I$31+Data!$E$337+1),SUM($H$35:$AO$37)*Data!$E$359,0)</f>
        <v>0</v>
      </c>
      <c r="U86" s="28">
        <f>IF(COUNT($I$3:U3)=(Dashboard!$I$31+Data!$E$337+1),SUM($H$35:$AO$37)*Data!$E$359,0)</f>
        <v>0</v>
      </c>
      <c r="V86" s="28">
        <f>IF(COUNT($I$3:V3)=(Dashboard!$I$31+Data!$E$337+1),SUM($H$35:$AO$37)*Data!$E$359,0)</f>
        <v>0</v>
      </c>
      <c r="W86" s="28">
        <f>IF(COUNT($I$3:W3)=(Dashboard!$I$31+Data!$E$337+1),SUM($H$35:$AO$37)*Data!$E$359,0)</f>
        <v>0</v>
      </c>
      <c r="X86" s="28">
        <f>IF(COUNT($I$3:X3)=(Dashboard!$I$31+Data!$E$337+1),SUM($H$35:$AO$37)*Data!$E$359,0)</f>
        <v>0</v>
      </c>
      <c r="Y86" s="28">
        <f>IF(COUNT($I$3:Y3)=(Dashboard!$I$31+Data!$E$337+1),SUM($H$35:$AO$37)*Data!$E$359,0)</f>
        <v>0</v>
      </c>
      <c r="Z86" s="28">
        <f>IF(COUNT($I$3:Z3)=(Dashboard!$I$31+Data!$E$337+1),SUM($H$35:$AO$37)*Data!$E$359,0)</f>
        <v>0</v>
      </c>
      <c r="AA86" s="28">
        <f>IF(COUNT($I$3:AA3)=(Dashboard!$I$31+Data!$E$337+1),SUM($H$35:$AO$37)*Data!$E$359,0)</f>
        <v>0</v>
      </c>
      <c r="AB86" s="28">
        <f>IF(COUNT($I$3:AB3)=(Dashboard!$I$31+Data!$E$337+1),SUM($H$35:$AO$37)*Data!$E$359,0)</f>
        <v>0</v>
      </c>
      <c r="AC86" s="28">
        <f>IF(COUNT($I$3:AC3)=(Dashboard!$I$31+Data!$E$337+1),SUM($H$35:$AO$37)*Data!$E$359,0)</f>
        <v>0</v>
      </c>
      <c r="AD86" s="28">
        <f>IF(COUNT($I$3:AD3)=(Dashboard!$I$31+Data!$E$337+1),SUM($H$35:$AO$37)*Data!$E$359,0)</f>
        <v>0</v>
      </c>
      <c r="AE86" s="28">
        <f>IF(COUNT($I$3:AE3)=(Dashboard!$I$31+Data!$E$337+1),SUM($H$35:$AO$37)*Data!$E$359,0)</f>
        <v>0</v>
      </c>
      <c r="AF86" s="28">
        <f>IF(COUNT($I$3:AF3)=(Dashboard!$I$31+Data!$E$337+1),SUM($H$35:$AO$37)*Data!$E$359,0)</f>
        <v>0</v>
      </c>
      <c r="AG86" s="28">
        <f>IF(COUNT($I$3:AG3)=(Dashboard!$I$31+Data!$E$337+1),SUM($H$35:$AO$37)*Data!$E$359,0)</f>
        <v>0</v>
      </c>
      <c r="AH86" s="28">
        <f>IF(COUNT($I$3:AH3)=(Dashboard!$I$31+Data!$E$337+1),SUM($H$35:$AO$37)*Data!$E$359,0)</f>
        <v>0</v>
      </c>
      <c r="AI86" s="28">
        <f>IF(COUNT($I$3:AI3)=(Dashboard!$I$31+Data!$E$337+1),SUM($H$35:$AO$37)*Data!$E$359,0)</f>
        <v>0</v>
      </c>
      <c r="AJ86" s="28">
        <f>IF(COUNT($I$3:AJ3)=(Dashboard!$I$31+Data!$E$337+1),SUM($H$35:$AO$37)*Data!$E$359,0)</f>
        <v>0</v>
      </c>
      <c r="AK86" s="28">
        <f>IF(COUNT($I$3:AK3)=(Dashboard!$I$31+Data!$E$337+1),SUM($H$35:$AO$37)*Data!$E$359,0)</f>
        <v>0</v>
      </c>
      <c r="AL86" s="28">
        <f>IF(COUNT($I$3:AL3)=(Dashboard!$I$31+Data!$E$337+1),SUM($H$35:$AO$37)*Data!$E$359,0)</f>
        <v>0</v>
      </c>
      <c r="AM86" s="28">
        <f>IF(COUNT($I$3:AM3)=(Dashboard!$I$31+Data!$E$337+1),SUM($H$35:$AO$37)*Data!$E$359,0)</f>
        <v>0</v>
      </c>
      <c r="AN86" s="28">
        <f>IF(COUNT($I$3:AN3)=(Dashboard!$I$31+Data!$E$337+1),SUM($H$35:$AO$37)*Data!$E$359,0)</f>
        <v>0</v>
      </c>
      <c r="AO86" s="28">
        <f>IF(COUNT($I$3:AO3)=(Dashboard!$I$31+Data!$E$337+1),SUM($H$35:$AO$37)*Data!$E$359,0)</f>
        <v>90750</v>
      </c>
      <c r="AP86" s="29"/>
    </row>
    <row r="87" spans="1:42" outlineLevel="1" x14ac:dyDescent="0.25">
      <c r="A87" s="12"/>
      <c r="B87" s="13"/>
      <c r="C87" s="96"/>
      <c r="D87" s="45"/>
      <c r="E87" s="15"/>
      <c r="F87" s="158"/>
      <c r="G87" s="14"/>
      <c r="H87" s="28"/>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29"/>
    </row>
    <row r="88" spans="1:42" outlineLevel="1" x14ac:dyDescent="0.25">
      <c r="A88" s="12"/>
      <c r="B88" s="13"/>
      <c r="C88" s="19" t="s">
        <v>252</v>
      </c>
      <c r="D88" s="45"/>
      <c r="E88" s="15"/>
      <c r="F88" s="158"/>
      <c r="G88" s="14"/>
      <c r="H88" s="28"/>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29"/>
    </row>
    <row r="89" spans="1:42" outlineLevel="1" x14ac:dyDescent="0.25">
      <c r="A89" s="12"/>
      <c r="B89" s="13"/>
      <c r="C89" s="44" t="s">
        <v>258</v>
      </c>
      <c r="D89" s="44"/>
      <c r="E89" s="15"/>
      <c r="F89" s="16"/>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7"/>
    </row>
    <row r="90" spans="1:42" outlineLevel="1" x14ac:dyDescent="0.25">
      <c r="A90" s="12"/>
      <c r="B90" s="13"/>
      <c r="C90" s="45" t="s">
        <v>120</v>
      </c>
      <c r="D90" s="45"/>
      <c r="E90" s="15" t="s">
        <v>474</v>
      </c>
      <c r="F90" s="158" t="str">
        <f>Dashboard!$I$43</f>
        <v>2 Axle rigid</v>
      </c>
      <c r="G90" s="14"/>
      <c r="H90" s="177"/>
      <c r="I90" s="177">
        <f>IF($C$90=$F$90,Data!$E$118*I16,0)</f>
        <v>70200</v>
      </c>
      <c r="J90" s="177">
        <f>IF($C$90=$F$90,Data!$E$118*J16,0)</f>
        <v>70200</v>
      </c>
      <c r="K90" s="177">
        <f>IF($C$90=$F$90,Data!$E$118*K16,0)</f>
        <v>70200</v>
      </c>
      <c r="L90" s="177">
        <f>IF($C$90=$F$90,Data!$E$118*L16,0)</f>
        <v>70200</v>
      </c>
      <c r="M90" s="177">
        <f>IF($C$90=$F$90,Data!$E$118*M16,0)</f>
        <v>70200</v>
      </c>
      <c r="N90" s="177">
        <f>IF($C$90=$F$90,Data!$E$118*N16,0)</f>
        <v>70200</v>
      </c>
      <c r="O90" s="177">
        <f>IF($C$90=$F$90,Data!$E$118*O16,0)</f>
        <v>70200</v>
      </c>
      <c r="P90" s="177">
        <f>IF($C$90=$F$90,Data!$E$118*P16,0)</f>
        <v>70200</v>
      </c>
      <c r="Q90" s="177">
        <f>IF($C$90=$F$90,Data!$E$118*Q16,0)</f>
        <v>70200</v>
      </c>
      <c r="R90" s="177">
        <f>IF($C$90=$F$90,Data!$E$118*R16,0)</f>
        <v>70200</v>
      </c>
      <c r="S90" s="177">
        <f>IF($C$90=$F$90,Data!$E$118*S16,0)</f>
        <v>70200</v>
      </c>
      <c r="T90" s="177">
        <f>IF($C$90=$F$90,Data!$E$118*T16,0)</f>
        <v>70200</v>
      </c>
      <c r="U90" s="177">
        <f>IF($C$90=$F$90,Data!$E$118*U16,0)</f>
        <v>0</v>
      </c>
      <c r="V90" s="177">
        <f>IF($C$90=$F$90,Data!$E$118*V16,0)</f>
        <v>0</v>
      </c>
      <c r="W90" s="177">
        <f>IF($C$90=$F$90,Data!$E$118*W16,0)</f>
        <v>0</v>
      </c>
      <c r="X90" s="177">
        <f>IF($C$90=$F$90,Data!$E$118*X16,0)</f>
        <v>0</v>
      </c>
      <c r="Y90" s="177">
        <f>IF($C$90=$F$90,Data!$E$118*Y16,0)</f>
        <v>0</v>
      </c>
      <c r="Z90" s="177">
        <f>IF($C$90=$F$90,Data!$E$118*Z16,0)</f>
        <v>0</v>
      </c>
      <c r="AA90" s="177">
        <f>IF($C$90=$F$90,Data!$E$118*AA16,0)</f>
        <v>0</v>
      </c>
      <c r="AB90" s="177">
        <f>IF($C$90=$F$90,Data!$E$118*AB16,0)</f>
        <v>0</v>
      </c>
      <c r="AC90" s="177">
        <f>IF($C$90=$F$90,Data!$E$118*AC16,0)</f>
        <v>0</v>
      </c>
      <c r="AD90" s="177">
        <f>IF($C$90=$F$90,Data!$E$118*AD16,0)</f>
        <v>0</v>
      </c>
      <c r="AE90" s="177">
        <f>IF($C$90=$F$90,Data!$E$118*AE16,0)</f>
        <v>0</v>
      </c>
      <c r="AF90" s="177">
        <f>IF($C$90=$F$90,Data!$E$118*AF16,0)</f>
        <v>0</v>
      </c>
      <c r="AG90" s="177">
        <f>IF($C$90=$F$90,Data!$E$118*AG16,0)</f>
        <v>0</v>
      </c>
      <c r="AH90" s="177">
        <f>IF($C$90=$F$90,Data!$E$118*AH16,0)</f>
        <v>0</v>
      </c>
      <c r="AI90" s="177">
        <f>IF($C$90=$F$90,Data!$E$118*AI16,0)</f>
        <v>0</v>
      </c>
      <c r="AJ90" s="177">
        <f>IF($C$90=$F$90,Data!$E$118*AJ16,0)</f>
        <v>0</v>
      </c>
      <c r="AK90" s="177">
        <f>IF($C$90=$F$90,Data!$E$118*AK16,0)</f>
        <v>0</v>
      </c>
      <c r="AL90" s="177">
        <f>IF($C$90=$F$90,Data!$E$118*AL16,0)</f>
        <v>0</v>
      </c>
      <c r="AM90" s="177">
        <f>IF($C$90=$F$90,Data!$E$118*AM16,0)</f>
        <v>0</v>
      </c>
      <c r="AN90" s="177">
        <f>IF($C$90=$F$90,Data!$E$118*AN16,0)</f>
        <v>0</v>
      </c>
      <c r="AO90" s="177">
        <f>IF($C$90=$F$90,Data!$E$118*AO16,0)</f>
        <v>0</v>
      </c>
      <c r="AP90" s="29"/>
    </row>
    <row r="91" spans="1:42" outlineLevel="1" x14ac:dyDescent="0.25">
      <c r="A91" s="12"/>
      <c r="B91" s="13"/>
      <c r="C91" s="45" t="s">
        <v>124</v>
      </c>
      <c r="D91" s="45"/>
      <c r="E91" s="15" t="s">
        <v>474</v>
      </c>
      <c r="F91" s="158" t="str">
        <f>Dashboard!$I$43</f>
        <v>2 Axle rigid</v>
      </c>
      <c r="G91" s="14"/>
      <c r="H91" s="177"/>
      <c r="I91" s="177">
        <f>IF($C$91=$F$91,Data!$E$119*I16,0)</f>
        <v>0</v>
      </c>
      <c r="J91" s="177">
        <f>IF($C$91=$F$91,Data!$E$119*J16,0)</f>
        <v>0</v>
      </c>
      <c r="K91" s="177">
        <f>IF($C$91=$F$91,Data!$E$119*K16,0)</f>
        <v>0</v>
      </c>
      <c r="L91" s="177">
        <f>IF($C$91=$F$91,Data!$E$119*L16,0)</f>
        <v>0</v>
      </c>
      <c r="M91" s="177">
        <f>IF($C$91=$F$91,Data!$E$119*M16,0)</f>
        <v>0</v>
      </c>
      <c r="N91" s="177">
        <f>IF($C$91=$F$91,Data!$E$119*N16,0)</f>
        <v>0</v>
      </c>
      <c r="O91" s="177">
        <f>IF($C$91=$F$91,Data!$E$119*O16,0)</f>
        <v>0</v>
      </c>
      <c r="P91" s="177">
        <f>IF($C$91=$F$91,Data!$E$119*P16,0)</f>
        <v>0</v>
      </c>
      <c r="Q91" s="177">
        <f>IF($C$91=$F$91,Data!$E$119*Q16,0)</f>
        <v>0</v>
      </c>
      <c r="R91" s="177">
        <f>IF($C$91=$F$91,Data!$E$119*R16,0)</f>
        <v>0</v>
      </c>
      <c r="S91" s="177">
        <f>IF($C$91=$F$91,Data!$E$119*S16,0)</f>
        <v>0</v>
      </c>
      <c r="T91" s="177">
        <f>IF($C$91=$F$91,Data!$E$119*T16,0)</f>
        <v>0</v>
      </c>
      <c r="U91" s="177">
        <f>IF($C$91=$F$91,Data!$E$119*U16,0)</f>
        <v>0</v>
      </c>
      <c r="V91" s="177">
        <f>IF($C$91=$F$91,Data!$E$119*V16,0)</f>
        <v>0</v>
      </c>
      <c r="W91" s="177">
        <f>IF($C$91=$F$91,Data!$E$119*W16,0)</f>
        <v>0</v>
      </c>
      <c r="X91" s="177">
        <f>IF($C$91=$F$91,Data!$E$119*X16,0)</f>
        <v>0</v>
      </c>
      <c r="Y91" s="177">
        <f>IF($C$91=$F$91,Data!$E$119*Y16,0)</f>
        <v>0</v>
      </c>
      <c r="Z91" s="177">
        <f>IF($C$91=$F$91,Data!$E$119*Z16,0)</f>
        <v>0</v>
      </c>
      <c r="AA91" s="177">
        <f>IF($C$91=$F$91,Data!$E$119*AA16,0)</f>
        <v>0</v>
      </c>
      <c r="AB91" s="177">
        <f>IF($C$91=$F$91,Data!$E$119*AB16,0)</f>
        <v>0</v>
      </c>
      <c r="AC91" s="177">
        <f>IF($C$91=$F$91,Data!$E$119*AC16,0)</f>
        <v>0</v>
      </c>
      <c r="AD91" s="177">
        <f>IF($C$91=$F$91,Data!$E$119*AD16,0)</f>
        <v>0</v>
      </c>
      <c r="AE91" s="177">
        <f>IF($C$91=$F$91,Data!$E$119*AE16,0)</f>
        <v>0</v>
      </c>
      <c r="AF91" s="177">
        <f>IF($C$91=$F$91,Data!$E$119*AF16,0)</f>
        <v>0</v>
      </c>
      <c r="AG91" s="177">
        <f>IF($C$91=$F$91,Data!$E$119*AG16,0)</f>
        <v>0</v>
      </c>
      <c r="AH91" s="177">
        <f>IF($C$91=$F$91,Data!$E$119*AH16,0)</f>
        <v>0</v>
      </c>
      <c r="AI91" s="177">
        <f>IF($C$91=$F$91,Data!$E$119*AI16,0)</f>
        <v>0</v>
      </c>
      <c r="AJ91" s="177">
        <f>IF($C$91=$F$91,Data!$E$119*AJ16,0)</f>
        <v>0</v>
      </c>
      <c r="AK91" s="177">
        <f>IF($C$91=$F$91,Data!$E$119*AK16,0)</f>
        <v>0</v>
      </c>
      <c r="AL91" s="177">
        <f>IF($C$91=$F$91,Data!$E$119*AL16,0)</f>
        <v>0</v>
      </c>
      <c r="AM91" s="177">
        <f>IF($C$91=$F$91,Data!$E$119*AM16,0)</f>
        <v>0</v>
      </c>
      <c r="AN91" s="177">
        <f>IF($C$91=$F$91,Data!$E$119*AN16,0)</f>
        <v>0</v>
      </c>
      <c r="AO91" s="177">
        <f>IF($C$91=$F$91,Data!$E$119*AO16,0)</f>
        <v>0</v>
      </c>
      <c r="AP91" s="29"/>
    </row>
    <row r="92" spans="1:42" outlineLevel="1" x14ac:dyDescent="0.25">
      <c r="A92" s="12"/>
      <c r="B92" s="13"/>
      <c r="C92" s="45" t="s">
        <v>126</v>
      </c>
      <c r="D92" s="45"/>
      <c r="E92" s="15" t="s">
        <v>474</v>
      </c>
      <c r="F92" s="158" t="str">
        <f>Dashboard!$I$43</f>
        <v>2 Axle rigid</v>
      </c>
      <c r="G92" s="14"/>
      <c r="H92" s="177"/>
      <c r="I92" s="177">
        <f>IF($C$92=$F$92,Data!$E$120*I16,0)</f>
        <v>0</v>
      </c>
      <c r="J92" s="177">
        <f>IF($C$92=$F$92,Data!$E$120*J16,0)</f>
        <v>0</v>
      </c>
      <c r="K92" s="177">
        <f>IF($C$92=$F$92,Data!$E$120*K16,0)</f>
        <v>0</v>
      </c>
      <c r="L92" s="177">
        <f>IF($C$92=$F$92,Data!$E$120*L16,0)</f>
        <v>0</v>
      </c>
      <c r="M92" s="177">
        <f>IF($C$92=$F$92,Data!$E$120*M16,0)</f>
        <v>0</v>
      </c>
      <c r="N92" s="177">
        <f>IF($C$92=$F$92,Data!$E$120*N16,0)</f>
        <v>0</v>
      </c>
      <c r="O92" s="177">
        <f>IF($C$92=$F$92,Data!$E$120*O16,0)</f>
        <v>0</v>
      </c>
      <c r="P92" s="177">
        <f>IF($C$92=$F$92,Data!$E$120*P16,0)</f>
        <v>0</v>
      </c>
      <c r="Q92" s="177">
        <f>IF($C$92=$F$92,Data!$E$120*Q16,0)</f>
        <v>0</v>
      </c>
      <c r="R92" s="177">
        <f>IF($C$92=$F$92,Data!$E$120*R16,0)</f>
        <v>0</v>
      </c>
      <c r="S92" s="177">
        <f>IF($C$92=$F$92,Data!$E$120*S16,0)</f>
        <v>0</v>
      </c>
      <c r="T92" s="177">
        <f>IF($C$92=$F$92,Data!$E$120*T16,0)</f>
        <v>0</v>
      </c>
      <c r="U92" s="177">
        <f>IF($C$92=$F$92,Data!$E$120*U16,0)</f>
        <v>0</v>
      </c>
      <c r="V92" s="177">
        <f>IF($C$92=$F$92,Data!$E$120*V16,0)</f>
        <v>0</v>
      </c>
      <c r="W92" s="177">
        <f>IF($C$92=$F$92,Data!$E$120*W16,0)</f>
        <v>0</v>
      </c>
      <c r="X92" s="177">
        <f>IF($C$92=$F$92,Data!$E$120*X16,0)</f>
        <v>0</v>
      </c>
      <c r="Y92" s="177">
        <f>IF($C$92=$F$92,Data!$E$120*Y16,0)</f>
        <v>0</v>
      </c>
      <c r="Z92" s="177">
        <f>IF($C$92=$F$92,Data!$E$120*Z16,0)</f>
        <v>0</v>
      </c>
      <c r="AA92" s="177">
        <f>IF($C$92=$F$92,Data!$E$120*AA16,0)</f>
        <v>0</v>
      </c>
      <c r="AB92" s="177">
        <f>IF($C$92=$F$92,Data!$E$120*AB16,0)</f>
        <v>0</v>
      </c>
      <c r="AC92" s="177">
        <f>IF($C$92=$F$92,Data!$E$120*AC16,0)</f>
        <v>0</v>
      </c>
      <c r="AD92" s="177">
        <f>IF($C$92=$F$92,Data!$E$120*AD16,0)</f>
        <v>0</v>
      </c>
      <c r="AE92" s="177">
        <f>IF($C$92=$F$92,Data!$E$120*AE16,0)</f>
        <v>0</v>
      </c>
      <c r="AF92" s="177">
        <f>IF($C$92=$F$92,Data!$E$120*AF16,0)</f>
        <v>0</v>
      </c>
      <c r="AG92" s="177">
        <f>IF($C$92=$F$92,Data!$E$120*AG16,0)</f>
        <v>0</v>
      </c>
      <c r="AH92" s="177">
        <f>IF($C$92=$F$92,Data!$E$120*AH16,0)</f>
        <v>0</v>
      </c>
      <c r="AI92" s="177">
        <f>IF($C$92=$F$92,Data!$E$120*AI16,0)</f>
        <v>0</v>
      </c>
      <c r="AJ92" s="177">
        <f>IF($C$92=$F$92,Data!$E$120*AJ16,0)</f>
        <v>0</v>
      </c>
      <c r="AK92" s="177">
        <f>IF($C$92=$F$92,Data!$E$120*AK16,0)</f>
        <v>0</v>
      </c>
      <c r="AL92" s="177">
        <f>IF($C$92=$F$92,Data!$E$120*AL16,0)</f>
        <v>0</v>
      </c>
      <c r="AM92" s="177">
        <f>IF($C$92=$F$92,Data!$E$120*AM16,0)</f>
        <v>0</v>
      </c>
      <c r="AN92" s="177">
        <f>IF($C$92=$F$92,Data!$E$120*AN16,0)</f>
        <v>0</v>
      </c>
      <c r="AO92" s="177">
        <f>IF($C$92=$F$92,Data!$E$120*AO16,0)</f>
        <v>0</v>
      </c>
      <c r="AP92" s="29"/>
    </row>
    <row r="93" spans="1:42" outlineLevel="1" x14ac:dyDescent="0.25">
      <c r="A93" s="12"/>
      <c r="B93" s="13"/>
      <c r="C93" s="45"/>
      <c r="D93" s="45"/>
      <c r="E93" s="15"/>
      <c r="F93" s="16"/>
      <c r="G93" s="14"/>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9"/>
    </row>
    <row r="94" spans="1:42" outlineLevel="1" x14ac:dyDescent="0.25">
      <c r="A94" s="12"/>
      <c r="B94" s="13"/>
      <c r="C94" s="44" t="s">
        <v>532</v>
      </c>
      <c r="D94" s="45"/>
      <c r="E94" s="15" t="s">
        <v>318</v>
      </c>
      <c r="F94" s="16"/>
      <c r="G94" s="14"/>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9"/>
    </row>
    <row r="95" spans="1:42" outlineLevel="1" x14ac:dyDescent="0.25">
      <c r="A95" s="12"/>
      <c r="B95" s="13"/>
      <c r="C95" s="44" t="s">
        <v>260</v>
      </c>
      <c r="D95" s="14"/>
      <c r="E95" s="15" t="s">
        <v>318</v>
      </c>
      <c r="F95" s="16"/>
      <c r="G95" s="14"/>
      <c r="H95" s="151"/>
      <c r="I95" s="151">
        <f>Data!$E$122*I16</f>
        <v>33733.440000000002</v>
      </c>
      <c r="J95" s="151">
        <f>Data!$E$122*J16</f>
        <v>33733.440000000002</v>
      </c>
      <c r="K95" s="151">
        <f>Data!$E$122*K16</f>
        <v>33733.440000000002</v>
      </c>
      <c r="L95" s="151">
        <f>Data!$E$122*L16</f>
        <v>33733.440000000002</v>
      </c>
      <c r="M95" s="151">
        <f>Data!$E$122*M16</f>
        <v>33733.440000000002</v>
      </c>
      <c r="N95" s="151">
        <f>Data!$E$122*N16</f>
        <v>33733.440000000002</v>
      </c>
      <c r="O95" s="151">
        <f>Data!$E$122*O16</f>
        <v>33733.440000000002</v>
      </c>
      <c r="P95" s="151">
        <f>Data!$E$122*P16</f>
        <v>33733.440000000002</v>
      </c>
      <c r="Q95" s="151">
        <f>Data!$E$122*Q16</f>
        <v>33733.440000000002</v>
      </c>
      <c r="R95" s="151">
        <f>Data!$E$122*R16</f>
        <v>33733.440000000002</v>
      </c>
      <c r="S95" s="151">
        <f>Data!$E$122*S16</f>
        <v>33733.440000000002</v>
      </c>
      <c r="T95" s="151">
        <f>Data!$E$122*T16</f>
        <v>33733.440000000002</v>
      </c>
      <c r="U95" s="151">
        <f>Data!$E$122*U16</f>
        <v>0</v>
      </c>
      <c r="V95" s="151">
        <f>Data!$E$122*V16</f>
        <v>0</v>
      </c>
      <c r="W95" s="151">
        <f>Data!$E$122*W16</f>
        <v>0</v>
      </c>
      <c r="X95" s="151">
        <f>Data!$E$122*X16</f>
        <v>0</v>
      </c>
      <c r="Y95" s="151">
        <f>Data!$E$122*Y16</f>
        <v>0</v>
      </c>
      <c r="Z95" s="151">
        <f>Data!$E$122*Z16</f>
        <v>0</v>
      </c>
      <c r="AA95" s="151">
        <f>Data!$E$122*AA16</f>
        <v>0</v>
      </c>
      <c r="AB95" s="151">
        <f>Data!$E$122*AB16</f>
        <v>0</v>
      </c>
      <c r="AC95" s="151">
        <f>Data!$E$122*AC16</f>
        <v>0</v>
      </c>
      <c r="AD95" s="151">
        <f>Data!$E$122*AD16</f>
        <v>0</v>
      </c>
      <c r="AE95" s="151">
        <f>Data!$E$122*AE16</f>
        <v>0</v>
      </c>
      <c r="AF95" s="151">
        <f>Data!$E$122*AF16</f>
        <v>0</v>
      </c>
      <c r="AG95" s="151">
        <f>Data!$E$122*AG16</f>
        <v>0</v>
      </c>
      <c r="AH95" s="151">
        <f>Data!$E$122*AH16</f>
        <v>0</v>
      </c>
      <c r="AI95" s="151">
        <f>Data!$E$122*AI16</f>
        <v>0</v>
      </c>
      <c r="AJ95" s="151">
        <f>Data!$E$122*AJ16</f>
        <v>0</v>
      </c>
      <c r="AK95" s="151">
        <f>Data!$E$122*AK16</f>
        <v>0</v>
      </c>
      <c r="AL95" s="151">
        <f>Data!$E$122*AL16</f>
        <v>0</v>
      </c>
      <c r="AM95" s="151">
        <f>Data!$E$122*AM16</f>
        <v>0</v>
      </c>
      <c r="AN95" s="151">
        <f>Data!$E$122*AN16</f>
        <v>0</v>
      </c>
      <c r="AO95" s="151">
        <f>Data!$E$122*AO16</f>
        <v>0</v>
      </c>
      <c r="AP95" s="17"/>
    </row>
    <row r="96" spans="1:42" outlineLevel="1" x14ac:dyDescent="0.25">
      <c r="A96" s="12"/>
      <c r="B96" s="13"/>
      <c r="C96" s="44"/>
      <c r="D96" s="44"/>
      <c r="E96" s="15"/>
      <c r="F96" s="16"/>
      <c r="G96" s="14"/>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17"/>
    </row>
    <row r="97" spans="1:42" outlineLevel="1" x14ac:dyDescent="0.25">
      <c r="A97" s="12"/>
      <c r="B97" s="13"/>
      <c r="C97" s="44" t="s">
        <v>398</v>
      </c>
      <c r="D97" s="45"/>
      <c r="E97" s="15"/>
      <c r="F97" s="16"/>
      <c r="G97" s="14"/>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9"/>
    </row>
    <row r="98" spans="1:42" outlineLevel="1" x14ac:dyDescent="0.25">
      <c r="A98" s="12"/>
      <c r="B98" s="13"/>
      <c r="C98" s="45" t="s">
        <v>127</v>
      </c>
      <c r="D98" s="45"/>
      <c r="E98" s="15" t="s">
        <v>475</v>
      </c>
      <c r="F98" s="158" t="str">
        <f>Dashboard!$I$42</f>
        <v>Flat (Gradient  0%)</v>
      </c>
      <c r="G98" s="14"/>
      <c r="H98" s="62"/>
      <c r="I98" s="181" cm="1">
        <f t="array" ref="I98">INDEX('Control panel'!$E$17:$E$19,MATCH(BEB!$F$214,'Control panel'!$C$17:$C$19,0),0)</f>
        <v>0</v>
      </c>
      <c r="J98" s="181" cm="1">
        <f t="array" ref="J98">INDEX('Control panel'!$E$17:$E$19,MATCH(BEB!$F$214,'Control panel'!$C$17:$C$19,0),0)</f>
        <v>0</v>
      </c>
      <c r="K98" s="181" cm="1">
        <f t="array" ref="K98">INDEX('Control panel'!$E$17:$E$19,MATCH(BEB!$F$214,'Control panel'!$C$17:$C$19,0),0)</f>
        <v>0</v>
      </c>
      <c r="L98" s="181" cm="1">
        <f t="array" ref="L98">INDEX('Control panel'!$E$17:$E$19,MATCH(BEB!$F$214,'Control panel'!$C$17:$C$19,0),0)</f>
        <v>0</v>
      </c>
      <c r="M98" s="181" cm="1">
        <f t="array" ref="M98">INDEX('Control panel'!$E$17:$E$19,MATCH(BEB!$F$214,'Control panel'!$C$17:$C$19,0),0)</f>
        <v>0</v>
      </c>
      <c r="N98" s="181" cm="1">
        <f t="array" ref="N98">INDEX('Control panel'!$E$17:$E$19,MATCH(BEB!$F$214,'Control panel'!$C$17:$C$19,0),0)</f>
        <v>0</v>
      </c>
      <c r="O98" s="181" cm="1">
        <f t="array" ref="O98">INDEX('Control panel'!$E$17:$E$19,MATCH(BEB!$F$214,'Control panel'!$C$17:$C$19,0),0)</f>
        <v>0</v>
      </c>
      <c r="P98" s="181" cm="1">
        <f t="array" ref="P98">INDEX('Control panel'!$E$17:$E$19,MATCH(BEB!$F$214,'Control panel'!$C$17:$C$19,0),0)</f>
        <v>0</v>
      </c>
      <c r="Q98" s="181" cm="1">
        <f t="array" ref="Q98">INDEX('Control panel'!$E$17:$E$19,MATCH(BEB!$F$214,'Control panel'!$C$17:$C$19,0),0)</f>
        <v>0</v>
      </c>
      <c r="R98" s="181" cm="1">
        <f t="array" ref="R98">INDEX('Control panel'!$E$17:$E$19,MATCH(BEB!$F$214,'Control panel'!$C$17:$C$19,0),0)</f>
        <v>0</v>
      </c>
      <c r="S98" s="181" cm="1">
        <f t="array" ref="S98">INDEX('Control panel'!$E$17:$E$19,MATCH(BEB!$F$214,'Control panel'!$C$17:$C$19,0),0)</f>
        <v>0</v>
      </c>
      <c r="T98" s="181" cm="1">
        <f t="array" ref="T98">INDEX('Control panel'!$E$17:$E$19,MATCH(BEB!$F$214,'Control panel'!$C$17:$C$19,0),0)</f>
        <v>0</v>
      </c>
      <c r="U98" s="181" cm="1">
        <f t="array" ref="U98">INDEX('Control panel'!$E$17:$E$19,MATCH(BEB!$F$214,'Control panel'!$C$17:$C$19,0),0)</f>
        <v>0</v>
      </c>
      <c r="V98" s="181" cm="1">
        <f t="array" ref="V98">INDEX('Control panel'!$E$17:$E$19,MATCH(BEB!$F$214,'Control panel'!$C$17:$C$19,0),0)</f>
        <v>0</v>
      </c>
      <c r="W98" s="181" cm="1">
        <f t="array" ref="W98">INDEX('Control panel'!$E$17:$E$19,MATCH(BEB!$F$214,'Control panel'!$C$17:$C$19,0),0)</f>
        <v>0</v>
      </c>
      <c r="X98" s="181" cm="1">
        <f t="array" ref="X98">INDEX('Control panel'!$E$17:$E$19,MATCH(BEB!$F$214,'Control panel'!$C$17:$C$19,0),0)</f>
        <v>0</v>
      </c>
      <c r="Y98" s="181" cm="1">
        <f t="array" ref="Y98">INDEX('Control panel'!$E$17:$E$19,MATCH(BEB!$F$214,'Control panel'!$C$17:$C$19,0),0)</f>
        <v>0</v>
      </c>
      <c r="Z98" s="181" cm="1">
        <f t="array" ref="Z98">INDEX('Control panel'!$E$17:$E$19,MATCH(BEB!$F$214,'Control panel'!$C$17:$C$19,0),0)</f>
        <v>0</v>
      </c>
      <c r="AA98" s="181" cm="1">
        <f t="array" ref="AA98">INDEX('Control panel'!$E$17:$E$19,MATCH(BEB!$F$214,'Control panel'!$C$17:$C$19,0),0)</f>
        <v>0</v>
      </c>
      <c r="AB98" s="181" cm="1">
        <f t="array" ref="AB98">INDEX('Control panel'!$E$17:$E$19,MATCH(BEB!$F$214,'Control panel'!$C$17:$C$19,0),0)</f>
        <v>0</v>
      </c>
      <c r="AC98" s="181" cm="1">
        <f t="array" ref="AC98">INDEX('Control panel'!$E$17:$E$19,MATCH(BEB!$F$214,'Control panel'!$C$17:$C$19,0),0)</f>
        <v>0</v>
      </c>
      <c r="AD98" s="181" cm="1">
        <f t="array" ref="AD98">INDEX('Control panel'!$E$17:$E$19,MATCH(BEB!$F$214,'Control panel'!$C$17:$C$19,0),0)</f>
        <v>0</v>
      </c>
      <c r="AE98" s="181" cm="1">
        <f t="array" ref="AE98">INDEX('Control panel'!$E$17:$E$19,MATCH(BEB!$F$214,'Control panel'!$C$17:$C$19,0),0)</f>
        <v>0</v>
      </c>
      <c r="AF98" s="181" cm="1">
        <f t="array" ref="AF98">INDEX('Control panel'!$E$17:$E$19,MATCH(BEB!$F$214,'Control panel'!$C$17:$C$19,0),0)</f>
        <v>0</v>
      </c>
      <c r="AG98" s="181" cm="1">
        <f t="array" ref="AG98">INDEX('Control panel'!$E$17:$E$19,MATCH(BEB!$F$214,'Control panel'!$C$17:$C$19,0),0)</f>
        <v>0</v>
      </c>
      <c r="AH98" s="181" cm="1">
        <f t="array" ref="AH98">INDEX('Control panel'!$E$17:$E$19,MATCH(BEB!$F$214,'Control panel'!$C$17:$C$19,0),0)</f>
        <v>0</v>
      </c>
      <c r="AI98" s="181" cm="1">
        <f t="array" ref="AI98">INDEX('Control panel'!$E$17:$E$19,MATCH(BEB!$F$214,'Control panel'!$C$17:$C$19,0),0)</f>
        <v>0</v>
      </c>
      <c r="AJ98" s="181" cm="1">
        <f t="array" ref="AJ98">INDEX('Control panel'!$E$17:$E$19,MATCH(BEB!$F$214,'Control panel'!$C$17:$C$19,0),0)</f>
        <v>0</v>
      </c>
      <c r="AK98" s="181" cm="1">
        <f t="array" ref="AK98">INDEX('Control panel'!$E$17:$E$19,MATCH(BEB!$F$214,'Control panel'!$C$17:$C$19,0),0)</f>
        <v>0</v>
      </c>
      <c r="AL98" s="181" cm="1">
        <f t="array" ref="AL98">INDEX('Control panel'!$E$17:$E$19,MATCH(BEB!$F$214,'Control panel'!$C$17:$C$19,0),0)</f>
        <v>0</v>
      </c>
      <c r="AM98" s="181" cm="1">
        <f t="array" ref="AM98">INDEX('Control panel'!$E$17:$E$19,MATCH(BEB!$F$214,'Control panel'!$C$17:$C$19,0),0)</f>
        <v>0</v>
      </c>
      <c r="AN98" s="181" cm="1">
        <f t="array" ref="AN98">INDEX('Control panel'!$E$17:$E$19,MATCH(BEB!$F$214,'Control panel'!$C$17:$C$19,0),0)</f>
        <v>0</v>
      </c>
      <c r="AO98" s="181" cm="1">
        <f t="array" ref="AO98">INDEX('Control panel'!$E$17:$E$19,MATCH(BEB!$F$214,'Control panel'!$C$17:$C$19,0),0)</f>
        <v>0</v>
      </c>
      <c r="AP98" s="29"/>
    </row>
    <row r="99" spans="1:42" outlineLevel="1" x14ac:dyDescent="0.25">
      <c r="A99" s="12"/>
      <c r="B99" s="13"/>
      <c r="C99" s="45" t="s">
        <v>120</v>
      </c>
      <c r="D99" s="45"/>
      <c r="E99" s="15" t="s">
        <v>318</v>
      </c>
      <c r="F99" s="158" t="str">
        <f>Dashboard!$I$43</f>
        <v>2 Axle rigid</v>
      </c>
      <c r="G99" s="14"/>
      <c r="H99" s="62"/>
      <c r="I99" s="177">
        <f>IF($C$99=$F$99,I16*Data!$E$129*Data!H$61,0)*(1+I98)*(1+Data!$E$91)</f>
        <v>124310.52967544652</v>
      </c>
      <c r="J99" s="177">
        <f>IF($C$99=$F$99,J16*Data!$E$129*Data!I$61,0)*(1+J98)*(1+Data!$E$91)</f>
        <v>99306.774091390267</v>
      </c>
      <c r="K99" s="177">
        <f>IF($C$99=$F$99,K16*Data!$E$129*Data!J$61,0)*(1+K98)*(1+Data!$E$91)</f>
        <v>99306.774091390267</v>
      </c>
      <c r="L99" s="177">
        <f>IF($C$99=$F$99,L16*Data!$E$129*Data!K$61,0)*(1+L98)*(1+Data!$E$91)</f>
        <v>99306.774091390267</v>
      </c>
      <c r="M99" s="177">
        <f>IF($C$99=$F$99,M16*Data!$E$129*Data!L$61,0)*(1+M98)*(1+Data!$E$91)</f>
        <v>99306.774091390267</v>
      </c>
      <c r="N99" s="177">
        <f>IF($C$99=$F$99,N16*Data!$E$129*Data!M$61,0)*(1+N98)*(1+Data!$E$91)</f>
        <v>99306.774091390267</v>
      </c>
      <c r="O99" s="177">
        <f>IF($C$99=$F$99,O16*Data!$E$129*Data!N$61,0)*(1+O98)*(1+Data!$E$91)</f>
        <v>99306.774091390267</v>
      </c>
      <c r="P99" s="177">
        <f>IF($C$99=$F$99,P16*Data!$E$129*Data!O$61,0)*(1+P98)*(1+Data!$E$91)</f>
        <v>99306.774091390267</v>
      </c>
      <c r="Q99" s="177">
        <f>IF($C$99=$F$99,Q16*Data!$E$129*Data!P$61,0)*(1+Q98)*(1+Data!$E$91)</f>
        <v>99306.774091390267</v>
      </c>
      <c r="R99" s="177">
        <f>IF($C$99=$F$99,R16*Data!$E$129*Data!Q$61,0)*(1+R98)*(1+Data!$E$91)</f>
        <v>99306.774091390267</v>
      </c>
      <c r="S99" s="177">
        <f>IF($C$99=$F$99,S16*Data!$E$129*Data!R$61,0)*(1+S98)*(1+Data!$E$91)</f>
        <v>99306.774091390267</v>
      </c>
      <c r="T99" s="177">
        <f>IF($C$99=$F$99,T16*Data!$E$129*Data!S$61,0)*(1+T98)*(1+Data!$E$91)</f>
        <v>99306.774091390267</v>
      </c>
      <c r="U99" s="177">
        <f>IF($C$99=$F$99,U16*Data!$E$129*Data!T$61,0)*(1+U98)*(1+Data!$E$91)</f>
        <v>0</v>
      </c>
      <c r="V99" s="177">
        <f>IF($C$99=$F$99,V16*Data!$E$129*Data!U$61,0)*(1+V98)*(1+Data!$E$91)</f>
        <v>0</v>
      </c>
      <c r="W99" s="177">
        <f>IF($C$99=$F$99,W16*Data!$E$129*Data!V$61,0)*(1+W98)*(1+Data!$E$91)</f>
        <v>0</v>
      </c>
      <c r="X99" s="177">
        <f>IF($C$99=$F$99,X16*Data!$E$129*Data!W$61,0)*(1+X98)*(1+Data!$E$91)</f>
        <v>0</v>
      </c>
      <c r="Y99" s="177">
        <f>IF($C$99=$F$99,Y16*Data!$E$129*Data!X$61,0)*(1+Y98)*(1+Data!$E$91)</f>
        <v>0</v>
      </c>
      <c r="Z99" s="177">
        <f>IF($C$99=$F$99,Z16*Data!$E$129*Data!Y$61,0)*(1+Z98)*(1+Data!$E$91)</f>
        <v>0</v>
      </c>
      <c r="AA99" s="177">
        <f>IF($C$99=$F$99,AA16*Data!$E$129*Data!Z$61,0)*(1+AA98)*(1+Data!$E$91)</f>
        <v>0</v>
      </c>
      <c r="AB99" s="177">
        <f>IF($C$99=$F$99,AB16*Data!$E$129*Data!AA$61,0)*(1+AB98)*(1+Data!$E$91)</f>
        <v>0</v>
      </c>
      <c r="AC99" s="177">
        <f>IF($C$99=$F$99,AC16*Data!$E$129*Data!AB$61,0)*(1+AC98)*(1+Data!$E$91)</f>
        <v>0</v>
      </c>
      <c r="AD99" s="177">
        <f>IF($C$99=$F$99,AD16*Data!$E$129*Data!AC$61,0)*(1+AD98)*(1+Data!$E$91)</f>
        <v>0</v>
      </c>
      <c r="AE99" s="177">
        <f>IF($C$99=$F$99,AE16*Data!$E$129*Data!AD$61,0)*(1+AE98)*(1+Data!$E$91)</f>
        <v>0</v>
      </c>
      <c r="AF99" s="177">
        <f>IF($C$99=$F$99,AF16*Data!$E$129*Data!AE$61,0)*(1+AF98)*(1+Data!$E$91)</f>
        <v>0</v>
      </c>
      <c r="AG99" s="177">
        <f>IF($C$99=$F$99,AG16*Data!$E$129*Data!AF$61,0)*(1+AG98)*(1+Data!$E$91)</f>
        <v>0</v>
      </c>
      <c r="AH99" s="177">
        <f>IF($C$99=$F$99,AH16*Data!$E$129*Data!AG$61,0)*(1+AH98)*(1+Data!$E$91)</f>
        <v>0</v>
      </c>
      <c r="AI99" s="177">
        <f>IF($C$99=$F$99,AI16*Data!$E$129*Data!AH$61,0)*(1+AI98)*(1+Data!$E$91)</f>
        <v>0</v>
      </c>
      <c r="AJ99" s="177">
        <f>IF($C$99=$F$99,AJ16*Data!$E$129*Data!AI$61,0)*(1+AJ98)*(1+Data!$E$91)</f>
        <v>0</v>
      </c>
      <c r="AK99" s="177">
        <f>IF($C$99=$F$99,AK16*Data!$E$129*Data!AJ$61,0)*(1+AK98)*(1+Data!$E$91)</f>
        <v>0</v>
      </c>
      <c r="AL99" s="177">
        <f>IF($C$99=$F$99,AL16*Data!$E$129*Data!AK$61,0)*(1+AL98)*(1+Data!$E$91)</f>
        <v>0</v>
      </c>
      <c r="AM99" s="177">
        <f>IF($C$99=$F$99,AM16*Data!$E$129*Data!AL$61,0)*(1+AM98)*(1+Data!$E$91)</f>
        <v>0</v>
      </c>
      <c r="AN99" s="177">
        <f>IF($C$99=$F$99,AN16*Data!$E$129*Data!AM$61,0)*(1+AN98)*(1+Data!$E$91)</f>
        <v>0</v>
      </c>
      <c r="AO99" s="177">
        <f>IF($C$99=$F$99,AO16*Data!$E$129*Data!AN$61,0)*(1+AO98)*(1+Data!$E$91)</f>
        <v>0</v>
      </c>
      <c r="AP99" s="29"/>
    </row>
    <row r="100" spans="1:42" outlineLevel="1" x14ac:dyDescent="0.25">
      <c r="A100" s="12"/>
      <c r="B100" s="13"/>
      <c r="C100" s="45" t="s">
        <v>124</v>
      </c>
      <c r="D100" s="45"/>
      <c r="E100" s="15" t="s">
        <v>318</v>
      </c>
      <c r="F100" s="158" t="str">
        <f>Dashboard!$I$43</f>
        <v>2 Axle rigid</v>
      </c>
      <c r="G100" s="14"/>
      <c r="H100" s="62"/>
      <c r="I100" s="177">
        <f>IF($C$100=$F$100,I16*Data!$E$130*Data!H$61,0)*(1+I98)*(1+Data!$E$91)</f>
        <v>0</v>
      </c>
      <c r="J100" s="177">
        <f>IF($C$100=$F$100,J16*Data!$E$130*Data!I$61,0)*(1+J98)*(1+Data!$E$91)</f>
        <v>0</v>
      </c>
      <c r="K100" s="177">
        <f>IF($C$100=$F$100,K16*Data!$E$130*Data!J$61,0)*(1+K98)*(1+Data!$E$91)</f>
        <v>0</v>
      </c>
      <c r="L100" s="177">
        <f>IF($C$100=$F$100,L16*Data!$E$130*Data!K$61,0)*(1+L98)*(1+Data!$E$91)</f>
        <v>0</v>
      </c>
      <c r="M100" s="177">
        <f>IF($C$100=$F$100,M16*Data!$E$130*Data!L$61,0)*(1+M98)*(1+Data!$E$91)</f>
        <v>0</v>
      </c>
      <c r="N100" s="177">
        <f>IF($C$100=$F$100,N16*Data!$E$130*Data!M$61,0)*(1+N98)*(1+Data!$E$91)</f>
        <v>0</v>
      </c>
      <c r="O100" s="177">
        <f>IF($C$100=$F$100,O16*Data!$E$130*Data!N$61,0)*(1+O98)*(1+Data!$E$91)</f>
        <v>0</v>
      </c>
      <c r="P100" s="177">
        <f>IF($C$100=$F$100,P16*Data!$E$130*Data!O$61,0)*(1+P98)*(1+Data!$E$91)</f>
        <v>0</v>
      </c>
      <c r="Q100" s="177">
        <f>IF($C$100=$F$100,Q16*Data!$E$130*Data!P$61,0)*(1+Q98)*(1+Data!$E$91)</f>
        <v>0</v>
      </c>
      <c r="R100" s="177">
        <f>IF($C$100=$F$100,R16*Data!$E$130*Data!Q$61,0)*(1+R98)*(1+Data!$E$91)</f>
        <v>0</v>
      </c>
      <c r="S100" s="177">
        <f>IF($C$100=$F$100,S16*Data!$E$130*Data!R$61,0)*(1+S98)*(1+Data!$E$91)</f>
        <v>0</v>
      </c>
      <c r="T100" s="177">
        <f>IF($C$100=$F$100,T16*Data!$E$130*Data!S$61,0)*(1+T98)*(1+Data!$E$91)</f>
        <v>0</v>
      </c>
      <c r="U100" s="177">
        <f>IF($C$100=$F$100,U16*Data!$E$130*Data!T$61,0)*(1+U98)*(1+Data!$E$91)</f>
        <v>0</v>
      </c>
      <c r="V100" s="177">
        <f>IF($C$100=$F$100,V16*Data!$E$130*Data!U$61,0)*(1+V98)*(1+Data!$E$91)</f>
        <v>0</v>
      </c>
      <c r="W100" s="177">
        <f>IF($C$100=$F$100,W16*Data!$E$130*Data!V$61,0)*(1+W98)*(1+Data!$E$91)</f>
        <v>0</v>
      </c>
      <c r="X100" s="177">
        <f>IF($C$100=$F$100,X16*Data!$E$130*Data!W$61,0)*(1+X98)*(1+Data!$E$91)</f>
        <v>0</v>
      </c>
      <c r="Y100" s="177">
        <f>IF($C$100=$F$100,Y16*Data!$E$130*Data!X$61,0)*(1+Y98)*(1+Data!$E$91)</f>
        <v>0</v>
      </c>
      <c r="Z100" s="177">
        <f>IF($C$100=$F$100,Z16*Data!$E$130*Data!Y$61,0)*(1+Z98)*(1+Data!$E$91)</f>
        <v>0</v>
      </c>
      <c r="AA100" s="177">
        <f>IF($C$100=$F$100,AA16*Data!$E$130*Data!Z$61,0)*(1+AA98)*(1+Data!$E$91)</f>
        <v>0</v>
      </c>
      <c r="AB100" s="177">
        <f>IF($C$100=$F$100,AB16*Data!$E$130*Data!AA$61,0)*(1+AB98)*(1+Data!$E$91)</f>
        <v>0</v>
      </c>
      <c r="AC100" s="177">
        <f>IF($C$100=$F$100,AC16*Data!$E$130*Data!AB$61,0)*(1+AC98)*(1+Data!$E$91)</f>
        <v>0</v>
      </c>
      <c r="AD100" s="177">
        <f>IF($C$100=$F$100,AD16*Data!$E$130*Data!AC$61,0)*(1+AD98)*(1+Data!$E$91)</f>
        <v>0</v>
      </c>
      <c r="AE100" s="177">
        <f>IF($C$100=$F$100,AE16*Data!$E$130*Data!AD$61,0)*(1+AE98)*(1+Data!$E$91)</f>
        <v>0</v>
      </c>
      <c r="AF100" s="177">
        <f>IF($C$100=$F$100,AF16*Data!$E$130*Data!AE$61,0)*(1+AF98)*(1+Data!$E$91)</f>
        <v>0</v>
      </c>
      <c r="AG100" s="177">
        <f>IF($C$100=$F$100,AG16*Data!$E$130*Data!AF$61,0)*(1+AG98)*(1+Data!$E$91)</f>
        <v>0</v>
      </c>
      <c r="AH100" s="177">
        <f>IF($C$100=$F$100,AH16*Data!$E$130*Data!AG$61,0)*(1+AH98)*(1+Data!$E$91)</f>
        <v>0</v>
      </c>
      <c r="AI100" s="177">
        <f>IF($C$100=$F$100,AI16*Data!$E$130*Data!AH$61,0)*(1+AI98)*(1+Data!$E$91)</f>
        <v>0</v>
      </c>
      <c r="AJ100" s="177">
        <f>IF($C$100=$F$100,AJ16*Data!$E$130*Data!AI$61,0)*(1+AJ98)*(1+Data!$E$91)</f>
        <v>0</v>
      </c>
      <c r="AK100" s="177">
        <f>IF($C$100=$F$100,AK16*Data!$E$130*Data!AJ$61,0)*(1+AK98)*(1+Data!$E$91)</f>
        <v>0</v>
      </c>
      <c r="AL100" s="177">
        <f>IF($C$100=$F$100,AL16*Data!$E$130*Data!AK$61,0)*(1+AL98)*(1+Data!$E$91)</f>
        <v>0</v>
      </c>
      <c r="AM100" s="177">
        <f>IF($C$100=$F$100,AM16*Data!$E$130*Data!AL$61,0)*(1+AM98)*(1+Data!$E$91)</f>
        <v>0</v>
      </c>
      <c r="AN100" s="177">
        <f>IF($C$100=$F$100,AN16*Data!$E$130*Data!AM$61,0)*(1+AN98)*(1+Data!$E$91)</f>
        <v>0</v>
      </c>
      <c r="AO100" s="177">
        <f>IF($C$100=$F$100,AO16*Data!$E$130*Data!AN$61,0)*(1+AO98)*(1+Data!$E$91)</f>
        <v>0</v>
      </c>
      <c r="AP100" s="29"/>
    </row>
    <row r="101" spans="1:42" outlineLevel="1" x14ac:dyDescent="0.25">
      <c r="A101" s="12"/>
      <c r="B101" s="13"/>
      <c r="C101" s="45" t="s">
        <v>126</v>
      </c>
      <c r="D101" s="45"/>
      <c r="E101" s="15" t="s">
        <v>318</v>
      </c>
      <c r="F101" s="158" t="str">
        <f>Dashboard!$I$43</f>
        <v>2 Axle rigid</v>
      </c>
      <c r="G101" s="14"/>
      <c r="H101" s="62"/>
      <c r="I101" s="177">
        <f>IF($C$101=$F$101,I16*Data!$E$131*Data!H$61,0)*(1+I98)*(1+Data!$E$91)</f>
        <v>0</v>
      </c>
      <c r="J101" s="177">
        <f>IF($C$101=$F$101,J16*Data!$E$131*Data!I$61,0)*(1+J98)*(1+Data!$E$91)</f>
        <v>0</v>
      </c>
      <c r="K101" s="177">
        <f>IF($C$101=$F$101,K16*Data!$E$131*Data!J$61,0)*(1+K98)*(1+Data!$E$91)</f>
        <v>0</v>
      </c>
      <c r="L101" s="177">
        <f>IF($C$101=$F$101,L16*Data!$E$131*Data!K$61,0)*(1+L98)*(1+Data!$E$91)</f>
        <v>0</v>
      </c>
      <c r="M101" s="177">
        <f>IF($C$101=$F$101,M16*Data!$E$131*Data!L$61,0)*(1+M98)*(1+Data!$E$91)</f>
        <v>0</v>
      </c>
      <c r="N101" s="177">
        <f>IF($C$101=$F$101,N16*Data!$E$131*Data!M$61,0)*(1+N98)*(1+Data!$E$91)</f>
        <v>0</v>
      </c>
      <c r="O101" s="177">
        <f>IF($C$101=$F$101,O16*Data!$E$131*Data!N$61,0)*(1+O98)*(1+Data!$E$91)</f>
        <v>0</v>
      </c>
      <c r="P101" s="177">
        <f>IF($C$101=$F$101,P16*Data!$E$131*Data!O$61,0)*(1+P98)*(1+Data!$E$91)</f>
        <v>0</v>
      </c>
      <c r="Q101" s="177">
        <f>IF($C$101=$F$101,Q16*Data!$E$131*Data!P$61,0)*(1+Q98)*(1+Data!$E$91)</f>
        <v>0</v>
      </c>
      <c r="R101" s="177">
        <f>IF($C$101=$F$101,R16*Data!$E$131*Data!Q$61,0)*(1+R98)*(1+Data!$E$91)</f>
        <v>0</v>
      </c>
      <c r="S101" s="177">
        <f>IF($C$101=$F$101,S16*Data!$E$131*Data!R$61,0)*(1+S98)*(1+Data!$E$91)</f>
        <v>0</v>
      </c>
      <c r="T101" s="177">
        <f>IF($C$101=$F$101,T16*Data!$E$131*Data!S$61,0)*(1+T98)*(1+Data!$E$91)</f>
        <v>0</v>
      </c>
      <c r="U101" s="177">
        <f>IF($C$101=$F$101,U16*Data!$E$131*Data!T$61,0)*(1+U98)*(1+Data!$E$91)</f>
        <v>0</v>
      </c>
      <c r="V101" s="177">
        <f>IF($C$101=$F$101,V16*Data!$E$131*Data!U$61,0)*(1+V98)*(1+Data!$E$91)</f>
        <v>0</v>
      </c>
      <c r="W101" s="177">
        <f>IF($C$101=$F$101,W16*Data!$E$131*Data!V$61,0)*(1+W98)*(1+Data!$E$91)</f>
        <v>0</v>
      </c>
      <c r="X101" s="177">
        <f>IF($C$101=$F$101,X16*Data!$E$131*Data!W$61,0)*(1+X98)*(1+Data!$E$91)</f>
        <v>0</v>
      </c>
      <c r="Y101" s="177">
        <f>IF($C$101=$F$101,Y16*Data!$E$131*Data!X$61,0)*(1+Y98)*(1+Data!$E$91)</f>
        <v>0</v>
      </c>
      <c r="Z101" s="177">
        <f>IF($C$101=$F$101,Z16*Data!$E$131*Data!Y$61,0)*(1+Z98)*(1+Data!$E$91)</f>
        <v>0</v>
      </c>
      <c r="AA101" s="177">
        <f>IF($C$101=$F$101,AA16*Data!$E$131*Data!Z$61,0)*(1+AA98)*(1+Data!$E$91)</f>
        <v>0</v>
      </c>
      <c r="AB101" s="177">
        <f>IF($C$101=$F$101,AB16*Data!$E$131*Data!AA$61,0)*(1+AB98)*(1+Data!$E$91)</f>
        <v>0</v>
      </c>
      <c r="AC101" s="177">
        <f>IF($C$101=$F$101,AC16*Data!$E$131*Data!AB$61,0)*(1+AC98)*(1+Data!$E$91)</f>
        <v>0</v>
      </c>
      <c r="AD101" s="177">
        <f>IF($C$101=$F$101,AD16*Data!$E$131*Data!AC$61,0)*(1+AD98)*(1+Data!$E$91)</f>
        <v>0</v>
      </c>
      <c r="AE101" s="177">
        <f>IF($C$101=$F$101,AE16*Data!$E$131*Data!AD$61,0)*(1+AE98)*(1+Data!$E$91)</f>
        <v>0</v>
      </c>
      <c r="AF101" s="177">
        <f>IF($C$101=$F$101,AF16*Data!$E$131*Data!AE$61,0)*(1+AF98)*(1+Data!$E$91)</f>
        <v>0</v>
      </c>
      <c r="AG101" s="177">
        <f>IF($C$101=$F$101,AG16*Data!$E$131*Data!AF$61,0)*(1+AG98)*(1+Data!$E$91)</f>
        <v>0</v>
      </c>
      <c r="AH101" s="177">
        <f>IF($C$101=$F$101,AH16*Data!$E$131*Data!AG$61,0)*(1+AH98)*(1+Data!$E$91)</f>
        <v>0</v>
      </c>
      <c r="AI101" s="177">
        <f>IF($C$101=$F$101,AI16*Data!$E$131*Data!AH$61,0)*(1+AI98)*(1+Data!$E$91)</f>
        <v>0</v>
      </c>
      <c r="AJ101" s="177">
        <f>IF($C$101=$F$101,AJ16*Data!$E$131*Data!AI$61,0)*(1+AJ98)*(1+Data!$E$91)</f>
        <v>0</v>
      </c>
      <c r="AK101" s="177">
        <f>IF($C$101=$F$101,AK16*Data!$E$131*Data!AJ$61,0)*(1+AK98)*(1+Data!$E$91)</f>
        <v>0</v>
      </c>
      <c r="AL101" s="177">
        <f>IF($C$101=$F$101,AL16*Data!$E$131*Data!AK$61,0)*(1+AL98)*(1+Data!$E$91)</f>
        <v>0</v>
      </c>
      <c r="AM101" s="177">
        <f>IF($C$101=$F$101,AM16*Data!$E$131*Data!AL$61,0)*(1+AM98)*(1+Data!$E$91)</f>
        <v>0</v>
      </c>
      <c r="AN101" s="177">
        <f>IF($C$101=$F$101,AN16*Data!$E$131*Data!AM$61,0)*(1+AN98)*(1+Data!$E$91)</f>
        <v>0</v>
      </c>
      <c r="AO101" s="177">
        <f>IF($C$101=$F$101,AO16*Data!$E$131*Data!AN$61,0)*(1+AO98)*(1+Data!$E$91)</f>
        <v>0</v>
      </c>
      <c r="AP101" s="17"/>
    </row>
    <row r="102" spans="1:42" outlineLevel="1" x14ac:dyDescent="0.25">
      <c r="A102" s="12"/>
      <c r="B102" s="13"/>
      <c r="C102" s="19" t="s">
        <v>476</v>
      </c>
      <c r="D102" s="45"/>
      <c r="E102" s="15"/>
      <c r="F102" s="158"/>
      <c r="G102" s="14"/>
      <c r="H102" s="28"/>
      <c r="I102" s="182">
        <f>SUM(I90:I92)+I95+I94+SUM(I99:I101)</f>
        <v>228243.96967544651</v>
      </c>
      <c r="J102" s="182">
        <f t="shared" ref="J102:AN102" si="8">SUM(J90:J92)+J95+J94+SUM(J99:J101)</f>
        <v>203240.21409139025</v>
      </c>
      <c r="K102" s="182">
        <f t="shared" si="8"/>
        <v>203240.21409139025</v>
      </c>
      <c r="L102" s="182">
        <f t="shared" si="8"/>
        <v>203240.21409139025</v>
      </c>
      <c r="M102" s="182">
        <f t="shared" si="8"/>
        <v>203240.21409139025</v>
      </c>
      <c r="N102" s="182">
        <f t="shared" si="8"/>
        <v>203240.21409139025</v>
      </c>
      <c r="O102" s="182">
        <f t="shared" si="8"/>
        <v>203240.21409139025</v>
      </c>
      <c r="P102" s="182">
        <f t="shared" si="8"/>
        <v>203240.21409139025</v>
      </c>
      <c r="Q102" s="182">
        <f t="shared" si="8"/>
        <v>203240.21409139025</v>
      </c>
      <c r="R102" s="182">
        <f t="shared" si="8"/>
        <v>203240.21409139025</v>
      </c>
      <c r="S102" s="182">
        <f t="shared" si="8"/>
        <v>203240.21409139025</v>
      </c>
      <c r="T102" s="182">
        <f t="shared" si="8"/>
        <v>203240.21409139025</v>
      </c>
      <c r="U102" s="182">
        <f t="shared" si="8"/>
        <v>0</v>
      </c>
      <c r="V102" s="182">
        <f t="shared" si="8"/>
        <v>0</v>
      </c>
      <c r="W102" s="182">
        <f t="shared" si="8"/>
        <v>0</v>
      </c>
      <c r="X102" s="182">
        <f t="shared" si="8"/>
        <v>0</v>
      </c>
      <c r="Y102" s="182">
        <f t="shared" si="8"/>
        <v>0</v>
      </c>
      <c r="Z102" s="182">
        <f t="shared" si="8"/>
        <v>0</v>
      </c>
      <c r="AA102" s="182">
        <f t="shared" si="8"/>
        <v>0</v>
      </c>
      <c r="AB102" s="182">
        <f t="shared" si="8"/>
        <v>0</v>
      </c>
      <c r="AC102" s="182">
        <f t="shared" si="8"/>
        <v>0</v>
      </c>
      <c r="AD102" s="182">
        <f t="shared" si="8"/>
        <v>0</v>
      </c>
      <c r="AE102" s="182">
        <f t="shared" si="8"/>
        <v>0</v>
      </c>
      <c r="AF102" s="182">
        <f t="shared" si="8"/>
        <v>0</v>
      </c>
      <c r="AG102" s="182">
        <f t="shared" si="8"/>
        <v>0</v>
      </c>
      <c r="AH102" s="182">
        <f t="shared" si="8"/>
        <v>0</v>
      </c>
      <c r="AI102" s="182">
        <f t="shared" si="8"/>
        <v>0</v>
      </c>
      <c r="AJ102" s="182">
        <f t="shared" si="8"/>
        <v>0</v>
      </c>
      <c r="AK102" s="182">
        <f t="shared" si="8"/>
        <v>0</v>
      </c>
      <c r="AL102" s="182">
        <f t="shared" si="8"/>
        <v>0</v>
      </c>
      <c r="AM102" s="182">
        <f t="shared" si="8"/>
        <v>0</v>
      </c>
      <c r="AN102" s="182">
        <f t="shared" si="8"/>
        <v>0</v>
      </c>
      <c r="AO102" s="182">
        <f>SUM(AO90:AO92)+AO95+AO94+SUM(AO99:AO101)</f>
        <v>0</v>
      </c>
      <c r="AP102" s="29"/>
    </row>
    <row r="103" spans="1:42" outlineLevel="1" x14ac:dyDescent="0.25">
      <c r="A103" s="12"/>
      <c r="B103" s="13"/>
      <c r="C103" s="96"/>
      <c r="D103" s="45"/>
      <c r="E103" s="15"/>
      <c r="F103" s="158"/>
      <c r="G103" s="14"/>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9"/>
    </row>
    <row r="104" spans="1:42" outlineLevel="1" x14ac:dyDescent="0.25">
      <c r="A104" s="12"/>
      <c r="B104" s="13"/>
      <c r="C104" s="37" t="s">
        <v>477</v>
      </c>
      <c r="D104" s="37"/>
      <c r="E104" s="38"/>
      <c r="F104" s="39"/>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17"/>
    </row>
    <row r="105" spans="1:42" s="140" customFormat="1" x14ac:dyDescent="0.25">
      <c r="A105" s="78"/>
      <c r="B105" s="19"/>
      <c r="C105" s="44" t="s">
        <v>249</v>
      </c>
      <c r="D105" s="44"/>
      <c r="E105" s="21" t="s">
        <v>142</v>
      </c>
      <c r="F105" s="375" t="str">
        <f>Dashboard!I43</f>
        <v>2 Axle rigid</v>
      </c>
      <c r="G105" s="20"/>
      <c r="H105" s="49"/>
      <c r="I105" s="182">
        <f>-IF(COUNT($I$3:I$3)=(Dashboard!$I$31+1),INDEX(Data!$E$99:$E$101,MATCH($F$105,Data!$B$99:$B$101,0)),0)</f>
        <v>0</v>
      </c>
      <c r="J105" s="182">
        <f>-IF(COUNT($I$3:J$3)=(Dashboard!$I$31+1),INDEX(Data!$E$99:$E$101,MATCH($F$105,Data!$B$99:$B$101,0)),0)</f>
        <v>0</v>
      </c>
      <c r="K105" s="182">
        <f>-IF(COUNT($I$3:K$3)=(Dashboard!$I$31+1),INDEX(Data!$E$99:$E$101,MATCH($F$105,Data!$B$99:$B$101,0)),0)</f>
        <v>0</v>
      </c>
      <c r="L105" s="182">
        <f>-IF(COUNT($I$3:L$3)=(Dashboard!$I$31+1),INDEX(Data!$E$99:$E$101,MATCH($F$105,Data!$B$99:$B$101,0)),0)</f>
        <v>0</v>
      </c>
      <c r="M105" s="182">
        <f>-IF(COUNT($I$3:M$3)=(Dashboard!$I$31+1),INDEX(Data!$E$99:$E$101,MATCH($F$105,Data!$B$99:$B$101,0)),0)</f>
        <v>0</v>
      </c>
      <c r="N105" s="182">
        <f>-IF(COUNT($I$3:N$3)=(Dashboard!$I$31+1),INDEX(Data!$E$99:$E$101,MATCH($F$105,Data!$B$99:$B$101,0)),0)</f>
        <v>0</v>
      </c>
      <c r="O105" s="182">
        <f>-IF(COUNT($I$3:O$3)=(Dashboard!$I$31+1),INDEX(Data!$E$99:$E$101,MATCH($F$105,Data!$B$99:$B$101,0)),0)</f>
        <v>0</v>
      </c>
      <c r="P105" s="182">
        <f>-IF(COUNT($I$3:P$3)=(Dashboard!$I$31+1),INDEX(Data!$E$99:$E$101,MATCH($F$105,Data!$B$99:$B$101,0)),0)</f>
        <v>0</v>
      </c>
      <c r="Q105" s="182">
        <f>-IF(COUNT($I$3:Q$3)=(Dashboard!$I$31+1),INDEX(Data!$E$99:$E$101,MATCH($F$105,Data!$B$99:$B$101,0)),0)</f>
        <v>0</v>
      </c>
      <c r="R105" s="182">
        <f>-IF(COUNT($I$3:R$3)=(Dashboard!$I$31+1),INDEX(Data!$E$99:$E$101,MATCH($F$105,Data!$B$99:$B$101,0)),0)</f>
        <v>0</v>
      </c>
      <c r="S105" s="182">
        <f>-IF(COUNT($I$3:S$3)=(Dashboard!$I$31+1),INDEX(Data!$E$99:$E$101,MATCH($F$105,Data!$B$99:$B$101,0)),0)</f>
        <v>0</v>
      </c>
      <c r="T105" s="182">
        <f>-IF(COUNT($I$3:T$3)=(Dashboard!$I$31+1),INDEX(Data!$E$99:$E$101,MATCH($F$105,Data!$B$99:$B$101,0)),0)</f>
        <v>0</v>
      </c>
      <c r="U105" s="182">
        <f>-IF(COUNT($I$3:U$3)=(Dashboard!$I$31+1),INDEX(Data!$E$99:$E$101,MATCH($F$105,Data!$B$99:$B$101,0)),0)</f>
        <v>-52500</v>
      </c>
      <c r="V105" s="182">
        <f>-IF(COUNT($I$3:V$3)=(Dashboard!$I$31+1),INDEX(Data!$E$99:$E$101,MATCH($F$105,Data!$B$99:$B$101,0)),0)</f>
        <v>0</v>
      </c>
      <c r="W105" s="182">
        <f>-IF(COUNT($I$3:W$3)=(Dashboard!$I$31+1),INDEX(Data!$E$99:$E$101,MATCH($F$105,Data!$B$99:$B$101,0)),0)</f>
        <v>0</v>
      </c>
      <c r="X105" s="182">
        <f>-IF(COUNT($I$3:X$3)=(Dashboard!$I$31+1),INDEX(Data!$E$99:$E$101,MATCH($F$105,Data!$B$99:$B$101,0)),0)</f>
        <v>0</v>
      </c>
      <c r="Y105" s="182">
        <f>-IF(COUNT($I$3:Y$3)=(Dashboard!$I$31+1),INDEX(Data!$E$99:$E$101,MATCH($F$105,Data!$B$99:$B$101,0)),0)</f>
        <v>0</v>
      </c>
      <c r="Z105" s="182">
        <f>-IF(COUNT($I$3:Z$3)=(Dashboard!$I$31+1),INDEX(Data!$E$99:$E$101,MATCH($F$105,Data!$B$99:$B$101,0)),0)</f>
        <v>0</v>
      </c>
      <c r="AA105" s="182">
        <f>-IF(COUNT($I$3:AA$3)=(Dashboard!$I$31+1),INDEX(Data!$E$99:$E$101,MATCH($F$105,Data!$B$99:$B$101,0)),0)</f>
        <v>0</v>
      </c>
      <c r="AB105" s="182">
        <f>-IF(COUNT($I$3:AB$3)=(Dashboard!$I$31+1),INDEX(Data!$E$99:$E$101,MATCH($F$105,Data!$B$99:$B$101,0)),0)</f>
        <v>0</v>
      </c>
      <c r="AC105" s="182">
        <f>-IF(COUNT($I$3:AC$3)=(Dashboard!$I$31+1),INDEX(Data!$E$99:$E$101,MATCH($F$105,Data!$B$99:$B$101,0)),0)</f>
        <v>0</v>
      </c>
      <c r="AD105" s="182">
        <f>-IF(COUNT($I$3:AD$3)=(Dashboard!$I$31+1),INDEX(Data!$E$99:$E$101,MATCH($F$105,Data!$B$99:$B$101,0)),0)</f>
        <v>0</v>
      </c>
      <c r="AE105" s="182">
        <f>-IF(COUNT($I$3:AE$3)=(Dashboard!$I$31+1),INDEX(Data!$E$99:$E$101,MATCH($F$105,Data!$B$99:$B$101,0)),0)</f>
        <v>0</v>
      </c>
      <c r="AF105" s="182">
        <f>-IF(COUNT($I$3:AF$3)=(Dashboard!$I$31+1),INDEX(Data!$E$99:$E$101,MATCH($F$105,Data!$B$99:$B$101,0)),0)</f>
        <v>0</v>
      </c>
      <c r="AG105" s="182">
        <f>-IF(COUNT($I$3:AG$3)=(Dashboard!$I$31+1),INDEX(Data!$E$99:$E$101,MATCH($F$105,Data!$B$99:$B$101,0)),0)</f>
        <v>0</v>
      </c>
      <c r="AH105" s="182">
        <f>-IF(COUNT($I$3:AH$3)=(Dashboard!$I$31+1),INDEX(Data!$E$99:$E$101,MATCH($F$105,Data!$B$99:$B$101,0)),0)</f>
        <v>0</v>
      </c>
      <c r="AI105" s="182">
        <f>-IF(COUNT($I$3:AI$3)=(Dashboard!$I$31+1),INDEX(Data!$E$99:$E$101,MATCH($F$105,Data!$B$99:$B$101,0)),0)</f>
        <v>0</v>
      </c>
      <c r="AJ105" s="182">
        <f>-IF(COUNT($I$3:AJ$3)=(Dashboard!$I$31+1),INDEX(Data!$E$99:$E$101,MATCH($F$105,Data!$B$99:$B$101,0)),0)</f>
        <v>0</v>
      </c>
      <c r="AK105" s="182">
        <f>-IF(COUNT($I$3:AK$3)=(Dashboard!$I$31+1),INDEX(Data!$E$99:$E$101,MATCH($F$105,Data!$B$99:$B$101,0)),0)</f>
        <v>0</v>
      </c>
      <c r="AL105" s="182">
        <f>-IF(COUNT($I$3:AL$3)=(Dashboard!$I$31+1),INDEX(Data!$E$99:$E$101,MATCH($F$105,Data!$B$99:$B$101,0)),0)</f>
        <v>0</v>
      </c>
      <c r="AM105" s="182">
        <f>-IF(COUNT($I$3:AM$3)=(Dashboard!$I$31+1),INDEX(Data!$E$99:$E$101,MATCH($F$105,Data!$B$99:$B$101,0)),0)</f>
        <v>0</v>
      </c>
      <c r="AN105" s="182">
        <f>-IF(COUNT($I$3:AN$3)=(Dashboard!$I$31+1),INDEX(Data!$E$99:$E$101,MATCH($F$105,Data!$B$99:$B$101,0)),0)</f>
        <v>0</v>
      </c>
      <c r="AO105" s="182">
        <f>-IF(COUNT($I$3:AO$3)=(Dashboard!$I$31+1),INDEX(Data!$E$99:$E$101,MATCH($F$105,Data!$B$99:$B$101,0)),0)</f>
        <v>0</v>
      </c>
      <c r="AP105" s="50"/>
    </row>
    <row r="106" spans="1:42" outlineLevel="1" x14ac:dyDescent="0.25">
      <c r="A106" s="12"/>
      <c r="B106" s="13"/>
      <c r="C106" s="96"/>
      <c r="D106" s="45"/>
      <c r="E106" s="15"/>
      <c r="F106" s="16"/>
      <c r="G106" s="14"/>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9"/>
    </row>
    <row r="107" spans="1:42" outlineLevel="1" x14ac:dyDescent="0.25">
      <c r="A107" s="12"/>
      <c r="B107" s="13"/>
      <c r="C107" s="20" t="s">
        <v>478</v>
      </c>
      <c r="D107" s="14"/>
      <c r="E107" s="15" t="s">
        <v>142</v>
      </c>
      <c r="F107" s="16"/>
      <c r="G107" s="231">
        <f>SUM(I107:AO107)</f>
        <v>2677471.1056749411</v>
      </c>
      <c r="H107" s="46"/>
      <c r="I107" s="56">
        <f>(I83+I102-I86+I105)*Data!H$9</f>
        <v>219465.3554571601</v>
      </c>
      <c r="J107" s="56">
        <f>(J83+J102-J86+J105)*Data!I$9</f>
        <v>187907.00267325281</v>
      </c>
      <c r="K107" s="56">
        <f>(K83+K102-K86+K105)*Data!J$9</f>
        <v>180679.81026274309</v>
      </c>
      <c r="L107" s="56">
        <f>(L83+L102-L86+L105)*Data!K$9</f>
        <v>173730.58679109911</v>
      </c>
      <c r="M107" s="56">
        <f>(M83+M102-M86+M105)*Data!L$9</f>
        <v>167048.64114528758</v>
      </c>
      <c r="N107" s="56">
        <f>(N83+N102-N86+N105)*Data!M$9</f>
        <v>160623.69340893035</v>
      </c>
      <c r="O107" s="56">
        <f>(O83+O102-O86+O105)*Data!N$9</f>
        <v>154445.85904704846</v>
      </c>
      <c r="P107" s="56">
        <f>(P83+P102-P86+P105)*Data!O$9</f>
        <v>148505.63369908501</v>
      </c>
      <c r="Q107" s="56">
        <f>(Q83+Q102-Q86+Q105)*Data!P$9</f>
        <v>142793.8785568125</v>
      </c>
      <c r="R107" s="56">
        <f>(R83+R102-R86+R105)*Data!Q$9</f>
        <v>137301.80630462739</v>
      </c>
      <c r="S107" s="56">
        <f>(S83+S102-S86+S105)*Data!R$9</f>
        <v>132020.9676006033</v>
      </c>
      <c r="T107" s="56">
        <f>(T83+T102-T86+T105)*Data!S$9</f>
        <v>126943.23807750313</v>
      </c>
      <c r="U107" s="56">
        <f>(U83+U102-U86+U105)*Data!T$9</f>
        <v>25393.477113975492</v>
      </c>
      <c r="V107" s="56">
        <f>(V83+V102-V86+V105)*Data!U$9</f>
        <v>54712.16961702484</v>
      </c>
      <c r="W107" s="56">
        <f>(W83+W102-W86+W105)*Data!V$9</f>
        <v>52585.713306884601</v>
      </c>
      <c r="X107" s="56">
        <f>(X83+X102-X86+X105)*Data!W$9</f>
        <v>50542.562827734102</v>
      </c>
      <c r="Y107" s="56">
        <f>(Y83+Y102-Y86+Y105)*Data!X$9</f>
        <v>48580.05702106806</v>
      </c>
      <c r="Z107" s="56">
        <f>(Z83+Z102-Z86+Z105)*Data!Y$9</f>
        <v>46694.964977622505</v>
      </c>
      <c r="AA107" s="56">
        <f>(AA83+AA102-AA86+AA105)*Data!Z$9</f>
        <v>44883.975015819909</v>
      </c>
      <c r="AB107" s="56">
        <f>(AB83+AB102-AB86+AB105)*Data!AA$9</f>
        <v>43143.937754554252</v>
      </c>
      <c r="AC107" s="56">
        <f>(AC83+AC102-AC86+AC105)*Data!AB$9</f>
        <v>41471.031120052699</v>
      </c>
      <c r="AD107" s="56">
        <f>(AD83+AD102-AD86+AD105)*Data!AC$9</f>
        <v>39863.81801428803</v>
      </c>
      <c r="AE107" s="56">
        <f>(AE83+AE102-AE86+AE105)*Data!AD$9</f>
        <v>38318.97141656193</v>
      </c>
      <c r="AF107" s="56">
        <f>(AF83+AF102-AF86+AF105)*Data!AE$9</f>
        <v>36833.54716792205</v>
      </c>
      <c r="AG107" s="56">
        <f>(AG83+AG102-AG86+AG105)*Data!AF$9</f>
        <v>35411.461823174446</v>
      </c>
      <c r="AH107" s="56">
        <f>(AH83+AH102-AH86+AH105)*Data!AG$9</f>
        <v>34043.981142099576</v>
      </c>
      <c r="AI107" s="56">
        <f>(AI83+AI102-AI86+AI105)*Data!AH$9</f>
        <v>32728.374796822347</v>
      </c>
      <c r="AJ107" s="56">
        <f>(AJ83+AJ102-AJ86+AJ105)*Data!AI$9</f>
        <v>31463.052335249646</v>
      </c>
      <c r="AK107" s="56">
        <f>(AK83+AK102-AK86+AK105)*Data!AJ$9</f>
        <v>30252.934937740039</v>
      </c>
      <c r="AL107" s="56">
        <f>(AL83+AL102-AL86+AL105)*Data!AK$9</f>
        <v>29089.360517057736</v>
      </c>
      <c r="AM107" s="56">
        <f>(AM83+AM102-AM86+AM105)*Data!AL$9</f>
        <v>27970.53895870936</v>
      </c>
      <c r="AN107" s="56">
        <f>(AN83+AN102-AN86+AN105)*Data!AM$9</f>
        <v>26894.748998758998</v>
      </c>
      <c r="AO107" s="56">
        <f>(AO83+AO102-AO86+AO105)*Data!AN$9</f>
        <v>-24874.046212331348</v>
      </c>
      <c r="AP107" s="17"/>
    </row>
    <row r="108" spans="1:42" outlineLevel="1" x14ac:dyDescent="0.25">
      <c r="A108" s="12"/>
      <c r="B108" s="13"/>
      <c r="C108" s="20"/>
      <c r="D108" s="14"/>
      <c r="E108" s="15"/>
      <c r="F108" s="16"/>
      <c r="G108" s="231"/>
      <c r="H108" s="4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17"/>
    </row>
    <row r="109" spans="1:42" outlineLevel="1" x14ac:dyDescent="0.25">
      <c r="A109" s="12"/>
      <c r="B109" s="13"/>
      <c r="C109" s="37" t="s">
        <v>479</v>
      </c>
      <c r="D109" s="37"/>
      <c r="E109" s="38"/>
      <c r="F109" s="39"/>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17"/>
    </row>
    <row r="110" spans="1:42" outlineLevel="1" x14ac:dyDescent="0.25">
      <c r="A110" s="12"/>
      <c r="B110" s="13"/>
      <c r="C110" s="14" t="s">
        <v>479</v>
      </c>
      <c r="D110" s="14"/>
      <c r="E110" s="15" t="s">
        <v>318</v>
      </c>
      <c r="F110" s="16"/>
      <c r="G110" s="14"/>
      <c r="H110" s="165"/>
      <c r="I110" s="165">
        <f>I64+I83+I102-I86+I105</f>
        <v>228243.96967544651</v>
      </c>
      <c r="J110" s="165">
        <f t="shared" ref="J110:AO110" si="9">J64+J83+J102-J86+J105</f>
        <v>203240.21409139025</v>
      </c>
      <c r="K110" s="165">
        <f t="shared" si="9"/>
        <v>203240.21409139025</v>
      </c>
      <c r="L110" s="165">
        <f t="shared" si="9"/>
        <v>203240.21409139025</v>
      </c>
      <c r="M110" s="165">
        <f t="shared" si="9"/>
        <v>203240.21409139025</v>
      </c>
      <c r="N110" s="165">
        <f t="shared" si="9"/>
        <v>203240.21409139025</v>
      </c>
      <c r="O110" s="165">
        <f t="shared" si="9"/>
        <v>203240.21409139025</v>
      </c>
      <c r="P110" s="165">
        <f t="shared" si="9"/>
        <v>203240.21409139025</v>
      </c>
      <c r="Q110" s="165">
        <f t="shared" si="9"/>
        <v>203240.21409139025</v>
      </c>
      <c r="R110" s="165">
        <f t="shared" si="9"/>
        <v>203240.21409139025</v>
      </c>
      <c r="S110" s="165">
        <f t="shared" si="9"/>
        <v>203240.21409139025</v>
      </c>
      <c r="T110" s="165">
        <f t="shared" si="9"/>
        <v>257527.34820146102</v>
      </c>
      <c r="U110" s="165">
        <f t="shared" si="9"/>
        <v>96569.140111044049</v>
      </c>
      <c r="V110" s="165">
        <f t="shared" si="9"/>
        <v>149030.90963312244</v>
      </c>
      <c r="W110" s="165">
        <f t="shared" si="9"/>
        <v>148991.03297255325</v>
      </c>
      <c r="X110" s="165">
        <f t="shared" si="9"/>
        <v>148952.40639740514</v>
      </c>
      <c r="Y110" s="165">
        <f t="shared" si="9"/>
        <v>148916.25125556166</v>
      </c>
      <c r="Z110" s="165">
        <f t="shared" si="9"/>
        <v>148882.56534676065</v>
      </c>
      <c r="AA110" s="165">
        <f t="shared" si="9"/>
        <v>148850.89988747161</v>
      </c>
      <c r="AB110" s="165">
        <f t="shared" si="9"/>
        <v>148820.81460566798</v>
      </c>
      <c r="AC110" s="165">
        <f t="shared" si="9"/>
        <v>156632.0309591025</v>
      </c>
      <c r="AD110" s="165">
        <f t="shared" si="9"/>
        <v>156603.18087758622</v>
      </c>
      <c r="AE110" s="165">
        <f t="shared" si="9"/>
        <v>156574.53391289269</v>
      </c>
      <c r="AF110" s="165">
        <f t="shared" si="9"/>
        <v>156544.75432766293</v>
      </c>
      <c r="AG110" s="165">
        <f t="shared" si="9"/>
        <v>156530.33094368983</v>
      </c>
      <c r="AH110" s="165">
        <f t="shared" si="9"/>
        <v>156515.07853335654</v>
      </c>
      <c r="AI110" s="165">
        <f t="shared" si="9"/>
        <v>156497.1369015766</v>
      </c>
      <c r="AJ110" s="165">
        <f t="shared" si="9"/>
        <v>156477.52893371007</v>
      </c>
      <c r="AK110" s="165">
        <f t="shared" si="9"/>
        <v>156477.52893371007</v>
      </c>
      <c r="AL110" s="165">
        <f t="shared" si="9"/>
        <v>156477.52893371007</v>
      </c>
      <c r="AM110" s="165">
        <f t="shared" si="9"/>
        <v>156477.52893371007</v>
      </c>
      <c r="AN110" s="165">
        <f t="shared" si="9"/>
        <v>94348.359469318559</v>
      </c>
      <c r="AO110" s="165">
        <f t="shared" si="9"/>
        <v>-90750</v>
      </c>
      <c r="AP110" s="29"/>
    </row>
    <row r="111" spans="1:42" s="140" customFormat="1" outlineLevel="1" x14ac:dyDescent="0.25">
      <c r="A111" s="78"/>
      <c r="B111" s="19"/>
      <c r="C111" s="20" t="s">
        <v>480</v>
      </c>
      <c r="D111" s="20"/>
      <c r="E111" s="21" t="s">
        <v>318</v>
      </c>
      <c r="F111" s="48"/>
      <c r="G111" s="20"/>
      <c r="H111" s="182"/>
      <c r="I111" s="372">
        <f>I110*Data!H$9</f>
        <v>219465.3554571601</v>
      </c>
      <c r="J111" s="372">
        <f>J110*Data!I$9</f>
        <v>187907.00267325281</v>
      </c>
      <c r="K111" s="372">
        <f>K110*Data!J$9</f>
        <v>180679.81026274309</v>
      </c>
      <c r="L111" s="372">
        <f>L110*Data!K$9</f>
        <v>173730.58679109911</v>
      </c>
      <c r="M111" s="372">
        <f>M110*Data!L$9</f>
        <v>167048.64114528758</v>
      </c>
      <c r="N111" s="372">
        <f>N110*Data!M$9</f>
        <v>160623.69340893035</v>
      </c>
      <c r="O111" s="372">
        <f>O110*Data!N$9</f>
        <v>154445.85904704846</v>
      </c>
      <c r="P111" s="372">
        <f>P110*Data!O$9</f>
        <v>148505.63369908501</v>
      </c>
      <c r="Q111" s="372">
        <f>Q110*Data!P$9</f>
        <v>142793.8785568125</v>
      </c>
      <c r="R111" s="372">
        <f>R110*Data!Q$9</f>
        <v>137301.80630462739</v>
      </c>
      <c r="S111" s="372">
        <f>S110*Data!R$9</f>
        <v>132020.9676006033</v>
      </c>
      <c r="T111" s="372">
        <f>T110*Data!S$9</f>
        <v>160850.82187281063</v>
      </c>
      <c r="U111" s="372">
        <f>U110*Data!T$9</f>
        <v>57996.923071001955</v>
      </c>
      <c r="V111" s="372">
        <f>V110*Data!U$9</f>
        <v>86061.636883396437</v>
      </c>
      <c r="W111" s="372">
        <f>W110*Data!V$9</f>
        <v>82729.431832241899</v>
      </c>
      <c r="X111" s="372">
        <f>X110*Data!W$9</f>
        <v>79526.907563654575</v>
      </c>
      <c r="Y111" s="372">
        <f>Y110*Data!X$9</f>
        <v>76449.619267145448</v>
      </c>
      <c r="Z111" s="372">
        <f>Z110*Data!Y$9</f>
        <v>73492.620983466142</v>
      </c>
      <c r="AA111" s="372">
        <f>AA110*Data!Z$9</f>
        <v>70650.951944515706</v>
      </c>
      <c r="AB111" s="372">
        <f>AB110*Data!AA$9</f>
        <v>67919.87710906945</v>
      </c>
      <c r="AC111" s="372">
        <f>AC110*Data!AB$9</f>
        <v>68735.398352625969</v>
      </c>
      <c r="AD111" s="372">
        <f>AD110*Data!AC$9</f>
        <v>66079.555737916176</v>
      </c>
      <c r="AE111" s="372">
        <f>AE110*Data!AD$9</f>
        <v>63526.411535435152</v>
      </c>
      <c r="AF111" s="372">
        <f>AF110*Data!AE$9</f>
        <v>61071.470359146304</v>
      </c>
      <c r="AG111" s="372">
        <f>AG110*Data!AF$9</f>
        <v>58717.157199351605</v>
      </c>
      <c r="AH111" s="372">
        <f>AH110*Data!AG$9</f>
        <v>56453.303619193008</v>
      </c>
      <c r="AI111" s="372">
        <f>AI110*Data!AH$9</f>
        <v>54275.80025556602</v>
      </c>
      <c r="AJ111" s="372">
        <f>AJ110*Data!AI$9</f>
        <v>52181.730660964713</v>
      </c>
      <c r="AK111" s="372">
        <f>AK110*Data!AJ$9</f>
        <v>50174.74102015837</v>
      </c>
      <c r="AL111" s="372">
        <f>AL110*Data!AK$9</f>
        <v>48244.943288613831</v>
      </c>
      <c r="AM111" s="372">
        <f>AM110*Data!AL$9</f>
        <v>46389.368546744059</v>
      </c>
      <c r="AN111" s="372">
        <f>AN110*Data!AM$9</f>
        <v>26894.748998758998</v>
      </c>
      <c r="AO111" s="372">
        <f>AO110*Data!AN$9</f>
        <v>-24874.046212331348</v>
      </c>
      <c r="AP111" s="50"/>
    </row>
    <row r="112" spans="1:42" outlineLevel="1" x14ac:dyDescent="0.25">
      <c r="A112" s="12"/>
      <c r="B112" s="13"/>
      <c r="C112" s="14" t="s">
        <v>479</v>
      </c>
      <c r="D112" s="14"/>
      <c r="E112" s="15" t="s">
        <v>54</v>
      </c>
      <c r="F112" s="16"/>
      <c r="G112" s="185">
        <f>SUM(H111:AO111)</f>
        <v>3188072.6088360944</v>
      </c>
      <c r="H112" s="165"/>
      <c r="I112" s="165"/>
      <c r="J112" s="165"/>
      <c r="K112" s="165"/>
      <c r="L112" s="165"/>
      <c r="M112" s="165"/>
      <c r="N112" s="165"/>
      <c r="O112" s="165"/>
      <c r="P112" s="165"/>
      <c r="Q112" s="165"/>
      <c r="R112" s="165"/>
      <c r="S112" s="165"/>
      <c r="T112" s="165"/>
      <c r="U112" s="165"/>
      <c r="V112" s="165"/>
      <c r="W112" s="28"/>
      <c r="X112" s="28"/>
      <c r="Y112" s="28"/>
      <c r="Z112" s="28"/>
      <c r="AA112" s="28"/>
      <c r="AB112" s="28"/>
      <c r="AC112" s="28"/>
      <c r="AD112" s="28"/>
      <c r="AE112" s="28"/>
      <c r="AF112" s="28"/>
      <c r="AG112" s="28"/>
      <c r="AH112" s="28"/>
      <c r="AI112" s="28"/>
      <c r="AJ112" s="28"/>
      <c r="AK112" s="28"/>
      <c r="AL112" s="28"/>
      <c r="AM112" s="28"/>
      <c r="AN112" s="28"/>
      <c r="AO112" s="28"/>
      <c r="AP112" s="29"/>
    </row>
    <row r="113" spans="1:42" outlineLevel="1" x14ac:dyDescent="0.25">
      <c r="A113" s="12"/>
      <c r="B113" s="13"/>
      <c r="C113" s="44" t="s">
        <v>481</v>
      </c>
      <c r="D113" s="45"/>
      <c r="E113" s="15" t="s">
        <v>261</v>
      </c>
      <c r="F113" s="16"/>
      <c r="G113" s="183">
        <f>G112/((SUM(H16:AO16)+SUM(H18:AO18)))</f>
        <v>1.0643938998517943</v>
      </c>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9"/>
    </row>
    <row r="114" spans="1:42" outlineLevel="1" x14ac:dyDescent="0.25">
      <c r="A114" s="12"/>
      <c r="B114" s="13"/>
      <c r="C114" s="41"/>
      <c r="D114" s="41"/>
      <c r="E114" s="15"/>
      <c r="F114" s="16"/>
      <c r="G114" s="14"/>
      <c r="I114" s="141"/>
      <c r="J114" s="141"/>
      <c r="K114" s="141"/>
      <c r="L114" s="141"/>
      <c r="M114" s="141"/>
      <c r="N114" s="141"/>
      <c r="O114" s="141"/>
      <c r="P114" s="141"/>
      <c r="Q114" s="141"/>
      <c r="R114" s="141"/>
      <c r="S114" s="141"/>
      <c r="T114" s="141"/>
      <c r="U114" s="141"/>
      <c r="V114" s="141"/>
      <c r="W114" s="141"/>
      <c r="X114" s="141"/>
      <c r="Y114" s="141"/>
      <c r="Z114" s="141"/>
      <c r="AA114" s="141"/>
      <c r="AB114" s="141"/>
      <c r="AC114" s="14"/>
      <c r="AD114" s="14"/>
      <c r="AE114" s="14"/>
      <c r="AF114" s="14"/>
      <c r="AG114" s="14"/>
      <c r="AH114" s="14"/>
      <c r="AI114" s="14"/>
      <c r="AJ114" s="14"/>
      <c r="AK114" s="14"/>
      <c r="AL114" s="14"/>
      <c r="AM114" s="14"/>
      <c r="AN114" s="14"/>
      <c r="AO114" s="14"/>
      <c r="AP114" s="17"/>
    </row>
    <row r="115" spans="1:42" outlineLevel="1" x14ac:dyDescent="0.25">
      <c r="A115" s="12"/>
      <c r="B115" s="13"/>
      <c r="C115" s="37" t="s">
        <v>515</v>
      </c>
      <c r="D115" s="37"/>
      <c r="E115" s="38"/>
      <c r="F115" s="39"/>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17"/>
    </row>
    <row r="116" spans="1:42" outlineLevel="1" x14ac:dyDescent="0.25">
      <c r="A116" s="12"/>
      <c r="B116" s="13"/>
      <c r="C116" s="14"/>
      <c r="D116" s="14"/>
      <c r="E116" s="15"/>
      <c r="F116" s="16"/>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row>
    <row r="117" spans="1:42" outlineLevel="1" x14ac:dyDescent="0.25">
      <c r="A117" s="12"/>
      <c r="B117" s="13"/>
      <c r="C117" s="20" t="s">
        <v>573</v>
      </c>
      <c r="D117" s="45"/>
      <c r="E117" s="15"/>
      <c r="F117" s="16"/>
      <c r="G117" s="165"/>
      <c r="H117" s="165"/>
      <c r="I117" s="165"/>
      <c r="J117" s="165"/>
      <c r="K117" s="165"/>
      <c r="L117" s="165"/>
      <c r="M117" s="165"/>
      <c r="N117" s="165"/>
      <c r="O117" s="165"/>
      <c r="P117" s="165"/>
      <c r="Q117" s="165"/>
      <c r="R117" s="165"/>
      <c r="S117" s="165"/>
      <c r="T117" s="165"/>
      <c r="U117" s="28"/>
      <c r="V117" s="28"/>
      <c r="W117" s="28"/>
      <c r="X117" s="28"/>
      <c r="Y117" s="28"/>
      <c r="Z117" s="28"/>
      <c r="AA117" s="28"/>
      <c r="AB117" s="28"/>
      <c r="AC117" s="28"/>
      <c r="AD117" s="28"/>
      <c r="AE117" s="28"/>
      <c r="AF117" s="28"/>
      <c r="AG117" s="28"/>
      <c r="AH117" s="28"/>
      <c r="AI117" s="28"/>
      <c r="AJ117" s="28"/>
      <c r="AK117" s="28"/>
      <c r="AL117" s="28"/>
      <c r="AM117" s="28"/>
      <c r="AN117" s="28"/>
      <c r="AO117" s="28"/>
      <c r="AP117" s="29"/>
    </row>
    <row r="118" spans="1:42" outlineLevel="1" x14ac:dyDescent="0.25">
      <c r="A118" s="12"/>
      <c r="B118" s="13"/>
      <c r="C118" s="45" t="s">
        <v>517</v>
      </c>
      <c r="D118" s="45"/>
      <c r="E118" s="15" t="s">
        <v>342</v>
      </c>
      <c r="F118" s="179">
        <f>Data!$E$354</f>
        <v>147000</v>
      </c>
      <c r="G118" s="165"/>
      <c r="H118" s="165"/>
      <c r="I118" s="165"/>
      <c r="J118" s="165"/>
      <c r="K118" s="165"/>
      <c r="L118" s="165"/>
      <c r="M118" s="165"/>
      <c r="N118" s="165"/>
      <c r="O118" s="165"/>
      <c r="P118" s="165"/>
      <c r="Q118" s="165"/>
      <c r="R118" s="165"/>
      <c r="S118" s="165"/>
      <c r="T118" s="165"/>
      <c r="U118" s="28"/>
      <c r="V118" s="28"/>
      <c r="W118" s="28"/>
      <c r="X118" s="28"/>
      <c r="Y118" s="28"/>
      <c r="Z118" s="28"/>
      <c r="AA118" s="28"/>
      <c r="AB118" s="28"/>
      <c r="AC118" s="28"/>
      <c r="AD118" s="28"/>
      <c r="AE118" s="28"/>
      <c r="AF118" s="28"/>
      <c r="AG118" s="28"/>
      <c r="AH118" s="28"/>
      <c r="AI118" s="28"/>
      <c r="AJ118" s="28"/>
      <c r="AK118" s="28"/>
      <c r="AL118" s="28"/>
      <c r="AM118" s="28"/>
      <c r="AN118" s="28"/>
      <c r="AO118" s="28"/>
      <c r="AP118" s="29"/>
    </row>
    <row r="119" spans="1:42" outlineLevel="1" x14ac:dyDescent="0.25">
      <c r="A119" s="12"/>
      <c r="B119" s="13"/>
      <c r="C119" s="45" t="s">
        <v>574</v>
      </c>
      <c r="D119" s="45"/>
      <c r="E119" s="15" t="s">
        <v>342</v>
      </c>
      <c r="F119" s="179">
        <f>Data!$E$355</f>
        <v>47000</v>
      </c>
      <c r="G119" s="165"/>
      <c r="H119" s="165"/>
      <c r="I119" s="165"/>
      <c r="J119" s="165"/>
      <c r="K119" s="165"/>
      <c r="L119" s="165"/>
      <c r="M119" s="165"/>
      <c r="N119" s="165"/>
      <c r="O119" s="165"/>
      <c r="P119" s="165"/>
      <c r="Q119" s="165"/>
      <c r="R119" s="165"/>
      <c r="S119" s="165"/>
      <c r="T119" s="165"/>
      <c r="U119" s="28"/>
      <c r="V119" s="28"/>
      <c r="W119" s="28"/>
      <c r="X119" s="28"/>
      <c r="Y119" s="28"/>
      <c r="Z119" s="28"/>
      <c r="AA119" s="28"/>
      <c r="AB119" s="28"/>
      <c r="AC119" s="28"/>
      <c r="AD119" s="28"/>
      <c r="AE119" s="28"/>
      <c r="AF119" s="28"/>
      <c r="AG119" s="28"/>
      <c r="AH119" s="28"/>
      <c r="AI119" s="28"/>
      <c r="AJ119" s="28"/>
      <c r="AK119" s="28"/>
      <c r="AL119" s="28"/>
      <c r="AM119" s="28"/>
      <c r="AN119" s="28"/>
      <c r="AO119" s="28"/>
      <c r="AP119" s="29"/>
    </row>
    <row r="120" spans="1:42" outlineLevel="1" x14ac:dyDescent="0.25">
      <c r="A120" s="12"/>
      <c r="B120" s="13"/>
      <c r="C120" s="45" t="s">
        <v>518</v>
      </c>
      <c r="D120" s="45"/>
      <c r="E120" s="15" t="s">
        <v>142</v>
      </c>
      <c r="F120" s="179"/>
      <c r="G120" s="186">
        <f>F118*Data!$G$16/1000</f>
        <v>12789</v>
      </c>
      <c r="H120" s="165"/>
      <c r="I120" s="165"/>
      <c r="J120" s="165"/>
      <c r="K120" s="165"/>
      <c r="L120" s="165"/>
      <c r="M120" s="165"/>
      <c r="N120" s="165"/>
      <c r="O120" s="165"/>
      <c r="P120" s="165"/>
      <c r="Q120" s="165"/>
      <c r="R120" s="165"/>
      <c r="S120" s="165"/>
      <c r="T120" s="165"/>
      <c r="U120" s="28"/>
      <c r="V120" s="28"/>
      <c r="W120" s="28"/>
      <c r="X120" s="28"/>
      <c r="Y120" s="28"/>
      <c r="Z120" s="28"/>
      <c r="AA120" s="28"/>
      <c r="AB120" s="28"/>
      <c r="AC120" s="28"/>
      <c r="AD120" s="28"/>
      <c r="AE120" s="28"/>
      <c r="AF120" s="28"/>
      <c r="AG120" s="28"/>
      <c r="AH120" s="28"/>
      <c r="AI120" s="28"/>
      <c r="AJ120" s="28"/>
      <c r="AK120" s="28"/>
      <c r="AL120" s="28"/>
      <c r="AM120" s="28"/>
      <c r="AN120" s="28"/>
      <c r="AO120" s="28"/>
      <c r="AP120" s="29"/>
    </row>
    <row r="121" spans="1:42" outlineLevel="1" x14ac:dyDescent="0.25">
      <c r="A121" s="12"/>
      <c r="B121" s="13"/>
      <c r="C121" s="45" t="s">
        <v>575</v>
      </c>
      <c r="D121" s="45"/>
      <c r="E121" s="15" t="s">
        <v>142</v>
      </c>
      <c r="F121" s="179"/>
      <c r="G121" s="186"/>
      <c r="H121" s="165">
        <f>IF(SUM(H40:H42)&gt;0,($F$119*Data!G$16*Data!G$9)/1000,0)</f>
        <v>0</v>
      </c>
      <c r="I121" s="165">
        <f>IF(SUM(I40:I42)&gt;0,($F$119*Data!H$16*Data!H$9)/1000,0)</f>
        <v>0</v>
      </c>
      <c r="J121" s="165">
        <f>IF(SUM(J40:J42)&gt;0,($F$119*Data!I$16*Data!I$9)/1000,0)</f>
        <v>0</v>
      </c>
      <c r="K121" s="165">
        <f>IF(SUM(K40:K42)&gt;0,($F$119*Data!J$16*Data!J$9)/1000,0)</f>
        <v>0</v>
      </c>
      <c r="L121" s="165">
        <f>IF(SUM(L40:L42)&gt;0,($F$119*Data!K$16*Data!K$9)/1000,0)</f>
        <v>0</v>
      </c>
      <c r="M121" s="165">
        <f>IF(SUM(M40:M42)&gt;0,($F$119*Data!L$16*Data!L$9)/1000,0)</f>
        <v>0</v>
      </c>
      <c r="N121" s="165">
        <f>IF(SUM(N40:N42)&gt;0,($F$119*Data!M$16*Data!M$9)/1000,0)</f>
        <v>0</v>
      </c>
      <c r="O121" s="165">
        <f>IF(SUM(O40:O42)&gt;0,($F$119*Data!N$16*Data!N$9)/1000,0)</f>
        <v>0</v>
      </c>
      <c r="P121" s="165">
        <f>IF(SUM(P40:P42)&gt;0,($F$119*Data!O$16*Data!O$9)/1000,0)</f>
        <v>0</v>
      </c>
      <c r="Q121" s="165">
        <f>IF(SUM(Q40:Q42)&gt;0,($F$119*Data!P$16*Data!P$9)/1000,0)</f>
        <v>0</v>
      </c>
      <c r="R121" s="165">
        <f>IF(SUM(R40:R42)&gt;0,($F$119*Data!Q$16*Data!Q$9)/1000,0)</f>
        <v>0</v>
      </c>
      <c r="S121" s="165">
        <f>IF(SUM(S40:S42)&gt;0,($F$119*Data!R$16*Data!R$9)/1000,0)</f>
        <v>0</v>
      </c>
      <c r="T121" s="165">
        <f>IF(SUM(T40:T42)&gt;0,($F$119*Data!S$16*Data!S$9)/1000,0)</f>
        <v>0</v>
      </c>
      <c r="U121" s="165">
        <f>IF(SUM(U40:U42)&gt;0,($F$119*Data!T$16*Data!T$9)/1000,0)</f>
        <v>0</v>
      </c>
      <c r="V121" s="165">
        <f>IF(SUM(V40:V42)&gt;0,($F$119*Data!U$16*Data!U$9)/1000,0)</f>
        <v>0</v>
      </c>
      <c r="W121" s="165">
        <f>IF(SUM(W40:W42)&gt;0,($F$119*Data!V$16*Data!V$9)/1000,0)</f>
        <v>0</v>
      </c>
      <c r="X121" s="165">
        <f>IF(SUM(X40:X42)&gt;0,($F$119*Data!W$16*Data!W$9)/1000,0)</f>
        <v>0</v>
      </c>
      <c r="Y121" s="165">
        <f>IF(SUM(Y40:Y42)&gt;0,($F$119*Data!X$16*Data!X$9)/1000,0)</f>
        <v>0</v>
      </c>
      <c r="Z121" s="165">
        <f>IF(SUM(Z40:Z42)&gt;0,($F$119*Data!Y$16*Data!Y$9)/1000,0)</f>
        <v>0</v>
      </c>
      <c r="AA121" s="165">
        <f>IF(SUM(AA40:AA42)&gt;0,($F$119*Data!Z$16*Data!Z$9)/1000,0)</f>
        <v>0</v>
      </c>
      <c r="AB121" s="165">
        <f>IF(SUM(AB40:AB42)&gt;0,($F$119*Data!AA$16*Data!AA$9)/1000,0)</f>
        <v>0</v>
      </c>
      <c r="AC121" s="165">
        <f>IF(SUM(AC40:AC42)&gt;0,($F$119*Data!AB$16*Data!AB$9)/1000,0)</f>
        <v>4970.6682111750333</v>
      </c>
      <c r="AD121" s="165">
        <f>IF(SUM(AD40:AD42)&gt;0,($F$119*Data!AC$16*Data!AC$9)/1000,0)</f>
        <v>0</v>
      </c>
      <c r="AE121" s="165">
        <f>IF(SUM(AE40:AE42)&gt;0,($F$119*Data!AD$16*Data!AD$9)/1000,0)</f>
        <v>0</v>
      </c>
      <c r="AF121" s="165">
        <f>IF(SUM(AF40:AF42)&gt;0,($F$119*Data!AE$16*Data!AE$9)/1000,0)</f>
        <v>0</v>
      </c>
      <c r="AG121" s="165">
        <f>IF(SUM(AG40:AG42)&gt;0,($F$119*Data!AF$16*Data!AF$9)/1000,0)</f>
        <v>0</v>
      </c>
      <c r="AH121" s="165">
        <f>IF(SUM(AH40:AH42)&gt;0,($F$119*Data!AG$16*Data!AG$9)/1000,0)</f>
        <v>0</v>
      </c>
      <c r="AI121" s="165">
        <f>IF(SUM(AI40:AI42)&gt;0,($F$119*Data!AH$16*Data!AH$9)/1000,0)</f>
        <v>0</v>
      </c>
      <c r="AJ121" s="165">
        <f>IF(SUM(AJ40:AJ42)&gt;0,($F$119*Data!AI$16*Data!AI$9)/1000,0)</f>
        <v>0</v>
      </c>
      <c r="AK121" s="165">
        <f>IF(SUM(AK40:AK42)&gt;0,($F$119*Data!AJ$16*Data!AJ$9)/1000,0)</f>
        <v>0</v>
      </c>
      <c r="AL121" s="165">
        <f>IF(SUM(AL40:AL42)&gt;0,($F$119*Data!AK$16*Data!AK$9)/1000,0)</f>
        <v>0</v>
      </c>
      <c r="AM121" s="165">
        <f>IF(SUM(AM40:AM42)&gt;0,($F$119*Data!AL$16*Data!AL$9)/1000,0)</f>
        <v>0</v>
      </c>
      <c r="AN121" s="165">
        <f>IF(SUM(AN40:AN42)&gt;0,($F$119*Data!AM$16*Data!AM$9)/1000,0)</f>
        <v>0</v>
      </c>
      <c r="AO121" s="165">
        <f>IF(SUM(AO40:AO42)&gt;0,($F$119*Data!AN$16*Data!AN$9)/1000,0)</f>
        <v>0</v>
      </c>
      <c r="AP121" s="29"/>
    </row>
    <row r="122" spans="1:42" outlineLevel="1" x14ac:dyDescent="0.25">
      <c r="A122" s="12"/>
      <c r="B122" s="13"/>
      <c r="C122" s="45" t="s">
        <v>518</v>
      </c>
      <c r="D122" s="45"/>
      <c r="E122" s="15" t="s">
        <v>261</v>
      </c>
      <c r="F122" s="179"/>
      <c r="G122" s="184">
        <f>(G120+SUM(H121:AO121))/SUM(H18:AN18)</f>
        <v>9.4870022495593138E-3</v>
      </c>
      <c r="H122" s="165"/>
      <c r="I122" s="165"/>
      <c r="J122" s="165"/>
      <c r="K122" s="165"/>
      <c r="L122" s="165"/>
      <c r="M122" s="165"/>
      <c r="N122" s="165"/>
      <c r="O122" s="165"/>
      <c r="P122" s="165"/>
      <c r="Q122" s="165"/>
      <c r="R122" s="165"/>
      <c r="S122" s="165"/>
      <c r="T122" s="165"/>
      <c r="U122" s="28"/>
      <c r="V122" s="28"/>
      <c r="W122" s="28"/>
      <c r="X122" s="28"/>
      <c r="Y122" s="28"/>
      <c r="Z122" s="28"/>
      <c r="AA122" s="28"/>
      <c r="AB122" s="28"/>
      <c r="AC122" s="28"/>
      <c r="AD122" s="28"/>
      <c r="AE122" s="28"/>
      <c r="AF122" s="28"/>
      <c r="AG122" s="28"/>
      <c r="AH122" s="28"/>
      <c r="AI122" s="28"/>
      <c r="AJ122" s="28"/>
      <c r="AK122" s="28"/>
      <c r="AL122" s="28"/>
      <c r="AM122" s="28"/>
      <c r="AN122" s="28"/>
      <c r="AO122" s="28"/>
      <c r="AP122" s="29"/>
    </row>
    <row r="123" spans="1:42" outlineLevel="1" x14ac:dyDescent="0.25">
      <c r="A123" s="12"/>
      <c r="B123" s="13"/>
      <c r="C123" s="45"/>
      <c r="D123" s="45"/>
      <c r="E123" s="15"/>
      <c r="F123" s="179"/>
      <c r="G123" s="184"/>
      <c r="H123" s="165"/>
      <c r="I123" s="165"/>
      <c r="J123" s="165"/>
      <c r="K123" s="165"/>
      <c r="L123" s="165"/>
      <c r="M123" s="165"/>
      <c r="N123" s="165"/>
      <c r="O123" s="165"/>
      <c r="P123" s="165"/>
      <c r="Q123" s="165"/>
      <c r="R123" s="165"/>
      <c r="S123" s="165"/>
      <c r="T123" s="165"/>
      <c r="U123" s="28"/>
      <c r="V123" s="28"/>
      <c r="W123" s="28"/>
      <c r="X123" s="28"/>
      <c r="Y123" s="28"/>
      <c r="Z123" s="28"/>
      <c r="AA123" s="28"/>
      <c r="AB123" s="28"/>
      <c r="AC123" s="28"/>
      <c r="AD123" s="28"/>
      <c r="AE123" s="28"/>
      <c r="AF123" s="28"/>
      <c r="AG123" s="28"/>
      <c r="AH123" s="28"/>
      <c r="AI123" s="28"/>
      <c r="AJ123" s="28"/>
      <c r="AK123" s="28"/>
      <c r="AL123" s="28"/>
      <c r="AM123" s="28"/>
      <c r="AN123" s="28"/>
      <c r="AO123" s="28"/>
      <c r="AP123" s="29"/>
    </row>
    <row r="124" spans="1:42" outlineLevel="1" x14ac:dyDescent="0.25">
      <c r="A124" s="12"/>
      <c r="B124" s="13"/>
      <c r="C124" s="20" t="s">
        <v>483</v>
      </c>
      <c r="D124" s="19"/>
      <c r="E124" s="15"/>
      <c r="F124" s="16"/>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7"/>
    </row>
    <row r="125" spans="1:42" outlineLevel="1" x14ac:dyDescent="0.25">
      <c r="A125" s="12"/>
      <c r="B125" s="13"/>
      <c r="C125" s="19" t="s">
        <v>28</v>
      </c>
      <c r="D125" s="19"/>
      <c r="E125" s="15"/>
      <c r="F125" s="16"/>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7"/>
    </row>
    <row r="126" spans="1:42" outlineLevel="1" x14ac:dyDescent="0.25">
      <c r="A126" s="12"/>
      <c r="B126" s="13"/>
      <c r="C126" s="45" t="s">
        <v>520</v>
      </c>
      <c r="D126" s="14"/>
      <c r="E126" s="15" t="s">
        <v>521</v>
      </c>
      <c r="F126" s="16"/>
      <c r="G126" s="14"/>
      <c r="H126" s="141"/>
      <c r="I126" s="141">
        <f t="shared" ref="I126:AO126" si="10">I18</f>
        <v>0</v>
      </c>
      <c r="J126" s="141">
        <f t="shared" si="10"/>
        <v>0</v>
      </c>
      <c r="K126" s="141">
        <f t="shared" si="10"/>
        <v>0</v>
      </c>
      <c r="L126" s="141">
        <f t="shared" si="10"/>
        <v>0</v>
      </c>
      <c r="M126" s="141">
        <f t="shared" si="10"/>
        <v>0</v>
      </c>
      <c r="N126" s="141">
        <f t="shared" si="10"/>
        <v>0</v>
      </c>
      <c r="O126" s="141">
        <f t="shared" si="10"/>
        <v>0</v>
      </c>
      <c r="P126" s="141">
        <f t="shared" si="10"/>
        <v>0</v>
      </c>
      <c r="Q126" s="141">
        <f t="shared" si="10"/>
        <v>0</v>
      </c>
      <c r="R126" s="141">
        <f t="shared" si="10"/>
        <v>0</v>
      </c>
      <c r="S126" s="141">
        <f t="shared" si="10"/>
        <v>0</v>
      </c>
      <c r="T126" s="141">
        <f t="shared" si="10"/>
        <v>0</v>
      </c>
      <c r="U126" s="141">
        <f t="shared" si="10"/>
        <v>93600</v>
      </c>
      <c r="V126" s="141">
        <f t="shared" si="10"/>
        <v>93600</v>
      </c>
      <c r="W126" s="141">
        <f t="shared" si="10"/>
        <v>93600</v>
      </c>
      <c r="X126" s="141">
        <f t="shared" si="10"/>
        <v>93600</v>
      </c>
      <c r="Y126" s="141">
        <f t="shared" si="10"/>
        <v>93600</v>
      </c>
      <c r="Z126" s="141">
        <f t="shared" si="10"/>
        <v>93600</v>
      </c>
      <c r="AA126" s="141">
        <f t="shared" si="10"/>
        <v>93600</v>
      </c>
      <c r="AB126" s="141">
        <f t="shared" si="10"/>
        <v>93600</v>
      </c>
      <c r="AC126" s="141">
        <f t="shared" si="10"/>
        <v>93600</v>
      </c>
      <c r="AD126" s="141">
        <f t="shared" si="10"/>
        <v>93600</v>
      </c>
      <c r="AE126" s="141">
        <f t="shared" si="10"/>
        <v>93600</v>
      </c>
      <c r="AF126" s="141">
        <f t="shared" si="10"/>
        <v>93600</v>
      </c>
      <c r="AG126" s="141">
        <f t="shared" si="10"/>
        <v>93600</v>
      </c>
      <c r="AH126" s="141">
        <f t="shared" si="10"/>
        <v>93600</v>
      </c>
      <c r="AI126" s="141">
        <f t="shared" si="10"/>
        <v>93600</v>
      </c>
      <c r="AJ126" s="141">
        <f t="shared" si="10"/>
        <v>93600</v>
      </c>
      <c r="AK126" s="141">
        <f t="shared" si="10"/>
        <v>93600</v>
      </c>
      <c r="AL126" s="141">
        <f t="shared" si="10"/>
        <v>93600</v>
      </c>
      <c r="AM126" s="141">
        <f t="shared" si="10"/>
        <v>93600</v>
      </c>
      <c r="AN126" s="141">
        <f t="shared" si="10"/>
        <v>93600</v>
      </c>
      <c r="AO126" s="141">
        <f t="shared" si="10"/>
        <v>0</v>
      </c>
      <c r="AP126" s="14"/>
    </row>
    <row r="127" spans="1:42" outlineLevel="1" x14ac:dyDescent="0.25">
      <c r="A127" s="12"/>
      <c r="B127" s="13"/>
      <c r="C127" s="20" t="s">
        <v>483</v>
      </c>
      <c r="D127" s="14"/>
      <c r="E127" s="15"/>
      <c r="F127" s="16"/>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4"/>
      <c r="AH127" s="14"/>
      <c r="AI127" s="14"/>
      <c r="AJ127" s="14"/>
      <c r="AK127" s="14"/>
      <c r="AL127" s="14"/>
      <c r="AM127" s="14"/>
      <c r="AN127" s="14"/>
      <c r="AO127" s="14"/>
      <c r="AP127" s="14"/>
    </row>
    <row r="128" spans="1:42" ht="14.25" customHeight="1" outlineLevel="1" x14ac:dyDescent="0.25">
      <c r="A128" s="54"/>
      <c r="B128" s="13"/>
      <c r="C128" s="45" t="s">
        <v>205</v>
      </c>
      <c r="D128" s="14"/>
      <c r="E128" s="70" t="s">
        <v>352</v>
      </c>
      <c r="F128" s="201">
        <f>Data!E455/1000</f>
        <v>0</v>
      </c>
      <c r="G128" s="231">
        <f>SUM(I128:AO128)</f>
        <v>0</v>
      </c>
      <c r="H128" s="56"/>
      <c r="I128" s="56">
        <f>I$126*$F$128</f>
        <v>0</v>
      </c>
      <c r="J128" s="56">
        <f t="shared" ref="J128:AO128" si="11">J$126*$F$128</f>
        <v>0</v>
      </c>
      <c r="K128" s="56">
        <f t="shared" si="11"/>
        <v>0</v>
      </c>
      <c r="L128" s="56">
        <f t="shared" si="11"/>
        <v>0</v>
      </c>
      <c r="M128" s="56">
        <f t="shared" si="11"/>
        <v>0</v>
      </c>
      <c r="N128" s="56">
        <f t="shared" si="11"/>
        <v>0</v>
      </c>
      <c r="O128" s="56">
        <f t="shared" si="11"/>
        <v>0</v>
      </c>
      <c r="P128" s="56">
        <f t="shared" si="11"/>
        <v>0</v>
      </c>
      <c r="Q128" s="56">
        <f t="shared" si="11"/>
        <v>0</v>
      </c>
      <c r="R128" s="56">
        <f t="shared" si="11"/>
        <v>0</v>
      </c>
      <c r="S128" s="56">
        <f t="shared" si="11"/>
        <v>0</v>
      </c>
      <c r="T128" s="56">
        <f t="shared" si="11"/>
        <v>0</v>
      </c>
      <c r="U128" s="56">
        <f t="shared" si="11"/>
        <v>0</v>
      </c>
      <c r="V128" s="56">
        <f t="shared" si="11"/>
        <v>0</v>
      </c>
      <c r="W128" s="56">
        <f t="shared" si="11"/>
        <v>0</v>
      </c>
      <c r="X128" s="56">
        <f t="shared" si="11"/>
        <v>0</v>
      </c>
      <c r="Y128" s="56">
        <f t="shared" si="11"/>
        <v>0</v>
      </c>
      <c r="Z128" s="56">
        <f t="shared" si="11"/>
        <v>0</v>
      </c>
      <c r="AA128" s="56">
        <f t="shared" si="11"/>
        <v>0</v>
      </c>
      <c r="AB128" s="56">
        <f t="shared" si="11"/>
        <v>0</v>
      </c>
      <c r="AC128" s="56">
        <f t="shared" si="11"/>
        <v>0</v>
      </c>
      <c r="AD128" s="56">
        <f t="shared" si="11"/>
        <v>0</v>
      </c>
      <c r="AE128" s="56">
        <f t="shared" si="11"/>
        <v>0</v>
      </c>
      <c r="AF128" s="56">
        <f t="shared" si="11"/>
        <v>0</v>
      </c>
      <c r="AG128" s="56">
        <f t="shared" si="11"/>
        <v>0</v>
      </c>
      <c r="AH128" s="56">
        <f t="shared" si="11"/>
        <v>0</v>
      </c>
      <c r="AI128" s="56">
        <f t="shared" si="11"/>
        <v>0</v>
      </c>
      <c r="AJ128" s="56">
        <f t="shared" si="11"/>
        <v>0</v>
      </c>
      <c r="AK128" s="56">
        <f t="shared" si="11"/>
        <v>0</v>
      </c>
      <c r="AL128" s="56">
        <f t="shared" si="11"/>
        <v>0</v>
      </c>
      <c r="AM128" s="56">
        <f t="shared" si="11"/>
        <v>0</v>
      </c>
      <c r="AN128" s="56">
        <f t="shared" si="11"/>
        <v>0</v>
      </c>
      <c r="AO128" s="56">
        <f t="shared" si="11"/>
        <v>0</v>
      </c>
      <c r="AP128" s="29"/>
    </row>
    <row r="129" spans="1:42" outlineLevel="1" x14ac:dyDescent="0.25">
      <c r="A129" s="54"/>
      <c r="B129" s="13"/>
      <c r="C129" s="45" t="s">
        <v>484</v>
      </c>
      <c r="D129" s="14"/>
      <c r="E129" s="70" t="s">
        <v>352</v>
      </c>
      <c r="F129" s="201">
        <f>Data!E456</f>
        <v>0.15968215015849699</v>
      </c>
      <c r="G129" s="231">
        <f t="shared" ref="G129:G141" si="12">SUM(I129:AO129)</f>
        <v>298924.98509670619</v>
      </c>
      <c r="H129" s="231"/>
      <c r="I129" s="56">
        <f>I$126*$F$129</f>
        <v>0</v>
      </c>
      <c r="J129" s="56">
        <f t="shared" ref="J129:AO129" si="13">J$126*$F$129</f>
        <v>0</v>
      </c>
      <c r="K129" s="56">
        <f t="shared" si="13"/>
        <v>0</v>
      </c>
      <c r="L129" s="56">
        <f t="shared" si="13"/>
        <v>0</v>
      </c>
      <c r="M129" s="56">
        <f t="shared" si="13"/>
        <v>0</v>
      </c>
      <c r="N129" s="56">
        <f t="shared" si="13"/>
        <v>0</v>
      </c>
      <c r="O129" s="56">
        <f t="shared" si="13"/>
        <v>0</v>
      </c>
      <c r="P129" s="56">
        <f t="shared" si="13"/>
        <v>0</v>
      </c>
      <c r="Q129" s="56">
        <f t="shared" si="13"/>
        <v>0</v>
      </c>
      <c r="R129" s="56">
        <f t="shared" si="13"/>
        <v>0</v>
      </c>
      <c r="S129" s="56">
        <f t="shared" si="13"/>
        <v>0</v>
      </c>
      <c r="T129" s="56">
        <f t="shared" si="13"/>
        <v>0</v>
      </c>
      <c r="U129" s="56">
        <f t="shared" si="13"/>
        <v>14946.249254835318</v>
      </c>
      <c r="V129" s="56">
        <f t="shared" si="13"/>
        <v>14946.249254835318</v>
      </c>
      <c r="W129" s="56">
        <f t="shared" si="13"/>
        <v>14946.249254835318</v>
      </c>
      <c r="X129" s="56">
        <f t="shared" si="13"/>
        <v>14946.249254835318</v>
      </c>
      <c r="Y129" s="56">
        <f t="shared" si="13"/>
        <v>14946.249254835318</v>
      </c>
      <c r="Z129" s="56">
        <f t="shared" si="13"/>
        <v>14946.249254835318</v>
      </c>
      <c r="AA129" s="56">
        <f t="shared" si="13"/>
        <v>14946.249254835318</v>
      </c>
      <c r="AB129" s="56">
        <f t="shared" si="13"/>
        <v>14946.249254835318</v>
      </c>
      <c r="AC129" s="56">
        <f t="shared" si="13"/>
        <v>14946.249254835318</v>
      </c>
      <c r="AD129" s="56">
        <f t="shared" si="13"/>
        <v>14946.249254835318</v>
      </c>
      <c r="AE129" s="56">
        <f t="shared" si="13"/>
        <v>14946.249254835318</v>
      </c>
      <c r="AF129" s="56">
        <f t="shared" si="13"/>
        <v>14946.249254835318</v>
      </c>
      <c r="AG129" s="56">
        <f t="shared" si="13"/>
        <v>14946.249254835318</v>
      </c>
      <c r="AH129" s="56">
        <f t="shared" si="13"/>
        <v>14946.249254835318</v>
      </c>
      <c r="AI129" s="56">
        <f t="shared" si="13"/>
        <v>14946.249254835318</v>
      </c>
      <c r="AJ129" s="56">
        <f t="shared" si="13"/>
        <v>14946.249254835318</v>
      </c>
      <c r="AK129" s="56">
        <f t="shared" si="13"/>
        <v>14946.249254835318</v>
      </c>
      <c r="AL129" s="56">
        <f t="shared" si="13"/>
        <v>14946.249254835318</v>
      </c>
      <c r="AM129" s="56">
        <f t="shared" si="13"/>
        <v>14946.249254835318</v>
      </c>
      <c r="AN129" s="56">
        <f t="shared" si="13"/>
        <v>14946.249254835318</v>
      </c>
      <c r="AO129" s="56">
        <f t="shared" si="13"/>
        <v>0</v>
      </c>
      <c r="AP129" s="29"/>
    </row>
    <row r="130" spans="1:42" outlineLevel="1" x14ac:dyDescent="0.25">
      <c r="A130" s="54"/>
      <c r="B130" s="13"/>
      <c r="C130" s="45" t="s">
        <v>285</v>
      </c>
      <c r="D130" s="14"/>
      <c r="E130" s="70" t="s">
        <v>352</v>
      </c>
      <c r="F130" s="201">
        <f>Data!E457/1000</f>
        <v>0</v>
      </c>
      <c r="G130" s="231">
        <f t="shared" si="12"/>
        <v>0</v>
      </c>
      <c r="H130" s="56"/>
      <c r="I130" s="56">
        <f>I$126*$F$130</f>
        <v>0</v>
      </c>
      <c r="J130" s="56">
        <f t="shared" ref="J130:AO130" si="14">J$126*$F$130</f>
        <v>0</v>
      </c>
      <c r="K130" s="56">
        <f t="shared" si="14"/>
        <v>0</v>
      </c>
      <c r="L130" s="56">
        <f t="shared" si="14"/>
        <v>0</v>
      </c>
      <c r="M130" s="56">
        <f t="shared" si="14"/>
        <v>0</v>
      </c>
      <c r="N130" s="56">
        <f t="shared" si="14"/>
        <v>0</v>
      </c>
      <c r="O130" s="56">
        <f t="shared" si="14"/>
        <v>0</v>
      </c>
      <c r="P130" s="56">
        <f t="shared" si="14"/>
        <v>0</v>
      </c>
      <c r="Q130" s="56">
        <f t="shared" si="14"/>
        <v>0</v>
      </c>
      <c r="R130" s="56">
        <f t="shared" si="14"/>
        <v>0</v>
      </c>
      <c r="S130" s="56">
        <f t="shared" si="14"/>
        <v>0</v>
      </c>
      <c r="T130" s="56">
        <f t="shared" si="14"/>
        <v>0</v>
      </c>
      <c r="U130" s="56">
        <f t="shared" si="14"/>
        <v>0</v>
      </c>
      <c r="V130" s="56">
        <f t="shared" si="14"/>
        <v>0</v>
      </c>
      <c r="W130" s="56">
        <f t="shared" si="14"/>
        <v>0</v>
      </c>
      <c r="X130" s="56">
        <f t="shared" si="14"/>
        <v>0</v>
      </c>
      <c r="Y130" s="56">
        <f t="shared" si="14"/>
        <v>0</v>
      </c>
      <c r="Z130" s="56">
        <f t="shared" si="14"/>
        <v>0</v>
      </c>
      <c r="AA130" s="56">
        <f t="shared" si="14"/>
        <v>0</v>
      </c>
      <c r="AB130" s="56">
        <f t="shared" si="14"/>
        <v>0</v>
      </c>
      <c r="AC130" s="56">
        <f t="shared" si="14"/>
        <v>0</v>
      </c>
      <c r="AD130" s="56">
        <f t="shared" si="14"/>
        <v>0</v>
      </c>
      <c r="AE130" s="56">
        <f t="shared" si="14"/>
        <v>0</v>
      </c>
      <c r="AF130" s="56">
        <f t="shared" si="14"/>
        <v>0</v>
      </c>
      <c r="AG130" s="56">
        <f t="shared" si="14"/>
        <v>0</v>
      </c>
      <c r="AH130" s="56">
        <f t="shared" si="14"/>
        <v>0</v>
      </c>
      <c r="AI130" s="56">
        <f t="shared" si="14"/>
        <v>0</v>
      </c>
      <c r="AJ130" s="56">
        <f t="shared" si="14"/>
        <v>0</v>
      </c>
      <c r="AK130" s="56">
        <f t="shared" si="14"/>
        <v>0</v>
      </c>
      <c r="AL130" s="56">
        <f t="shared" si="14"/>
        <v>0</v>
      </c>
      <c r="AM130" s="56">
        <f t="shared" si="14"/>
        <v>0</v>
      </c>
      <c r="AN130" s="56">
        <f t="shared" si="14"/>
        <v>0</v>
      </c>
      <c r="AO130" s="56">
        <f t="shared" si="14"/>
        <v>0</v>
      </c>
      <c r="AP130" s="29"/>
    </row>
    <row r="131" spans="1:42" outlineLevel="1" x14ac:dyDescent="0.25">
      <c r="A131" s="54"/>
      <c r="B131" s="13"/>
      <c r="C131" s="45" t="s">
        <v>220</v>
      </c>
      <c r="D131" s="14"/>
      <c r="E131" s="70" t="s">
        <v>352</v>
      </c>
      <c r="F131" s="201">
        <f>Data!E458/1000</f>
        <v>0</v>
      </c>
      <c r="G131" s="231">
        <f t="shared" si="12"/>
        <v>0</v>
      </c>
      <c r="H131" s="56"/>
      <c r="I131" s="56">
        <f>I$126*$F$131</f>
        <v>0</v>
      </c>
      <c r="J131" s="56">
        <f t="shared" ref="J131:AO131" si="15">J$126*$F$131</f>
        <v>0</v>
      </c>
      <c r="K131" s="56">
        <f t="shared" si="15"/>
        <v>0</v>
      </c>
      <c r="L131" s="56">
        <f t="shared" si="15"/>
        <v>0</v>
      </c>
      <c r="M131" s="56">
        <f t="shared" si="15"/>
        <v>0</v>
      </c>
      <c r="N131" s="56">
        <f t="shared" si="15"/>
        <v>0</v>
      </c>
      <c r="O131" s="56">
        <f t="shared" si="15"/>
        <v>0</v>
      </c>
      <c r="P131" s="56">
        <f t="shared" si="15"/>
        <v>0</v>
      </c>
      <c r="Q131" s="56">
        <f t="shared" si="15"/>
        <v>0</v>
      </c>
      <c r="R131" s="56">
        <f t="shared" si="15"/>
        <v>0</v>
      </c>
      <c r="S131" s="56">
        <f t="shared" si="15"/>
        <v>0</v>
      </c>
      <c r="T131" s="56">
        <f t="shared" si="15"/>
        <v>0</v>
      </c>
      <c r="U131" s="56">
        <f t="shared" si="15"/>
        <v>0</v>
      </c>
      <c r="V131" s="56">
        <f t="shared" si="15"/>
        <v>0</v>
      </c>
      <c r="W131" s="56">
        <f t="shared" si="15"/>
        <v>0</v>
      </c>
      <c r="X131" s="56">
        <f t="shared" si="15"/>
        <v>0</v>
      </c>
      <c r="Y131" s="56">
        <f t="shared" si="15"/>
        <v>0</v>
      </c>
      <c r="Z131" s="56">
        <f t="shared" si="15"/>
        <v>0</v>
      </c>
      <c r="AA131" s="56">
        <f t="shared" si="15"/>
        <v>0</v>
      </c>
      <c r="AB131" s="56">
        <f t="shared" si="15"/>
        <v>0</v>
      </c>
      <c r="AC131" s="56">
        <f t="shared" si="15"/>
        <v>0</v>
      </c>
      <c r="AD131" s="56">
        <f t="shared" si="15"/>
        <v>0</v>
      </c>
      <c r="AE131" s="56">
        <f t="shared" si="15"/>
        <v>0</v>
      </c>
      <c r="AF131" s="56">
        <f t="shared" si="15"/>
        <v>0</v>
      </c>
      <c r="AG131" s="56">
        <f t="shared" si="15"/>
        <v>0</v>
      </c>
      <c r="AH131" s="56">
        <f t="shared" si="15"/>
        <v>0</v>
      </c>
      <c r="AI131" s="56">
        <f t="shared" si="15"/>
        <v>0</v>
      </c>
      <c r="AJ131" s="56">
        <f t="shared" si="15"/>
        <v>0</v>
      </c>
      <c r="AK131" s="56">
        <f t="shared" si="15"/>
        <v>0</v>
      </c>
      <c r="AL131" s="56">
        <f t="shared" si="15"/>
        <v>0</v>
      </c>
      <c r="AM131" s="56">
        <f t="shared" si="15"/>
        <v>0</v>
      </c>
      <c r="AN131" s="56">
        <f t="shared" si="15"/>
        <v>0</v>
      </c>
      <c r="AO131" s="56">
        <f t="shared" si="15"/>
        <v>0</v>
      </c>
      <c r="AP131" s="29"/>
    </row>
    <row r="132" spans="1:42" outlineLevel="1" x14ac:dyDescent="0.25">
      <c r="A132" s="54"/>
      <c r="B132" s="13"/>
      <c r="C132" s="45" t="s">
        <v>212</v>
      </c>
      <c r="D132" s="14"/>
      <c r="E132" s="70" t="s">
        <v>352</v>
      </c>
      <c r="F132" s="201">
        <f>Data!E459/1000</f>
        <v>0</v>
      </c>
      <c r="G132" s="231">
        <f t="shared" si="12"/>
        <v>0</v>
      </c>
      <c r="H132" s="56"/>
      <c r="I132" s="56">
        <f>I$126*$F$132</f>
        <v>0</v>
      </c>
      <c r="J132" s="56">
        <f t="shared" ref="J132:AO132" si="16">J$126*$F$132</f>
        <v>0</v>
      </c>
      <c r="K132" s="56">
        <f t="shared" si="16"/>
        <v>0</v>
      </c>
      <c r="L132" s="56">
        <f t="shared" si="16"/>
        <v>0</v>
      </c>
      <c r="M132" s="56">
        <f t="shared" si="16"/>
        <v>0</v>
      </c>
      <c r="N132" s="56">
        <f t="shared" si="16"/>
        <v>0</v>
      </c>
      <c r="O132" s="56">
        <f t="shared" si="16"/>
        <v>0</v>
      </c>
      <c r="P132" s="56">
        <f t="shared" si="16"/>
        <v>0</v>
      </c>
      <c r="Q132" s="56">
        <f t="shared" si="16"/>
        <v>0</v>
      </c>
      <c r="R132" s="56">
        <f t="shared" si="16"/>
        <v>0</v>
      </c>
      <c r="S132" s="56">
        <f t="shared" si="16"/>
        <v>0</v>
      </c>
      <c r="T132" s="56">
        <f t="shared" si="16"/>
        <v>0</v>
      </c>
      <c r="U132" s="56">
        <f t="shared" si="16"/>
        <v>0</v>
      </c>
      <c r="V132" s="56">
        <f t="shared" si="16"/>
        <v>0</v>
      </c>
      <c r="W132" s="56">
        <f t="shared" si="16"/>
        <v>0</v>
      </c>
      <c r="X132" s="56">
        <f t="shared" si="16"/>
        <v>0</v>
      </c>
      <c r="Y132" s="56">
        <f t="shared" si="16"/>
        <v>0</v>
      </c>
      <c r="Z132" s="56">
        <f t="shared" si="16"/>
        <v>0</v>
      </c>
      <c r="AA132" s="56">
        <f t="shared" si="16"/>
        <v>0</v>
      </c>
      <c r="AB132" s="56">
        <f t="shared" si="16"/>
        <v>0</v>
      </c>
      <c r="AC132" s="56">
        <f t="shared" si="16"/>
        <v>0</v>
      </c>
      <c r="AD132" s="56">
        <f t="shared" si="16"/>
        <v>0</v>
      </c>
      <c r="AE132" s="56">
        <f t="shared" si="16"/>
        <v>0</v>
      </c>
      <c r="AF132" s="56">
        <f t="shared" si="16"/>
        <v>0</v>
      </c>
      <c r="AG132" s="56">
        <f t="shared" si="16"/>
        <v>0</v>
      </c>
      <c r="AH132" s="56">
        <f t="shared" si="16"/>
        <v>0</v>
      </c>
      <c r="AI132" s="56">
        <f t="shared" si="16"/>
        <v>0</v>
      </c>
      <c r="AJ132" s="56">
        <f t="shared" si="16"/>
        <v>0</v>
      </c>
      <c r="AK132" s="56">
        <f t="shared" si="16"/>
        <v>0</v>
      </c>
      <c r="AL132" s="56">
        <f t="shared" si="16"/>
        <v>0</v>
      </c>
      <c r="AM132" s="56">
        <f t="shared" si="16"/>
        <v>0</v>
      </c>
      <c r="AN132" s="56">
        <f t="shared" si="16"/>
        <v>0</v>
      </c>
      <c r="AO132" s="56">
        <f t="shared" si="16"/>
        <v>0</v>
      </c>
      <c r="AP132" s="29"/>
    </row>
    <row r="133" spans="1:42" outlineLevel="1" x14ac:dyDescent="0.25">
      <c r="A133" s="54"/>
      <c r="B133" s="13"/>
      <c r="C133" s="45" t="s">
        <v>485</v>
      </c>
      <c r="D133" s="14"/>
      <c r="E133" s="70" t="s">
        <v>352</v>
      </c>
      <c r="F133" s="201">
        <f>Data!E460/1000</f>
        <v>0</v>
      </c>
      <c r="G133" s="231">
        <f t="shared" si="12"/>
        <v>0</v>
      </c>
      <c r="H133" s="56"/>
      <c r="I133" s="56">
        <f>I$126*$F$133</f>
        <v>0</v>
      </c>
      <c r="J133" s="56">
        <f t="shared" ref="J133:AO133" si="17">J$126*$F$133</f>
        <v>0</v>
      </c>
      <c r="K133" s="56">
        <f t="shared" si="17"/>
        <v>0</v>
      </c>
      <c r="L133" s="56">
        <f t="shared" si="17"/>
        <v>0</v>
      </c>
      <c r="M133" s="56">
        <f t="shared" si="17"/>
        <v>0</v>
      </c>
      <c r="N133" s="56">
        <f t="shared" si="17"/>
        <v>0</v>
      </c>
      <c r="O133" s="56">
        <f t="shared" si="17"/>
        <v>0</v>
      </c>
      <c r="P133" s="56">
        <f t="shared" si="17"/>
        <v>0</v>
      </c>
      <c r="Q133" s="56">
        <f t="shared" si="17"/>
        <v>0</v>
      </c>
      <c r="R133" s="56">
        <f t="shared" si="17"/>
        <v>0</v>
      </c>
      <c r="S133" s="56">
        <f t="shared" si="17"/>
        <v>0</v>
      </c>
      <c r="T133" s="56">
        <f t="shared" si="17"/>
        <v>0</v>
      </c>
      <c r="U133" s="56">
        <f t="shared" si="17"/>
        <v>0</v>
      </c>
      <c r="V133" s="56">
        <f t="shared" si="17"/>
        <v>0</v>
      </c>
      <c r="W133" s="56">
        <f t="shared" si="17"/>
        <v>0</v>
      </c>
      <c r="X133" s="56">
        <f t="shared" si="17"/>
        <v>0</v>
      </c>
      <c r="Y133" s="56">
        <f t="shared" si="17"/>
        <v>0</v>
      </c>
      <c r="Z133" s="56">
        <f t="shared" si="17"/>
        <v>0</v>
      </c>
      <c r="AA133" s="56">
        <f t="shared" si="17"/>
        <v>0</v>
      </c>
      <c r="AB133" s="56">
        <f t="shared" si="17"/>
        <v>0</v>
      </c>
      <c r="AC133" s="56">
        <f t="shared" si="17"/>
        <v>0</v>
      </c>
      <c r="AD133" s="56">
        <f t="shared" si="17"/>
        <v>0</v>
      </c>
      <c r="AE133" s="56">
        <f t="shared" si="17"/>
        <v>0</v>
      </c>
      <c r="AF133" s="56">
        <f t="shared" si="17"/>
        <v>0</v>
      </c>
      <c r="AG133" s="56">
        <f t="shared" si="17"/>
        <v>0</v>
      </c>
      <c r="AH133" s="56">
        <f t="shared" si="17"/>
        <v>0</v>
      </c>
      <c r="AI133" s="56">
        <f t="shared" si="17"/>
        <v>0</v>
      </c>
      <c r="AJ133" s="56">
        <f t="shared" si="17"/>
        <v>0</v>
      </c>
      <c r="AK133" s="56">
        <f t="shared" si="17"/>
        <v>0</v>
      </c>
      <c r="AL133" s="56">
        <f t="shared" si="17"/>
        <v>0</v>
      </c>
      <c r="AM133" s="56">
        <f t="shared" si="17"/>
        <v>0</v>
      </c>
      <c r="AN133" s="56">
        <f t="shared" si="17"/>
        <v>0</v>
      </c>
      <c r="AO133" s="56">
        <f t="shared" si="17"/>
        <v>0</v>
      </c>
      <c r="AP133" s="29"/>
    </row>
    <row r="134" spans="1:42" outlineLevel="1" x14ac:dyDescent="0.25">
      <c r="A134" s="54"/>
      <c r="B134" s="13"/>
      <c r="C134" s="45" t="s">
        <v>214</v>
      </c>
      <c r="D134" s="14"/>
      <c r="E134" s="70" t="s">
        <v>352</v>
      </c>
      <c r="F134" s="201">
        <f>Data!E461/1000</f>
        <v>3.3242820000000001E-5</v>
      </c>
      <c r="G134" s="231">
        <f t="shared" si="12"/>
        <v>62.230559040000024</v>
      </c>
      <c r="H134" s="56"/>
      <c r="I134" s="56">
        <f>I$126*$F$134</f>
        <v>0</v>
      </c>
      <c r="J134" s="56">
        <f t="shared" ref="J134:AO134" si="18">J$126*$F$134</f>
        <v>0</v>
      </c>
      <c r="K134" s="56">
        <f t="shared" si="18"/>
        <v>0</v>
      </c>
      <c r="L134" s="56">
        <f t="shared" si="18"/>
        <v>0</v>
      </c>
      <c r="M134" s="56">
        <f t="shared" si="18"/>
        <v>0</v>
      </c>
      <c r="N134" s="56">
        <f t="shared" si="18"/>
        <v>0</v>
      </c>
      <c r="O134" s="56">
        <f t="shared" si="18"/>
        <v>0</v>
      </c>
      <c r="P134" s="56">
        <f t="shared" si="18"/>
        <v>0</v>
      </c>
      <c r="Q134" s="56">
        <f t="shared" si="18"/>
        <v>0</v>
      </c>
      <c r="R134" s="56">
        <f t="shared" si="18"/>
        <v>0</v>
      </c>
      <c r="S134" s="56">
        <f t="shared" si="18"/>
        <v>0</v>
      </c>
      <c r="T134" s="56">
        <f t="shared" si="18"/>
        <v>0</v>
      </c>
      <c r="U134" s="56">
        <f t="shared" si="18"/>
        <v>3.1115279519999999</v>
      </c>
      <c r="V134" s="56">
        <f t="shared" si="18"/>
        <v>3.1115279519999999</v>
      </c>
      <c r="W134" s="56">
        <f t="shared" si="18"/>
        <v>3.1115279519999999</v>
      </c>
      <c r="X134" s="56">
        <f t="shared" si="18"/>
        <v>3.1115279519999999</v>
      </c>
      <c r="Y134" s="56">
        <f t="shared" si="18"/>
        <v>3.1115279519999999</v>
      </c>
      <c r="Z134" s="56">
        <f t="shared" si="18"/>
        <v>3.1115279519999999</v>
      </c>
      <c r="AA134" s="56">
        <f t="shared" si="18"/>
        <v>3.1115279519999999</v>
      </c>
      <c r="AB134" s="56">
        <f t="shared" si="18"/>
        <v>3.1115279519999999</v>
      </c>
      <c r="AC134" s="56">
        <f t="shared" si="18"/>
        <v>3.1115279519999999</v>
      </c>
      <c r="AD134" s="56">
        <f t="shared" si="18"/>
        <v>3.1115279519999999</v>
      </c>
      <c r="AE134" s="56">
        <f t="shared" si="18"/>
        <v>3.1115279519999999</v>
      </c>
      <c r="AF134" s="56">
        <f t="shared" si="18"/>
        <v>3.1115279519999999</v>
      </c>
      <c r="AG134" s="56">
        <f t="shared" si="18"/>
        <v>3.1115279519999999</v>
      </c>
      <c r="AH134" s="56">
        <f t="shared" si="18"/>
        <v>3.1115279519999999</v>
      </c>
      <c r="AI134" s="56">
        <f t="shared" si="18"/>
        <v>3.1115279519999999</v>
      </c>
      <c r="AJ134" s="56">
        <f t="shared" si="18"/>
        <v>3.1115279519999999</v>
      </c>
      <c r="AK134" s="56">
        <f t="shared" si="18"/>
        <v>3.1115279519999999</v>
      </c>
      <c r="AL134" s="56">
        <f t="shared" si="18"/>
        <v>3.1115279519999999</v>
      </c>
      <c r="AM134" s="56">
        <f t="shared" si="18"/>
        <v>3.1115279519999999</v>
      </c>
      <c r="AN134" s="56">
        <f t="shared" si="18"/>
        <v>3.1115279519999999</v>
      </c>
      <c r="AO134" s="56">
        <f t="shared" si="18"/>
        <v>0</v>
      </c>
      <c r="AP134" s="29"/>
    </row>
    <row r="135" spans="1:42" outlineLevel="1" x14ac:dyDescent="0.25">
      <c r="A135" s="12"/>
      <c r="B135" s="13"/>
      <c r="C135" s="14"/>
      <c r="D135" s="14"/>
      <c r="E135" s="15"/>
      <c r="F135" s="16"/>
      <c r="G135" s="231">
        <f t="shared" si="12"/>
        <v>0</v>
      </c>
      <c r="H135" s="159"/>
      <c r="I135" s="56"/>
      <c r="J135" s="56"/>
      <c r="K135" s="56"/>
      <c r="L135" s="56"/>
      <c r="M135" s="56"/>
      <c r="N135" s="56"/>
      <c r="O135" s="56"/>
      <c r="P135" s="56"/>
      <c r="Q135" s="56"/>
      <c r="R135" s="56"/>
      <c r="S135" s="56"/>
      <c r="T135" s="56"/>
      <c r="U135" s="56"/>
      <c r="V135" s="56"/>
      <c r="W135" s="56"/>
      <c r="X135" s="56"/>
      <c r="Y135" s="56"/>
      <c r="Z135" s="56"/>
      <c r="AA135" s="56"/>
      <c r="AB135" s="56"/>
      <c r="AC135" s="14"/>
      <c r="AD135" s="14"/>
      <c r="AE135" s="14"/>
      <c r="AF135" s="14"/>
      <c r="AG135" s="14"/>
      <c r="AH135" s="14"/>
      <c r="AI135" s="14"/>
      <c r="AJ135" s="14"/>
      <c r="AK135" s="14"/>
      <c r="AL135" s="14"/>
      <c r="AM135" s="14"/>
      <c r="AN135" s="14"/>
      <c r="AO135" s="14"/>
      <c r="AP135" s="14"/>
    </row>
    <row r="136" spans="1:42" outlineLevel="1" x14ac:dyDescent="0.25">
      <c r="A136" s="54"/>
      <c r="B136" s="13"/>
      <c r="C136" s="45" t="s">
        <v>205</v>
      </c>
      <c r="D136" s="14"/>
      <c r="E136" s="70" t="s">
        <v>474</v>
      </c>
      <c r="F136" s="200">
        <f>Data!$E$35/1000</f>
        <v>3.4099438202247192E-3</v>
      </c>
      <c r="G136" s="231">
        <f t="shared" si="12"/>
        <v>0</v>
      </c>
      <c r="H136" s="56"/>
      <c r="I136" s="56">
        <f>I128*$F$136</f>
        <v>0</v>
      </c>
      <c r="J136" s="56">
        <f t="shared" ref="J136:AO136" si="19">J128*$F$136</f>
        <v>0</v>
      </c>
      <c r="K136" s="56">
        <f t="shared" si="19"/>
        <v>0</v>
      </c>
      <c r="L136" s="56">
        <f t="shared" si="19"/>
        <v>0</v>
      </c>
      <c r="M136" s="56">
        <f t="shared" si="19"/>
        <v>0</v>
      </c>
      <c r="N136" s="56">
        <f t="shared" si="19"/>
        <v>0</v>
      </c>
      <c r="O136" s="56">
        <f t="shared" si="19"/>
        <v>0</v>
      </c>
      <c r="P136" s="56">
        <f t="shared" si="19"/>
        <v>0</v>
      </c>
      <c r="Q136" s="56">
        <f t="shared" si="19"/>
        <v>0</v>
      </c>
      <c r="R136" s="56">
        <f t="shared" si="19"/>
        <v>0</v>
      </c>
      <c r="S136" s="56">
        <f t="shared" si="19"/>
        <v>0</v>
      </c>
      <c r="T136" s="56">
        <f t="shared" si="19"/>
        <v>0</v>
      </c>
      <c r="U136" s="56">
        <f t="shared" si="19"/>
        <v>0</v>
      </c>
      <c r="V136" s="56">
        <f t="shared" si="19"/>
        <v>0</v>
      </c>
      <c r="W136" s="56">
        <f t="shared" si="19"/>
        <v>0</v>
      </c>
      <c r="X136" s="56">
        <f t="shared" si="19"/>
        <v>0</v>
      </c>
      <c r="Y136" s="56">
        <f t="shared" si="19"/>
        <v>0</v>
      </c>
      <c r="Z136" s="56">
        <f t="shared" si="19"/>
        <v>0</v>
      </c>
      <c r="AA136" s="56">
        <f t="shared" si="19"/>
        <v>0</v>
      </c>
      <c r="AB136" s="56">
        <f t="shared" si="19"/>
        <v>0</v>
      </c>
      <c r="AC136" s="56">
        <f t="shared" si="19"/>
        <v>0</v>
      </c>
      <c r="AD136" s="56">
        <f t="shared" si="19"/>
        <v>0</v>
      </c>
      <c r="AE136" s="56">
        <f t="shared" si="19"/>
        <v>0</v>
      </c>
      <c r="AF136" s="56">
        <f t="shared" si="19"/>
        <v>0</v>
      </c>
      <c r="AG136" s="56">
        <f t="shared" si="19"/>
        <v>0</v>
      </c>
      <c r="AH136" s="56">
        <f t="shared" si="19"/>
        <v>0</v>
      </c>
      <c r="AI136" s="56">
        <f t="shared" si="19"/>
        <v>0</v>
      </c>
      <c r="AJ136" s="56">
        <f t="shared" si="19"/>
        <v>0</v>
      </c>
      <c r="AK136" s="56">
        <f t="shared" si="19"/>
        <v>0</v>
      </c>
      <c r="AL136" s="56">
        <f t="shared" si="19"/>
        <v>0</v>
      </c>
      <c r="AM136" s="56">
        <f t="shared" si="19"/>
        <v>0</v>
      </c>
      <c r="AN136" s="56">
        <f t="shared" si="19"/>
        <v>0</v>
      </c>
      <c r="AO136" s="56">
        <f t="shared" si="19"/>
        <v>0</v>
      </c>
      <c r="AP136" s="29"/>
    </row>
    <row r="137" spans="1:42" outlineLevel="1" x14ac:dyDescent="0.25">
      <c r="A137" s="54"/>
      <c r="B137" s="13"/>
      <c r="C137" s="45" t="s">
        <v>484</v>
      </c>
      <c r="D137" s="14"/>
      <c r="E137" s="70" t="s">
        <v>474</v>
      </c>
      <c r="F137" s="200"/>
      <c r="G137" s="231">
        <f>SUM(I137:AO137)</f>
        <v>75239.418748840981</v>
      </c>
      <c r="H137" s="56"/>
      <c r="I137" s="56">
        <f>I129*Data!H$16/1000</f>
        <v>0</v>
      </c>
      <c r="J137" s="56">
        <f>J129*Data!I$16/1000</f>
        <v>0</v>
      </c>
      <c r="K137" s="56">
        <f>K129*Data!J$16/1000</f>
        <v>0</v>
      </c>
      <c r="L137" s="56">
        <f>L129*Data!K$16/1000</f>
        <v>0</v>
      </c>
      <c r="M137" s="56">
        <f>M129*Data!L$16/1000</f>
        <v>0</v>
      </c>
      <c r="N137" s="56">
        <f>N129*Data!M$16/1000</f>
        <v>0</v>
      </c>
      <c r="O137" s="56">
        <f>O129*Data!N$16/1000</f>
        <v>0</v>
      </c>
      <c r="P137" s="56">
        <f>P129*Data!O$16/1000</f>
        <v>0</v>
      </c>
      <c r="Q137" s="56">
        <f>Q129*Data!P$16/1000</f>
        <v>0</v>
      </c>
      <c r="R137" s="56">
        <f>R129*Data!Q$16/1000</f>
        <v>0</v>
      </c>
      <c r="S137" s="56">
        <f>S129*Data!R$16/1000</f>
        <v>0</v>
      </c>
      <c r="T137" s="56">
        <f>T129*Data!S$16/1000</f>
        <v>0</v>
      </c>
      <c r="U137" s="56">
        <f>U129*Data!T$16/1000</f>
        <v>2869.679856928381</v>
      </c>
      <c r="V137" s="56">
        <f>V129*Data!U$16/1000</f>
        <v>2959.3573524573931</v>
      </c>
      <c r="W137" s="56">
        <f>W129*Data!V$16/1000</f>
        <v>3049.0348479864047</v>
      </c>
      <c r="X137" s="56">
        <f>X129*Data!W$16/1000</f>
        <v>3138.7123435154172</v>
      </c>
      <c r="Y137" s="56">
        <f>Y129*Data!X$16/1000</f>
        <v>3228.3898390444288</v>
      </c>
      <c r="Z137" s="56">
        <f>Z129*Data!Y$16/1000</f>
        <v>3318.0673345734408</v>
      </c>
      <c r="AA137" s="56">
        <f>AA129*Data!Z$16/1000</f>
        <v>3407.7448301024524</v>
      </c>
      <c r="AB137" s="56">
        <f>AB129*Data!AA$16/1000</f>
        <v>3512.3685748862995</v>
      </c>
      <c r="AC137" s="56">
        <f>AC129*Data!AB$16/1000</f>
        <v>3602.046070415312</v>
      </c>
      <c r="AD137" s="56">
        <f>AD129*Data!AC$16/1000</f>
        <v>3691.7235659443236</v>
      </c>
      <c r="AE137" s="56">
        <f>AE129*Data!AD$16/1000</f>
        <v>3781.4010614733356</v>
      </c>
      <c r="AF137" s="56">
        <f>AF129*Data!AE$16/1000</f>
        <v>3871.0785570023472</v>
      </c>
      <c r="AG137" s="56">
        <f>AG129*Data!AF$16/1000</f>
        <v>3960.7560525313593</v>
      </c>
      <c r="AH137" s="56">
        <f>AH129*Data!AG$16/1000</f>
        <v>4050.4335480603709</v>
      </c>
      <c r="AI137" s="56">
        <f>AI129*Data!AH$16/1000</f>
        <v>4140.1110435893834</v>
      </c>
      <c r="AJ137" s="56">
        <f>AJ129*Data!AI$16/1000</f>
        <v>4274.627286882901</v>
      </c>
      <c r="AK137" s="56">
        <f>AK129*Data!AJ$16/1000</f>
        <v>4394.197280921584</v>
      </c>
      <c r="AL137" s="56">
        <f>AL129*Data!AK$16/1000</f>
        <v>4528.7135242151016</v>
      </c>
      <c r="AM137" s="56">
        <f>AM129*Data!AL$16/1000</f>
        <v>4663.2297675086193</v>
      </c>
      <c r="AN137" s="56">
        <f>AN129*Data!AM$16/1000</f>
        <v>4797.7460108021378</v>
      </c>
      <c r="AO137" s="56">
        <f>AO129*Data!AN$16/1000</f>
        <v>0</v>
      </c>
      <c r="AP137" s="29"/>
    </row>
    <row r="138" spans="1:42" outlineLevel="1" x14ac:dyDescent="0.25">
      <c r="A138" s="54"/>
      <c r="B138" s="13"/>
      <c r="C138" s="45" t="s">
        <v>285</v>
      </c>
      <c r="D138" s="14"/>
      <c r="E138" s="70" t="s">
        <v>474</v>
      </c>
      <c r="F138" s="200">
        <f>Data!$E$36/1000</f>
        <v>1.0822865168539326</v>
      </c>
      <c r="G138" s="231">
        <f t="shared" si="12"/>
        <v>0</v>
      </c>
      <c r="H138" s="56"/>
      <c r="I138" s="56">
        <f>I130*$F$138</f>
        <v>0</v>
      </c>
      <c r="J138" s="56">
        <f t="shared" ref="J138:AO138" si="20">J130*$F$138</f>
        <v>0</v>
      </c>
      <c r="K138" s="56">
        <f t="shared" si="20"/>
        <v>0</v>
      </c>
      <c r="L138" s="56">
        <f t="shared" si="20"/>
        <v>0</v>
      </c>
      <c r="M138" s="56">
        <f t="shared" si="20"/>
        <v>0</v>
      </c>
      <c r="N138" s="56">
        <f t="shared" si="20"/>
        <v>0</v>
      </c>
      <c r="O138" s="56">
        <f t="shared" si="20"/>
        <v>0</v>
      </c>
      <c r="P138" s="56">
        <f t="shared" si="20"/>
        <v>0</v>
      </c>
      <c r="Q138" s="56">
        <f t="shared" si="20"/>
        <v>0</v>
      </c>
      <c r="R138" s="56">
        <f t="shared" si="20"/>
        <v>0</v>
      </c>
      <c r="S138" s="56">
        <f t="shared" si="20"/>
        <v>0</v>
      </c>
      <c r="T138" s="56">
        <f t="shared" si="20"/>
        <v>0</v>
      </c>
      <c r="U138" s="56">
        <f t="shared" si="20"/>
        <v>0</v>
      </c>
      <c r="V138" s="56">
        <f t="shared" si="20"/>
        <v>0</v>
      </c>
      <c r="W138" s="56">
        <f t="shared" si="20"/>
        <v>0</v>
      </c>
      <c r="X138" s="56">
        <f t="shared" si="20"/>
        <v>0</v>
      </c>
      <c r="Y138" s="56">
        <f t="shared" si="20"/>
        <v>0</v>
      </c>
      <c r="Z138" s="56">
        <f t="shared" si="20"/>
        <v>0</v>
      </c>
      <c r="AA138" s="56">
        <f t="shared" si="20"/>
        <v>0</v>
      </c>
      <c r="AB138" s="56">
        <f t="shared" si="20"/>
        <v>0</v>
      </c>
      <c r="AC138" s="56">
        <f t="shared" si="20"/>
        <v>0</v>
      </c>
      <c r="AD138" s="56">
        <f t="shared" si="20"/>
        <v>0</v>
      </c>
      <c r="AE138" s="56">
        <f t="shared" si="20"/>
        <v>0</v>
      </c>
      <c r="AF138" s="56">
        <f t="shared" si="20"/>
        <v>0</v>
      </c>
      <c r="AG138" s="56">
        <f t="shared" si="20"/>
        <v>0</v>
      </c>
      <c r="AH138" s="56">
        <f t="shared" si="20"/>
        <v>0</v>
      </c>
      <c r="AI138" s="56">
        <f t="shared" si="20"/>
        <v>0</v>
      </c>
      <c r="AJ138" s="56">
        <f t="shared" si="20"/>
        <v>0</v>
      </c>
      <c r="AK138" s="56">
        <f t="shared" si="20"/>
        <v>0</v>
      </c>
      <c r="AL138" s="56">
        <f t="shared" si="20"/>
        <v>0</v>
      </c>
      <c r="AM138" s="56">
        <f t="shared" si="20"/>
        <v>0</v>
      </c>
      <c r="AN138" s="56">
        <f t="shared" si="20"/>
        <v>0</v>
      </c>
      <c r="AO138" s="56">
        <f t="shared" si="20"/>
        <v>0</v>
      </c>
      <c r="AP138" s="29"/>
    </row>
    <row r="139" spans="1:42" outlineLevel="1" x14ac:dyDescent="0.25">
      <c r="A139" s="54"/>
      <c r="B139" s="13"/>
      <c r="C139" s="45" t="s">
        <v>220</v>
      </c>
      <c r="D139" s="14"/>
      <c r="E139" s="70" t="s">
        <v>474</v>
      </c>
      <c r="F139" s="200">
        <f>Data!$E$37/1000</f>
        <v>371.00188764044947</v>
      </c>
      <c r="G139" s="231">
        <f t="shared" si="12"/>
        <v>0</v>
      </c>
      <c r="H139" s="63">
        <f>G139/G143</f>
        <v>0</v>
      </c>
      <c r="I139" s="56">
        <f>I131*$F$139</f>
        <v>0</v>
      </c>
      <c r="J139" s="56">
        <f t="shared" ref="J139:AO139" si="21">J131*$F$139</f>
        <v>0</v>
      </c>
      <c r="K139" s="56">
        <f t="shared" si="21"/>
        <v>0</v>
      </c>
      <c r="L139" s="56">
        <f t="shared" si="21"/>
        <v>0</v>
      </c>
      <c r="M139" s="56">
        <f t="shared" si="21"/>
        <v>0</v>
      </c>
      <c r="N139" s="56">
        <f t="shared" si="21"/>
        <v>0</v>
      </c>
      <c r="O139" s="56">
        <f t="shared" si="21"/>
        <v>0</v>
      </c>
      <c r="P139" s="56">
        <f t="shared" si="21"/>
        <v>0</v>
      </c>
      <c r="Q139" s="56">
        <f t="shared" si="21"/>
        <v>0</v>
      </c>
      <c r="R139" s="56">
        <f t="shared" si="21"/>
        <v>0</v>
      </c>
      <c r="S139" s="56">
        <f t="shared" si="21"/>
        <v>0</v>
      </c>
      <c r="T139" s="56">
        <f t="shared" si="21"/>
        <v>0</v>
      </c>
      <c r="U139" s="56">
        <f t="shared" si="21"/>
        <v>0</v>
      </c>
      <c r="V139" s="56">
        <f t="shared" si="21"/>
        <v>0</v>
      </c>
      <c r="W139" s="56">
        <f t="shared" si="21"/>
        <v>0</v>
      </c>
      <c r="X139" s="56">
        <f t="shared" si="21"/>
        <v>0</v>
      </c>
      <c r="Y139" s="56">
        <f t="shared" si="21"/>
        <v>0</v>
      </c>
      <c r="Z139" s="56">
        <f t="shared" si="21"/>
        <v>0</v>
      </c>
      <c r="AA139" s="56">
        <f t="shared" si="21"/>
        <v>0</v>
      </c>
      <c r="AB139" s="56">
        <f t="shared" si="21"/>
        <v>0</v>
      </c>
      <c r="AC139" s="56">
        <f t="shared" si="21"/>
        <v>0</v>
      </c>
      <c r="AD139" s="56">
        <f t="shared" si="21"/>
        <v>0</v>
      </c>
      <c r="AE139" s="56">
        <f t="shared" si="21"/>
        <v>0</v>
      </c>
      <c r="AF139" s="56">
        <f t="shared" si="21"/>
        <v>0</v>
      </c>
      <c r="AG139" s="56">
        <f t="shared" si="21"/>
        <v>0</v>
      </c>
      <c r="AH139" s="56">
        <f t="shared" si="21"/>
        <v>0</v>
      </c>
      <c r="AI139" s="56">
        <f t="shared" si="21"/>
        <v>0</v>
      </c>
      <c r="AJ139" s="56">
        <f t="shared" si="21"/>
        <v>0</v>
      </c>
      <c r="AK139" s="56">
        <f t="shared" si="21"/>
        <v>0</v>
      </c>
      <c r="AL139" s="56">
        <f t="shared" si="21"/>
        <v>0</v>
      </c>
      <c r="AM139" s="56">
        <f t="shared" si="21"/>
        <v>0</v>
      </c>
      <c r="AN139" s="56">
        <f t="shared" si="21"/>
        <v>0</v>
      </c>
      <c r="AO139" s="56">
        <f t="shared" si="21"/>
        <v>0</v>
      </c>
      <c r="AP139" s="29"/>
    </row>
    <row r="140" spans="1:42" outlineLevel="1" x14ac:dyDescent="0.25">
      <c r="A140" s="54"/>
      <c r="B140" s="13"/>
      <c r="C140" s="45" t="s">
        <v>212</v>
      </c>
      <c r="D140" s="14"/>
      <c r="E140" s="70" t="s">
        <v>474</v>
      </c>
      <c r="F140" s="200">
        <f>Data!$E$39/1000</f>
        <v>0</v>
      </c>
      <c r="G140" s="231">
        <f t="shared" si="12"/>
        <v>0</v>
      </c>
      <c r="H140" s="56"/>
      <c r="I140" s="56">
        <f>I132*$F$140</f>
        <v>0</v>
      </c>
      <c r="J140" s="56">
        <f t="shared" ref="J140:AO140" si="22">J132*$F$140</f>
        <v>0</v>
      </c>
      <c r="K140" s="56">
        <f t="shared" si="22"/>
        <v>0</v>
      </c>
      <c r="L140" s="56">
        <f t="shared" si="22"/>
        <v>0</v>
      </c>
      <c r="M140" s="56">
        <f t="shared" si="22"/>
        <v>0</v>
      </c>
      <c r="N140" s="56">
        <f t="shared" si="22"/>
        <v>0</v>
      </c>
      <c r="O140" s="56">
        <f t="shared" si="22"/>
        <v>0</v>
      </c>
      <c r="P140" s="56">
        <f t="shared" si="22"/>
        <v>0</v>
      </c>
      <c r="Q140" s="56">
        <f t="shared" si="22"/>
        <v>0</v>
      </c>
      <c r="R140" s="56">
        <f t="shared" si="22"/>
        <v>0</v>
      </c>
      <c r="S140" s="56">
        <f t="shared" si="22"/>
        <v>0</v>
      </c>
      <c r="T140" s="56">
        <f t="shared" si="22"/>
        <v>0</v>
      </c>
      <c r="U140" s="56">
        <f t="shared" si="22"/>
        <v>0</v>
      </c>
      <c r="V140" s="56">
        <f t="shared" si="22"/>
        <v>0</v>
      </c>
      <c r="W140" s="56">
        <f t="shared" si="22"/>
        <v>0</v>
      </c>
      <c r="X140" s="56">
        <f t="shared" si="22"/>
        <v>0</v>
      </c>
      <c r="Y140" s="56">
        <f t="shared" si="22"/>
        <v>0</v>
      </c>
      <c r="Z140" s="56">
        <f t="shared" si="22"/>
        <v>0</v>
      </c>
      <c r="AA140" s="56">
        <f t="shared" si="22"/>
        <v>0</v>
      </c>
      <c r="AB140" s="56">
        <f t="shared" si="22"/>
        <v>0</v>
      </c>
      <c r="AC140" s="56">
        <f t="shared" si="22"/>
        <v>0</v>
      </c>
      <c r="AD140" s="56">
        <f t="shared" si="22"/>
        <v>0</v>
      </c>
      <c r="AE140" s="56">
        <f t="shared" si="22"/>
        <v>0</v>
      </c>
      <c r="AF140" s="56">
        <f t="shared" si="22"/>
        <v>0</v>
      </c>
      <c r="AG140" s="56">
        <f t="shared" si="22"/>
        <v>0</v>
      </c>
      <c r="AH140" s="56">
        <f t="shared" si="22"/>
        <v>0</v>
      </c>
      <c r="AI140" s="56">
        <f t="shared" si="22"/>
        <v>0</v>
      </c>
      <c r="AJ140" s="56">
        <f t="shared" si="22"/>
        <v>0</v>
      </c>
      <c r="AK140" s="56">
        <f t="shared" si="22"/>
        <v>0</v>
      </c>
      <c r="AL140" s="56">
        <f t="shared" si="22"/>
        <v>0</v>
      </c>
      <c r="AM140" s="56">
        <f t="shared" si="22"/>
        <v>0</v>
      </c>
      <c r="AN140" s="56">
        <f t="shared" si="22"/>
        <v>0</v>
      </c>
      <c r="AO140" s="56">
        <f t="shared" si="22"/>
        <v>0</v>
      </c>
      <c r="AP140" s="29"/>
    </row>
    <row r="141" spans="1:42" outlineLevel="1" x14ac:dyDescent="0.25">
      <c r="A141" s="54"/>
      <c r="B141" s="13"/>
      <c r="C141" s="45" t="s">
        <v>485</v>
      </c>
      <c r="D141" s="14"/>
      <c r="E141" s="70" t="s">
        <v>474</v>
      </c>
      <c r="F141" s="200">
        <f>Data!$E$40/1000</f>
        <v>605.20914606741576</v>
      </c>
      <c r="G141" s="231">
        <f t="shared" si="12"/>
        <v>0</v>
      </c>
      <c r="H141" s="56"/>
      <c r="I141" s="56">
        <f>I133*$F$141</f>
        <v>0</v>
      </c>
      <c r="J141" s="56">
        <f t="shared" ref="J141:AO141" si="23">J133*$F$141</f>
        <v>0</v>
      </c>
      <c r="K141" s="56">
        <f t="shared" si="23"/>
        <v>0</v>
      </c>
      <c r="L141" s="56">
        <f t="shared" si="23"/>
        <v>0</v>
      </c>
      <c r="M141" s="56">
        <f t="shared" si="23"/>
        <v>0</v>
      </c>
      <c r="N141" s="56">
        <f t="shared" si="23"/>
        <v>0</v>
      </c>
      <c r="O141" s="56">
        <f t="shared" si="23"/>
        <v>0</v>
      </c>
      <c r="P141" s="56">
        <f t="shared" si="23"/>
        <v>0</v>
      </c>
      <c r="Q141" s="56">
        <f t="shared" si="23"/>
        <v>0</v>
      </c>
      <c r="R141" s="56">
        <f t="shared" si="23"/>
        <v>0</v>
      </c>
      <c r="S141" s="56">
        <f t="shared" si="23"/>
        <v>0</v>
      </c>
      <c r="T141" s="56">
        <f t="shared" si="23"/>
        <v>0</v>
      </c>
      <c r="U141" s="56">
        <f t="shared" si="23"/>
        <v>0</v>
      </c>
      <c r="V141" s="56">
        <f t="shared" si="23"/>
        <v>0</v>
      </c>
      <c r="W141" s="56">
        <f t="shared" si="23"/>
        <v>0</v>
      </c>
      <c r="X141" s="56">
        <f t="shared" si="23"/>
        <v>0</v>
      </c>
      <c r="Y141" s="56">
        <f t="shared" si="23"/>
        <v>0</v>
      </c>
      <c r="Z141" s="56">
        <f t="shared" si="23"/>
        <v>0</v>
      </c>
      <c r="AA141" s="56">
        <f t="shared" si="23"/>
        <v>0</v>
      </c>
      <c r="AB141" s="56">
        <f t="shared" si="23"/>
        <v>0</v>
      </c>
      <c r="AC141" s="56">
        <f t="shared" si="23"/>
        <v>0</v>
      </c>
      <c r="AD141" s="56">
        <f t="shared" si="23"/>
        <v>0</v>
      </c>
      <c r="AE141" s="56">
        <f t="shared" si="23"/>
        <v>0</v>
      </c>
      <c r="AF141" s="56">
        <f t="shared" si="23"/>
        <v>0</v>
      </c>
      <c r="AG141" s="56">
        <f t="shared" si="23"/>
        <v>0</v>
      </c>
      <c r="AH141" s="56">
        <f t="shared" si="23"/>
        <v>0</v>
      </c>
      <c r="AI141" s="56">
        <f t="shared" si="23"/>
        <v>0</v>
      </c>
      <c r="AJ141" s="56">
        <f t="shared" si="23"/>
        <v>0</v>
      </c>
      <c r="AK141" s="56">
        <f t="shared" si="23"/>
        <v>0</v>
      </c>
      <c r="AL141" s="56">
        <f t="shared" si="23"/>
        <v>0</v>
      </c>
      <c r="AM141" s="56">
        <f t="shared" si="23"/>
        <v>0</v>
      </c>
      <c r="AN141" s="56">
        <f t="shared" si="23"/>
        <v>0</v>
      </c>
      <c r="AO141" s="56">
        <f t="shared" si="23"/>
        <v>0</v>
      </c>
      <c r="AP141" s="29"/>
    </row>
    <row r="142" spans="1:42" outlineLevel="1" x14ac:dyDescent="0.25">
      <c r="A142" s="54"/>
      <c r="B142" s="13"/>
      <c r="C142" s="45" t="s">
        <v>214</v>
      </c>
      <c r="D142" s="14"/>
      <c r="E142" s="70" t="s">
        <v>474</v>
      </c>
      <c r="F142" s="200">
        <f>Data!$E$41/1000</f>
        <v>0</v>
      </c>
      <c r="G142" s="231">
        <f>SUM(I142:AO142)</f>
        <v>0</v>
      </c>
      <c r="H142" s="56"/>
      <c r="I142" s="56">
        <f>I134*$F$142</f>
        <v>0</v>
      </c>
      <c r="J142" s="56">
        <f t="shared" ref="J142:AO142" si="24">J134*$F$142</f>
        <v>0</v>
      </c>
      <c r="K142" s="56">
        <f t="shared" si="24"/>
        <v>0</v>
      </c>
      <c r="L142" s="56">
        <f t="shared" si="24"/>
        <v>0</v>
      </c>
      <c r="M142" s="56">
        <f t="shared" si="24"/>
        <v>0</v>
      </c>
      <c r="N142" s="56">
        <f t="shared" si="24"/>
        <v>0</v>
      </c>
      <c r="O142" s="56">
        <f t="shared" si="24"/>
        <v>0</v>
      </c>
      <c r="P142" s="56">
        <f t="shared" si="24"/>
        <v>0</v>
      </c>
      <c r="Q142" s="56">
        <f t="shared" si="24"/>
        <v>0</v>
      </c>
      <c r="R142" s="56">
        <f t="shared" si="24"/>
        <v>0</v>
      </c>
      <c r="S142" s="56">
        <f t="shared" si="24"/>
        <v>0</v>
      </c>
      <c r="T142" s="56">
        <f t="shared" si="24"/>
        <v>0</v>
      </c>
      <c r="U142" s="56">
        <f t="shared" si="24"/>
        <v>0</v>
      </c>
      <c r="V142" s="56">
        <f t="shared" si="24"/>
        <v>0</v>
      </c>
      <c r="W142" s="56">
        <f t="shared" si="24"/>
        <v>0</v>
      </c>
      <c r="X142" s="56">
        <f t="shared" si="24"/>
        <v>0</v>
      </c>
      <c r="Y142" s="56">
        <f t="shared" si="24"/>
        <v>0</v>
      </c>
      <c r="Z142" s="56">
        <f t="shared" si="24"/>
        <v>0</v>
      </c>
      <c r="AA142" s="56">
        <f t="shared" si="24"/>
        <v>0</v>
      </c>
      <c r="AB142" s="56">
        <f t="shared" si="24"/>
        <v>0</v>
      </c>
      <c r="AC142" s="56">
        <f t="shared" si="24"/>
        <v>0</v>
      </c>
      <c r="AD142" s="56">
        <f t="shared" si="24"/>
        <v>0</v>
      </c>
      <c r="AE142" s="56">
        <f t="shared" si="24"/>
        <v>0</v>
      </c>
      <c r="AF142" s="56">
        <f t="shared" si="24"/>
        <v>0</v>
      </c>
      <c r="AG142" s="56">
        <f t="shared" si="24"/>
        <v>0</v>
      </c>
      <c r="AH142" s="56">
        <f t="shared" si="24"/>
        <v>0</v>
      </c>
      <c r="AI142" s="56">
        <f t="shared" si="24"/>
        <v>0</v>
      </c>
      <c r="AJ142" s="56">
        <f t="shared" si="24"/>
        <v>0</v>
      </c>
      <c r="AK142" s="56">
        <f t="shared" si="24"/>
        <v>0</v>
      </c>
      <c r="AL142" s="56">
        <f t="shared" si="24"/>
        <v>0</v>
      </c>
      <c r="AM142" s="56">
        <f t="shared" si="24"/>
        <v>0</v>
      </c>
      <c r="AN142" s="56">
        <f t="shared" si="24"/>
        <v>0</v>
      </c>
      <c r="AO142" s="56">
        <f t="shared" si="24"/>
        <v>0</v>
      </c>
      <c r="AP142" s="29"/>
    </row>
    <row r="143" spans="1:42" outlineLevel="1" x14ac:dyDescent="0.25">
      <c r="A143" s="12"/>
      <c r="B143" s="13"/>
      <c r="C143" s="20" t="s">
        <v>486</v>
      </c>
      <c r="D143" s="14"/>
      <c r="E143" s="70" t="s">
        <v>474</v>
      </c>
      <c r="F143" s="16"/>
      <c r="G143" s="231">
        <f>SUM(I143:AO143)</f>
        <v>75239.418748840981</v>
      </c>
      <c r="H143" s="185"/>
      <c r="I143" s="185">
        <f>SUM(I136:I142)</f>
        <v>0</v>
      </c>
      <c r="J143" s="185">
        <f>SUM(J136:J142)</f>
        <v>0</v>
      </c>
      <c r="K143" s="185">
        <f t="shared" ref="K143" si="25">SUM(K136:K142)</f>
        <v>0</v>
      </c>
      <c r="L143" s="185">
        <f t="shared" ref="L143" si="26">SUM(L136:L142)</f>
        <v>0</v>
      </c>
      <c r="M143" s="185">
        <f t="shared" ref="M143" si="27">SUM(M136:M142)</f>
        <v>0</v>
      </c>
      <c r="N143" s="185">
        <f t="shared" ref="N143" si="28">SUM(N136:N142)</f>
        <v>0</v>
      </c>
      <c r="O143" s="185">
        <f t="shared" ref="O143" si="29">SUM(O136:O142)</f>
        <v>0</v>
      </c>
      <c r="P143" s="185">
        <f t="shared" ref="P143" si="30">SUM(P136:P142)</f>
        <v>0</v>
      </c>
      <c r="Q143" s="185">
        <f t="shared" ref="Q143" si="31">SUM(Q136:Q142)</f>
        <v>0</v>
      </c>
      <c r="R143" s="185">
        <f t="shared" ref="R143" si="32">SUM(R136:R142)</f>
        <v>0</v>
      </c>
      <c r="S143" s="185">
        <f t="shared" ref="S143" si="33">SUM(S136:S142)</f>
        <v>0</v>
      </c>
      <c r="T143" s="185">
        <f t="shared" ref="T143" si="34">SUM(T136:T142)</f>
        <v>0</v>
      </c>
      <c r="U143" s="185">
        <f t="shared" ref="U143" si="35">SUM(U136:U142)</f>
        <v>2869.679856928381</v>
      </c>
      <c r="V143" s="185">
        <f t="shared" ref="V143" si="36">SUM(V136:V142)</f>
        <v>2959.3573524573931</v>
      </c>
      <c r="W143" s="185">
        <f>SUM(W136:W142)</f>
        <v>3049.0348479864047</v>
      </c>
      <c r="X143" s="185">
        <f t="shared" ref="X143" si="37">SUM(X136:X142)</f>
        <v>3138.7123435154172</v>
      </c>
      <c r="Y143" s="185">
        <f t="shared" ref="Y143" si="38">SUM(Y136:Y142)</f>
        <v>3228.3898390444288</v>
      </c>
      <c r="Z143" s="185">
        <f t="shared" ref="Z143" si="39">SUM(Z136:Z142)</f>
        <v>3318.0673345734408</v>
      </c>
      <c r="AA143" s="185">
        <f t="shared" ref="AA143" si="40">SUM(AA136:AA142)</f>
        <v>3407.7448301024524</v>
      </c>
      <c r="AB143" s="185">
        <f t="shared" ref="AB143" si="41">SUM(AB136:AB142)</f>
        <v>3512.3685748862995</v>
      </c>
      <c r="AC143" s="185">
        <f t="shared" ref="AC143" si="42">SUM(AC136:AC142)</f>
        <v>3602.046070415312</v>
      </c>
      <c r="AD143" s="185">
        <f t="shared" ref="AD143" si="43">SUM(AD136:AD142)</f>
        <v>3691.7235659443236</v>
      </c>
      <c r="AE143" s="185">
        <f t="shared" ref="AE143" si="44">SUM(AE136:AE142)</f>
        <v>3781.4010614733356</v>
      </c>
      <c r="AF143" s="185">
        <f t="shared" ref="AF143" si="45">SUM(AF136:AF142)</f>
        <v>3871.0785570023472</v>
      </c>
      <c r="AG143" s="185">
        <f t="shared" ref="AG143" si="46">SUM(AG136:AG142)</f>
        <v>3960.7560525313593</v>
      </c>
      <c r="AH143" s="185">
        <f t="shared" ref="AH143" si="47">SUM(AH136:AH142)</f>
        <v>4050.4335480603709</v>
      </c>
      <c r="AI143" s="185">
        <f t="shared" ref="AI143" si="48">SUM(AI136:AI142)</f>
        <v>4140.1110435893834</v>
      </c>
      <c r="AJ143" s="185">
        <f t="shared" ref="AJ143" si="49">SUM(AJ136:AJ142)</f>
        <v>4274.627286882901</v>
      </c>
      <c r="AK143" s="185">
        <f t="shared" ref="AK143" si="50">SUM(AK136:AK142)</f>
        <v>4394.197280921584</v>
      </c>
      <c r="AL143" s="185">
        <f t="shared" ref="AL143" si="51">SUM(AL136:AL142)</f>
        <v>4528.7135242151016</v>
      </c>
      <c r="AM143" s="185">
        <f t="shared" ref="AM143" si="52">SUM(AM136:AM142)</f>
        <v>4663.2297675086193</v>
      </c>
      <c r="AN143" s="185">
        <f t="shared" ref="AN143" si="53">SUM(AN136:AN142)</f>
        <v>4797.7460108021378</v>
      </c>
      <c r="AO143" s="185">
        <f t="shared" ref="AO143" si="54">SUM(AO136:AO142)</f>
        <v>0</v>
      </c>
      <c r="AP143" s="14"/>
    </row>
    <row r="144" spans="1:42" outlineLevel="1" x14ac:dyDescent="0.25">
      <c r="A144" s="12"/>
      <c r="B144" s="13"/>
      <c r="C144" s="14" t="s">
        <v>523</v>
      </c>
      <c r="D144" s="14"/>
      <c r="E144" s="15" t="s">
        <v>474</v>
      </c>
      <c r="F144" s="48"/>
      <c r="G144" s="185"/>
      <c r="H144" s="185"/>
      <c r="I144" s="185">
        <f>I143*Data!H$9</f>
        <v>0</v>
      </c>
      <c r="J144" s="185">
        <f>J143*Data!I$9</f>
        <v>0</v>
      </c>
      <c r="K144" s="185">
        <f>K143*Data!J$9</f>
        <v>0</v>
      </c>
      <c r="L144" s="185">
        <f>L143*Data!K$9</f>
        <v>0</v>
      </c>
      <c r="M144" s="185">
        <f>M143*Data!L$9</f>
        <v>0</v>
      </c>
      <c r="N144" s="185">
        <f>N143*Data!M$9</f>
        <v>0</v>
      </c>
      <c r="O144" s="185">
        <f>O143*Data!N$9</f>
        <v>0</v>
      </c>
      <c r="P144" s="185">
        <f>P143*Data!O$9</f>
        <v>0</v>
      </c>
      <c r="Q144" s="185">
        <f>Q143*Data!P$9</f>
        <v>0</v>
      </c>
      <c r="R144" s="185">
        <f>R143*Data!Q$9</f>
        <v>0</v>
      </c>
      <c r="S144" s="185">
        <f>S143*Data!R$9</f>
        <v>0</v>
      </c>
      <c r="T144" s="185">
        <f>T143*Data!S$9</f>
        <v>0</v>
      </c>
      <c r="U144" s="185">
        <f>U143*Data!T$9</f>
        <v>1723.455357573856</v>
      </c>
      <c r="V144" s="185">
        <f>V143*Data!U$9</f>
        <v>1708.9551322096531</v>
      </c>
      <c r="W144" s="185">
        <f>W143*Data!V$9</f>
        <v>1693.0208186226164</v>
      </c>
      <c r="X144" s="185">
        <f>X143*Data!W$9</f>
        <v>1675.7841813289472</v>
      </c>
      <c r="Y144" s="185">
        <f>Y143*Data!X$9</f>
        <v>1657.3689705451125</v>
      </c>
      <c r="Z144" s="185">
        <f>Z143*Data!Y$9</f>
        <v>1637.8913437545182</v>
      </c>
      <c r="AA144" s="185">
        <f>AA143*Data!Z$9</f>
        <v>1617.4602667014472</v>
      </c>
      <c r="AB144" s="185">
        <f>AB143*Data!AA$9</f>
        <v>1602.9991678257425</v>
      </c>
      <c r="AC144" s="185">
        <f>AC143*Data!AB$9</f>
        <v>1580.6988520703924</v>
      </c>
      <c r="AD144" s="185">
        <f>AD143*Data!AC$9</f>
        <v>1557.7426446751792</v>
      </c>
      <c r="AE144" s="185">
        <f>AE143*Data!AD$9</f>
        <v>1534.2139874759434</v>
      </c>
      <c r="AF144" s="185">
        <f>AF143*Data!AE$9</f>
        <v>1510.1908739596736</v>
      </c>
      <c r="AG144" s="185">
        <f>AG143*Data!AF$9</f>
        <v>1485.746144933596</v>
      </c>
      <c r="AH144" s="185">
        <f>AH143*Data!AG$9</f>
        <v>1460.9477695101762</v>
      </c>
      <c r="AI144" s="185">
        <f>AI143*Data!AH$9</f>
        <v>1435.8591121001946</v>
      </c>
      <c r="AJ144" s="185">
        <f>AJ143*Data!AI$9</f>
        <v>1425.4918982944166</v>
      </c>
      <c r="AK144" s="185">
        <f>AK143*Data!AJ$9</f>
        <v>1409.0055745648147</v>
      </c>
      <c r="AL144" s="185">
        <f>AL143*Data!AK$9</f>
        <v>1396.2869214192142</v>
      </c>
      <c r="AM144" s="185">
        <f>AM143*Data!AL$9</f>
        <v>1382.4622984348653</v>
      </c>
      <c r="AN144" s="185">
        <f>AN143*Data!AM$9</f>
        <v>1367.6355947904087</v>
      </c>
      <c r="AO144" s="185">
        <f>AO143*Data!AN$9</f>
        <v>0</v>
      </c>
      <c r="AP144" s="14"/>
    </row>
    <row r="145" spans="1:42" outlineLevel="1" x14ac:dyDescent="0.25">
      <c r="A145" s="12"/>
      <c r="B145" s="13"/>
      <c r="C145" s="14" t="s">
        <v>489</v>
      </c>
      <c r="D145" s="13"/>
      <c r="E145" s="15" t="s">
        <v>142</v>
      </c>
      <c r="F145" s="16"/>
      <c r="G145" s="159">
        <f>SUM(H144:AO144)</f>
        <v>30863.216910790772</v>
      </c>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row>
    <row r="146" spans="1:42" outlineLevel="1" x14ac:dyDescent="0.25">
      <c r="A146" s="12"/>
      <c r="B146" s="13"/>
      <c r="C146" s="41" t="s">
        <v>62</v>
      </c>
      <c r="D146" s="41"/>
      <c r="E146" s="15" t="s">
        <v>261</v>
      </c>
      <c r="F146" s="16"/>
      <c r="G146" s="184">
        <f>G145/(SUM(H126:AO126))</f>
        <v>1.6486761170294215E-2</v>
      </c>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7"/>
    </row>
    <row r="147" spans="1:42" outlineLevel="1" x14ac:dyDescent="0.25">
      <c r="A147" s="12"/>
      <c r="B147" s="13"/>
      <c r="C147" s="41"/>
      <c r="D147" s="41"/>
      <c r="E147" s="15"/>
      <c r="F147" s="16"/>
      <c r="G147" s="14"/>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
      <c r="AD147" s="14"/>
      <c r="AE147" s="14"/>
      <c r="AF147" s="14"/>
      <c r="AG147" s="14"/>
      <c r="AH147" s="14"/>
      <c r="AI147" s="14"/>
      <c r="AJ147" s="14"/>
      <c r="AK147" s="14"/>
      <c r="AL147" s="14"/>
      <c r="AM147" s="14"/>
      <c r="AN147" s="14"/>
      <c r="AO147" s="14"/>
      <c r="AP147" s="17"/>
    </row>
    <row r="148" spans="1:42" outlineLevel="1" x14ac:dyDescent="0.25">
      <c r="A148" s="12"/>
      <c r="B148" s="13"/>
      <c r="C148" s="19" t="s">
        <v>252</v>
      </c>
      <c r="D148" s="14"/>
      <c r="E148" s="15"/>
      <c r="F148" s="16"/>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row>
    <row r="149" spans="1:42" outlineLevel="1" x14ac:dyDescent="0.25">
      <c r="A149" s="12"/>
      <c r="B149" s="13"/>
      <c r="C149" s="45" t="s">
        <v>520</v>
      </c>
      <c r="D149" s="14"/>
      <c r="E149" s="15" t="s">
        <v>521</v>
      </c>
      <c r="F149" s="16"/>
      <c r="G149" s="14"/>
      <c r="H149" s="141"/>
      <c r="I149" s="141">
        <f t="shared" ref="I149:AO149" si="55">I16</f>
        <v>93600</v>
      </c>
      <c r="J149" s="141">
        <f t="shared" si="55"/>
        <v>93600</v>
      </c>
      <c r="K149" s="141">
        <f t="shared" si="55"/>
        <v>93600</v>
      </c>
      <c r="L149" s="141">
        <f t="shared" si="55"/>
        <v>93600</v>
      </c>
      <c r="M149" s="141">
        <f t="shared" si="55"/>
        <v>93600</v>
      </c>
      <c r="N149" s="141">
        <f t="shared" si="55"/>
        <v>93600</v>
      </c>
      <c r="O149" s="141">
        <f t="shared" si="55"/>
        <v>93600</v>
      </c>
      <c r="P149" s="141">
        <f t="shared" si="55"/>
        <v>93600</v>
      </c>
      <c r="Q149" s="141">
        <f t="shared" si="55"/>
        <v>93600</v>
      </c>
      <c r="R149" s="141">
        <f t="shared" si="55"/>
        <v>93600</v>
      </c>
      <c r="S149" s="141">
        <f t="shared" si="55"/>
        <v>93600</v>
      </c>
      <c r="T149" s="141">
        <f t="shared" si="55"/>
        <v>93600</v>
      </c>
      <c r="U149" s="141">
        <f t="shared" si="55"/>
        <v>0</v>
      </c>
      <c r="V149" s="141">
        <f t="shared" si="55"/>
        <v>0</v>
      </c>
      <c r="W149" s="141">
        <f t="shared" si="55"/>
        <v>0</v>
      </c>
      <c r="X149" s="141">
        <f t="shared" si="55"/>
        <v>0</v>
      </c>
      <c r="Y149" s="141">
        <f t="shared" si="55"/>
        <v>0</v>
      </c>
      <c r="Z149" s="141">
        <f t="shared" si="55"/>
        <v>0</v>
      </c>
      <c r="AA149" s="141">
        <f t="shared" si="55"/>
        <v>0</v>
      </c>
      <c r="AB149" s="141">
        <f t="shared" si="55"/>
        <v>0</v>
      </c>
      <c r="AC149" s="141">
        <f t="shared" si="55"/>
        <v>0</v>
      </c>
      <c r="AD149" s="141">
        <f t="shared" si="55"/>
        <v>0</v>
      </c>
      <c r="AE149" s="141">
        <f t="shared" si="55"/>
        <v>0</v>
      </c>
      <c r="AF149" s="141">
        <f t="shared" si="55"/>
        <v>0</v>
      </c>
      <c r="AG149" s="141">
        <f t="shared" si="55"/>
        <v>0</v>
      </c>
      <c r="AH149" s="141">
        <f t="shared" si="55"/>
        <v>0</v>
      </c>
      <c r="AI149" s="141">
        <f t="shared" si="55"/>
        <v>0</v>
      </c>
      <c r="AJ149" s="141">
        <f t="shared" si="55"/>
        <v>0</v>
      </c>
      <c r="AK149" s="141">
        <f t="shared" si="55"/>
        <v>0</v>
      </c>
      <c r="AL149" s="141">
        <f t="shared" si="55"/>
        <v>0</v>
      </c>
      <c r="AM149" s="141">
        <f t="shared" si="55"/>
        <v>0</v>
      </c>
      <c r="AN149" s="141">
        <f t="shared" si="55"/>
        <v>0</v>
      </c>
      <c r="AO149" s="141">
        <f t="shared" si="55"/>
        <v>0</v>
      </c>
      <c r="AP149" s="14"/>
    </row>
    <row r="150" spans="1:42" outlineLevel="1" x14ac:dyDescent="0.25">
      <c r="A150" s="12"/>
      <c r="B150" s="13"/>
      <c r="C150" s="44" t="s">
        <v>483</v>
      </c>
      <c r="D150" s="14"/>
      <c r="E150" s="15"/>
      <c r="F150" s="16"/>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4"/>
      <c r="AH150" s="14"/>
      <c r="AI150" s="14"/>
      <c r="AJ150" s="14"/>
      <c r="AK150" s="14"/>
      <c r="AL150" s="14"/>
      <c r="AM150" s="14"/>
      <c r="AN150" s="14"/>
      <c r="AO150" s="14"/>
      <c r="AP150" s="14"/>
    </row>
    <row r="151" spans="1:42" ht="14.25" customHeight="1" outlineLevel="1" x14ac:dyDescent="0.25">
      <c r="A151" s="54"/>
      <c r="B151" s="13"/>
      <c r="C151" s="45" t="s">
        <v>205</v>
      </c>
      <c r="D151" s="14"/>
      <c r="E151" s="70" t="s">
        <v>352</v>
      </c>
      <c r="F151" s="201">
        <f>Data!$E$413/1000</f>
        <v>4.0583752780418599E-3</v>
      </c>
      <c r="G151" s="56"/>
      <c r="H151" s="56"/>
      <c r="I151" s="56">
        <f t="shared" ref="I151:AO151" si="56">I$149*$F$151</f>
        <v>379.86392602471807</v>
      </c>
      <c r="J151" s="56">
        <f t="shared" si="56"/>
        <v>379.86392602471807</v>
      </c>
      <c r="K151" s="56">
        <f t="shared" si="56"/>
        <v>379.86392602471807</v>
      </c>
      <c r="L151" s="56">
        <f t="shared" si="56"/>
        <v>379.86392602471807</v>
      </c>
      <c r="M151" s="56">
        <f t="shared" si="56"/>
        <v>379.86392602471807</v>
      </c>
      <c r="N151" s="56">
        <f t="shared" si="56"/>
        <v>379.86392602471807</v>
      </c>
      <c r="O151" s="56">
        <f t="shared" si="56"/>
        <v>379.86392602471807</v>
      </c>
      <c r="P151" s="56">
        <f t="shared" si="56"/>
        <v>379.86392602471807</v>
      </c>
      <c r="Q151" s="56">
        <f t="shared" si="56"/>
        <v>379.86392602471807</v>
      </c>
      <c r="R151" s="56">
        <f t="shared" si="56"/>
        <v>379.86392602471807</v>
      </c>
      <c r="S151" s="56">
        <f t="shared" si="56"/>
        <v>379.86392602471807</v>
      </c>
      <c r="T151" s="56">
        <f t="shared" si="56"/>
        <v>379.86392602471807</v>
      </c>
      <c r="U151" s="56">
        <f t="shared" si="56"/>
        <v>0</v>
      </c>
      <c r="V151" s="56">
        <f t="shared" si="56"/>
        <v>0</v>
      </c>
      <c r="W151" s="56">
        <f t="shared" si="56"/>
        <v>0</v>
      </c>
      <c r="X151" s="56">
        <f t="shared" si="56"/>
        <v>0</v>
      </c>
      <c r="Y151" s="56">
        <f t="shared" si="56"/>
        <v>0</v>
      </c>
      <c r="Z151" s="56">
        <f t="shared" si="56"/>
        <v>0</v>
      </c>
      <c r="AA151" s="56">
        <f t="shared" si="56"/>
        <v>0</v>
      </c>
      <c r="AB151" s="56">
        <f t="shared" si="56"/>
        <v>0</v>
      </c>
      <c r="AC151" s="56">
        <f t="shared" si="56"/>
        <v>0</v>
      </c>
      <c r="AD151" s="56">
        <f t="shared" si="56"/>
        <v>0</v>
      </c>
      <c r="AE151" s="56">
        <f t="shared" si="56"/>
        <v>0</v>
      </c>
      <c r="AF151" s="56">
        <f t="shared" si="56"/>
        <v>0</v>
      </c>
      <c r="AG151" s="56">
        <f t="shared" si="56"/>
        <v>0</v>
      </c>
      <c r="AH151" s="56">
        <f t="shared" si="56"/>
        <v>0</v>
      </c>
      <c r="AI151" s="56">
        <f t="shared" si="56"/>
        <v>0</v>
      </c>
      <c r="AJ151" s="56">
        <f t="shared" si="56"/>
        <v>0</v>
      </c>
      <c r="AK151" s="56">
        <f t="shared" si="56"/>
        <v>0</v>
      </c>
      <c r="AL151" s="56">
        <f t="shared" si="56"/>
        <v>0</v>
      </c>
      <c r="AM151" s="56">
        <f t="shared" si="56"/>
        <v>0</v>
      </c>
      <c r="AN151" s="56">
        <f t="shared" si="56"/>
        <v>0</v>
      </c>
      <c r="AO151" s="56">
        <f t="shared" si="56"/>
        <v>0</v>
      </c>
      <c r="AP151" s="29"/>
    </row>
    <row r="152" spans="1:42" outlineLevel="1" x14ac:dyDescent="0.25">
      <c r="A152" s="54"/>
      <c r="B152" s="13"/>
      <c r="C152" s="45" t="s">
        <v>484</v>
      </c>
      <c r="D152" s="14"/>
      <c r="E152" s="70" t="s">
        <v>352</v>
      </c>
      <c r="F152" s="201">
        <f>Data!$E$414/1000</f>
        <v>1.0176439575523251</v>
      </c>
      <c r="G152" s="56"/>
      <c r="H152" s="56"/>
      <c r="I152" s="56">
        <f t="shared" ref="I152:AO152" si="57">I$149*$F$152</f>
        <v>95251.474426897621</v>
      </c>
      <c r="J152" s="56">
        <f t="shared" si="57"/>
        <v>95251.474426897621</v>
      </c>
      <c r="K152" s="56">
        <f t="shared" si="57"/>
        <v>95251.474426897621</v>
      </c>
      <c r="L152" s="56">
        <f t="shared" si="57"/>
        <v>95251.474426897621</v>
      </c>
      <c r="M152" s="56">
        <f t="shared" si="57"/>
        <v>95251.474426897621</v>
      </c>
      <c r="N152" s="56">
        <f t="shared" si="57"/>
        <v>95251.474426897621</v>
      </c>
      <c r="O152" s="56">
        <f t="shared" si="57"/>
        <v>95251.474426897621</v>
      </c>
      <c r="P152" s="56">
        <f t="shared" si="57"/>
        <v>95251.474426897621</v>
      </c>
      <c r="Q152" s="56">
        <f t="shared" si="57"/>
        <v>95251.474426897621</v>
      </c>
      <c r="R152" s="56">
        <f t="shared" si="57"/>
        <v>95251.474426897621</v>
      </c>
      <c r="S152" s="56">
        <f t="shared" si="57"/>
        <v>95251.474426897621</v>
      </c>
      <c r="T152" s="56">
        <f t="shared" si="57"/>
        <v>95251.474426897621</v>
      </c>
      <c r="U152" s="56">
        <f t="shared" si="57"/>
        <v>0</v>
      </c>
      <c r="V152" s="56">
        <f t="shared" si="57"/>
        <v>0</v>
      </c>
      <c r="W152" s="56">
        <f t="shared" si="57"/>
        <v>0</v>
      </c>
      <c r="X152" s="56">
        <f t="shared" si="57"/>
        <v>0</v>
      </c>
      <c r="Y152" s="56">
        <f t="shared" si="57"/>
        <v>0</v>
      </c>
      <c r="Z152" s="56">
        <f t="shared" si="57"/>
        <v>0</v>
      </c>
      <c r="AA152" s="56">
        <f t="shared" si="57"/>
        <v>0</v>
      </c>
      <c r="AB152" s="56">
        <f t="shared" si="57"/>
        <v>0</v>
      </c>
      <c r="AC152" s="56">
        <f t="shared" si="57"/>
        <v>0</v>
      </c>
      <c r="AD152" s="56">
        <f t="shared" si="57"/>
        <v>0</v>
      </c>
      <c r="AE152" s="56">
        <f t="shared" si="57"/>
        <v>0</v>
      </c>
      <c r="AF152" s="56">
        <f t="shared" si="57"/>
        <v>0</v>
      </c>
      <c r="AG152" s="56">
        <f t="shared" si="57"/>
        <v>0</v>
      </c>
      <c r="AH152" s="56">
        <f t="shared" si="57"/>
        <v>0</v>
      </c>
      <c r="AI152" s="56">
        <f t="shared" si="57"/>
        <v>0</v>
      </c>
      <c r="AJ152" s="56">
        <f t="shared" si="57"/>
        <v>0</v>
      </c>
      <c r="AK152" s="56">
        <f t="shared" si="57"/>
        <v>0</v>
      </c>
      <c r="AL152" s="56">
        <f t="shared" si="57"/>
        <v>0</v>
      </c>
      <c r="AM152" s="56">
        <f t="shared" si="57"/>
        <v>0</v>
      </c>
      <c r="AN152" s="56">
        <f t="shared" si="57"/>
        <v>0</v>
      </c>
      <c r="AO152" s="56">
        <f t="shared" si="57"/>
        <v>0</v>
      </c>
      <c r="AP152" s="29"/>
    </row>
    <row r="153" spans="1:42" outlineLevel="1" x14ac:dyDescent="0.25">
      <c r="A153" s="54"/>
      <c r="B153" s="13"/>
      <c r="C153" s="45" t="s">
        <v>285</v>
      </c>
      <c r="D153" s="14"/>
      <c r="E153" s="70" t="s">
        <v>352</v>
      </c>
      <c r="F153" s="201">
        <f>Data!$E$415/1000</f>
        <v>2.8470339849987793E-4</v>
      </c>
      <c r="G153" s="56"/>
      <c r="H153" s="56"/>
      <c r="I153" s="56">
        <f t="shared" ref="I153:AO153" si="58">I$149*$F$153</f>
        <v>26.648238099588575</v>
      </c>
      <c r="J153" s="56">
        <f t="shared" si="58"/>
        <v>26.648238099588575</v>
      </c>
      <c r="K153" s="56">
        <f t="shared" si="58"/>
        <v>26.648238099588575</v>
      </c>
      <c r="L153" s="56">
        <f t="shared" si="58"/>
        <v>26.648238099588575</v>
      </c>
      <c r="M153" s="56">
        <f t="shared" si="58"/>
        <v>26.648238099588575</v>
      </c>
      <c r="N153" s="56">
        <f t="shared" si="58"/>
        <v>26.648238099588575</v>
      </c>
      <c r="O153" s="56">
        <f t="shared" si="58"/>
        <v>26.648238099588575</v>
      </c>
      <c r="P153" s="56">
        <f t="shared" si="58"/>
        <v>26.648238099588575</v>
      </c>
      <c r="Q153" s="56">
        <f t="shared" si="58"/>
        <v>26.648238099588575</v>
      </c>
      <c r="R153" s="56">
        <f t="shared" si="58"/>
        <v>26.648238099588575</v>
      </c>
      <c r="S153" s="56">
        <f t="shared" si="58"/>
        <v>26.648238099588575</v>
      </c>
      <c r="T153" s="56">
        <f t="shared" si="58"/>
        <v>26.648238099588575</v>
      </c>
      <c r="U153" s="56">
        <f t="shared" si="58"/>
        <v>0</v>
      </c>
      <c r="V153" s="56">
        <f t="shared" si="58"/>
        <v>0</v>
      </c>
      <c r="W153" s="56">
        <f t="shared" si="58"/>
        <v>0</v>
      </c>
      <c r="X153" s="56">
        <f t="shared" si="58"/>
        <v>0</v>
      </c>
      <c r="Y153" s="56">
        <f t="shared" si="58"/>
        <v>0</v>
      </c>
      <c r="Z153" s="56">
        <f t="shared" si="58"/>
        <v>0</v>
      </c>
      <c r="AA153" s="56">
        <f t="shared" si="58"/>
        <v>0</v>
      </c>
      <c r="AB153" s="56">
        <f t="shared" si="58"/>
        <v>0</v>
      </c>
      <c r="AC153" s="56">
        <f t="shared" si="58"/>
        <v>0</v>
      </c>
      <c r="AD153" s="56">
        <f t="shared" si="58"/>
        <v>0</v>
      </c>
      <c r="AE153" s="56">
        <f t="shared" si="58"/>
        <v>0</v>
      </c>
      <c r="AF153" s="56">
        <f t="shared" si="58"/>
        <v>0</v>
      </c>
      <c r="AG153" s="56">
        <f t="shared" si="58"/>
        <v>0</v>
      </c>
      <c r="AH153" s="56">
        <f t="shared" si="58"/>
        <v>0</v>
      </c>
      <c r="AI153" s="56">
        <f t="shared" si="58"/>
        <v>0</v>
      </c>
      <c r="AJ153" s="56">
        <f t="shared" si="58"/>
        <v>0</v>
      </c>
      <c r="AK153" s="56">
        <f t="shared" si="58"/>
        <v>0</v>
      </c>
      <c r="AL153" s="56">
        <f t="shared" si="58"/>
        <v>0</v>
      </c>
      <c r="AM153" s="56">
        <f t="shared" si="58"/>
        <v>0</v>
      </c>
      <c r="AN153" s="56">
        <f t="shared" si="58"/>
        <v>0</v>
      </c>
      <c r="AO153" s="56">
        <f t="shared" si="58"/>
        <v>0</v>
      </c>
      <c r="AP153" s="29"/>
    </row>
    <row r="154" spans="1:42" outlineLevel="1" x14ac:dyDescent="0.25">
      <c r="A154" s="54"/>
      <c r="B154" s="13"/>
      <c r="C154" s="45" t="s">
        <v>220</v>
      </c>
      <c r="D154" s="14"/>
      <c r="E154" s="70" t="s">
        <v>352</v>
      </c>
      <c r="F154" s="201">
        <f>Data!$E$416/1000</f>
        <v>1.0339278110249E-2</v>
      </c>
      <c r="G154" s="56"/>
      <c r="H154" s="56"/>
      <c r="I154" s="56">
        <f t="shared" ref="I154:AO154" si="59">I$149*$F$154</f>
        <v>967.7564311193064</v>
      </c>
      <c r="J154" s="56">
        <f t="shared" si="59"/>
        <v>967.7564311193064</v>
      </c>
      <c r="K154" s="56">
        <f t="shared" si="59"/>
        <v>967.7564311193064</v>
      </c>
      <c r="L154" s="56">
        <f t="shared" si="59"/>
        <v>967.7564311193064</v>
      </c>
      <c r="M154" s="56">
        <f t="shared" si="59"/>
        <v>967.7564311193064</v>
      </c>
      <c r="N154" s="56">
        <f t="shared" si="59"/>
        <v>967.7564311193064</v>
      </c>
      <c r="O154" s="56">
        <f t="shared" si="59"/>
        <v>967.7564311193064</v>
      </c>
      <c r="P154" s="56">
        <f t="shared" si="59"/>
        <v>967.7564311193064</v>
      </c>
      <c r="Q154" s="56">
        <f t="shared" si="59"/>
        <v>967.7564311193064</v>
      </c>
      <c r="R154" s="56">
        <f t="shared" si="59"/>
        <v>967.7564311193064</v>
      </c>
      <c r="S154" s="56">
        <f t="shared" si="59"/>
        <v>967.7564311193064</v>
      </c>
      <c r="T154" s="56">
        <f t="shared" si="59"/>
        <v>967.7564311193064</v>
      </c>
      <c r="U154" s="56">
        <f t="shared" si="59"/>
        <v>0</v>
      </c>
      <c r="V154" s="56">
        <f t="shared" si="59"/>
        <v>0</v>
      </c>
      <c r="W154" s="56">
        <f t="shared" si="59"/>
        <v>0</v>
      </c>
      <c r="X154" s="56">
        <f t="shared" si="59"/>
        <v>0</v>
      </c>
      <c r="Y154" s="56">
        <f t="shared" si="59"/>
        <v>0</v>
      </c>
      <c r="Z154" s="56">
        <f t="shared" si="59"/>
        <v>0</v>
      </c>
      <c r="AA154" s="56">
        <f t="shared" si="59"/>
        <v>0</v>
      </c>
      <c r="AB154" s="56">
        <f t="shared" si="59"/>
        <v>0</v>
      </c>
      <c r="AC154" s="56">
        <f t="shared" si="59"/>
        <v>0</v>
      </c>
      <c r="AD154" s="56">
        <f t="shared" si="59"/>
        <v>0</v>
      </c>
      <c r="AE154" s="56">
        <f t="shared" si="59"/>
        <v>0</v>
      </c>
      <c r="AF154" s="56">
        <f t="shared" si="59"/>
        <v>0</v>
      </c>
      <c r="AG154" s="56">
        <f t="shared" si="59"/>
        <v>0</v>
      </c>
      <c r="AH154" s="56">
        <f t="shared" si="59"/>
        <v>0</v>
      </c>
      <c r="AI154" s="56">
        <f t="shared" si="59"/>
        <v>0</v>
      </c>
      <c r="AJ154" s="56">
        <f t="shared" si="59"/>
        <v>0</v>
      </c>
      <c r="AK154" s="56">
        <f t="shared" si="59"/>
        <v>0</v>
      </c>
      <c r="AL154" s="56">
        <f t="shared" si="59"/>
        <v>0</v>
      </c>
      <c r="AM154" s="56">
        <f t="shared" si="59"/>
        <v>0</v>
      </c>
      <c r="AN154" s="56">
        <f t="shared" si="59"/>
        <v>0</v>
      </c>
      <c r="AO154" s="56">
        <f t="shared" si="59"/>
        <v>0</v>
      </c>
      <c r="AP154" s="29"/>
    </row>
    <row r="155" spans="1:42" outlineLevel="1" x14ac:dyDescent="0.25">
      <c r="A155" s="54"/>
      <c r="B155" s="13"/>
      <c r="C155" s="45" t="s">
        <v>212</v>
      </c>
      <c r="D155" s="14"/>
      <c r="E155" s="70" t="s">
        <v>352</v>
      </c>
      <c r="F155" s="201">
        <f>Data!$E$417/1000</f>
        <v>1.0831616103370489E-3</v>
      </c>
      <c r="G155" s="56"/>
      <c r="H155" s="56"/>
      <c r="I155" s="56">
        <f t="shared" ref="I155:AO155" si="60">I$149*$F$155</f>
        <v>101.38392672754777</v>
      </c>
      <c r="J155" s="56">
        <f t="shared" si="60"/>
        <v>101.38392672754777</v>
      </c>
      <c r="K155" s="56">
        <f t="shared" si="60"/>
        <v>101.38392672754777</v>
      </c>
      <c r="L155" s="56">
        <f t="shared" si="60"/>
        <v>101.38392672754777</v>
      </c>
      <c r="M155" s="56">
        <f t="shared" si="60"/>
        <v>101.38392672754777</v>
      </c>
      <c r="N155" s="56">
        <f t="shared" si="60"/>
        <v>101.38392672754777</v>
      </c>
      <c r="O155" s="56">
        <f t="shared" si="60"/>
        <v>101.38392672754777</v>
      </c>
      <c r="P155" s="56">
        <f t="shared" si="60"/>
        <v>101.38392672754777</v>
      </c>
      <c r="Q155" s="56">
        <f t="shared" si="60"/>
        <v>101.38392672754777</v>
      </c>
      <c r="R155" s="56">
        <f t="shared" si="60"/>
        <v>101.38392672754777</v>
      </c>
      <c r="S155" s="56">
        <f t="shared" si="60"/>
        <v>101.38392672754777</v>
      </c>
      <c r="T155" s="56">
        <f t="shared" si="60"/>
        <v>101.38392672754777</v>
      </c>
      <c r="U155" s="56">
        <f t="shared" si="60"/>
        <v>0</v>
      </c>
      <c r="V155" s="56">
        <f t="shared" si="60"/>
        <v>0</v>
      </c>
      <c r="W155" s="56">
        <f t="shared" si="60"/>
        <v>0</v>
      </c>
      <c r="X155" s="56">
        <f t="shared" si="60"/>
        <v>0</v>
      </c>
      <c r="Y155" s="56">
        <f t="shared" si="60"/>
        <v>0</v>
      </c>
      <c r="Z155" s="56">
        <f t="shared" si="60"/>
        <v>0</v>
      </c>
      <c r="AA155" s="56">
        <f t="shared" si="60"/>
        <v>0</v>
      </c>
      <c r="AB155" s="56">
        <f t="shared" si="60"/>
        <v>0</v>
      </c>
      <c r="AC155" s="56">
        <f t="shared" si="60"/>
        <v>0</v>
      </c>
      <c r="AD155" s="56">
        <f t="shared" si="60"/>
        <v>0</v>
      </c>
      <c r="AE155" s="56">
        <f t="shared" si="60"/>
        <v>0</v>
      </c>
      <c r="AF155" s="56">
        <f t="shared" si="60"/>
        <v>0</v>
      </c>
      <c r="AG155" s="56">
        <f t="shared" si="60"/>
        <v>0</v>
      </c>
      <c r="AH155" s="56">
        <f t="shared" si="60"/>
        <v>0</v>
      </c>
      <c r="AI155" s="56">
        <f t="shared" si="60"/>
        <v>0</v>
      </c>
      <c r="AJ155" s="56">
        <f t="shared" si="60"/>
        <v>0</v>
      </c>
      <c r="AK155" s="56">
        <f t="shared" si="60"/>
        <v>0</v>
      </c>
      <c r="AL155" s="56">
        <f t="shared" si="60"/>
        <v>0</v>
      </c>
      <c r="AM155" s="56">
        <f t="shared" si="60"/>
        <v>0</v>
      </c>
      <c r="AN155" s="56">
        <f t="shared" si="60"/>
        <v>0</v>
      </c>
      <c r="AO155" s="56">
        <f t="shared" si="60"/>
        <v>0</v>
      </c>
      <c r="AP155" s="29"/>
    </row>
    <row r="156" spans="1:42" outlineLevel="1" x14ac:dyDescent="0.25">
      <c r="A156" s="54"/>
      <c r="B156" s="13"/>
      <c r="C156" s="45" t="s">
        <v>485</v>
      </c>
      <c r="D156" s="14"/>
      <c r="E156" s="70" t="s">
        <v>352</v>
      </c>
      <c r="F156" s="201">
        <f>Data!$E$418/1000</f>
        <v>2.3599733894197369E-4</v>
      </c>
      <c r="G156" s="56"/>
      <c r="H156" s="56"/>
      <c r="I156" s="56">
        <f t="shared" ref="I156:AO156" si="61">I$149*$F$156</f>
        <v>22.089350924968738</v>
      </c>
      <c r="J156" s="56">
        <f t="shared" si="61"/>
        <v>22.089350924968738</v>
      </c>
      <c r="K156" s="56">
        <f t="shared" si="61"/>
        <v>22.089350924968738</v>
      </c>
      <c r="L156" s="56">
        <f t="shared" si="61"/>
        <v>22.089350924968738</v>
      </c>
      <c r="M156" s="56">
        <f t="shared" si="61"/>
        <v>22.089350924968738</v>
      </c>
      <c r="N156" s="56">
        <f t="shared" si="61"/>
        <v>22.089350924968738</v>
      </c>
      <c r="O156" s="56">
        <f t="shared" si="61"/>
        <v>22.089350924968738</v>
      </c>
      <c r="P156" s="56">
        <f t="shared" si="61"/>
        <v>22.089350924968738</v>
      </c>
      <c r="Q156" s="56">
        <f t="shared" si="61"/>
        <v>22.089350924968738</v>
      </c>
      <c r="R156" s="56">
        <f t="shared" si="61"/>
        <v>22.089350924968738</v>
      </c>
      <c r="S156" s="56">
        <f t="shared" si="61"/>
        <v>22.089350924968738</v>
      </c>
      <c r="T156" s="56">
        <f t="shared" si="61"/>
        <v>22.089350924968738</v>
      </c>
      <c r="U156" s="56">
        <f t="shared" si="61"/>
        <v>0</v>
      </c>
      <c r="V156" s="56">
        <f t="shared" si="61"/>
        <v>0</v>
      </c>
      <c r="W156" s="56">
        <f t="shared" si="61"/>
        <v>0</v>
      </c>
      <c r="X156" s="56">
        <f t="shared" si="61"/>
        <v>0</v>
      </c>
      <c r="Y156" s="56">
        <f t="shared" si="61"/>
        <v>0</v>
      </c>
      <c r="Z156" s="56">
        <f t="shared" si="61"/>
        <v>0</v>
      </c>
      <c r="AA156" s="56">
        <f t="shared" si="61"/>
        <v>0</v>
      </c>
      <c r="AB156" s="56">
        <f t="shared" si="61"/>
        <v>0</v>
      </c>
      <c r="AC156" s="56">
        <f t="shared" si="61"/>
        <v>0</v>
      </c>
      <c r="AD156" s="56">
        <f t="shared" si="61"/>
        <v>0</v>
      </c>
      <c r="AE156" s="56">
        <f t="shared" si="61"/>
        <v>0</v>
      </c>
      <c r="AF156" s="56">
        <f t="shared" si="61"/>
        <v>0</v>
      </c>
      <c r="AG156" s="56">
        <f t="shared" si="61"/>
        <v>0</v>
      </c>
      <c r="AH156" s="56">
        <f t="shared" si="61"/>
        <v>0</v>
      </c>
      <c r="AI156" s="56">
        <f t="shared" si="61"/>
        <v>0</v>
      </c>
      <c r="AJ156" s="56">
        <f t="shared" si="61"/>
        <v>0</v>
      </c>
      <c r="AK156" s="56">
        <f t="shared" si="61"/>
        <v>0</v>
      </c>
      <c r="AL156" s="56">
        <f t="shared" si="61"/>
        <v>0</v>
      </c>
      <c r="AM156" s="56">
        <f t="shared" si="61"/>
        <v>0</v>
      </c>
      <c r="AN156" s="56">
        <f t="shared" si="61"/>
        <v>0</v>
      </c>
      <c r="AO156" s="56">
        <f t="shared" si="61"/>
        <v>0</v>
      </c>
      <c r="AP156" s="29"/>
    </row>
    <row r="157" spans="1:42" outlineLevel="1" x14ac:dyDescent="0.25">
      <c r="A157" s="54"/>
      <c r="B157" s="13"/>
      <c r="C157" s="45" t="s">
        <v>214</v>
      </c>
      <c r="D157" s="14"/>
      <c r="E157" s="70" t="s">
        <v>352</v>
      </c>
      <c r="F157" s="201">
        <f>Data!$E$419/1000</f>
        <v>1.7486429999999991E-5</v>
      </c>
      <c r="G157" s="56"/>
      <c r="H157" s="56"/>
      <c r="I157" s="56">
        <f t="shared" ref="I157:AO157" si="62">I$149*$F$157</f>
        <v>1.6367298479999992</v>
      </c>
      <c r="J157" s="56">
        <f t="shared" si="62"/>
        <v>1.6367298479999992</v>
      </c>
      <c r="K157" s="56">
        <f t="shared" si="62"/>
        <v>1.6367298479999992</v>
      </c>
      <c r="L157" s="56">
        <f t="shared" si="62"/>
        <v>1.6367298479999992</v>
      </c>
      <c r="M157" s="56">
        <f t="shared" si="62"/>
        <v>1.6367298479999992</v>
      </c>
      <c r="N157" s="56">
        <f t="shared" si="62"/>
        <v>1.6367298479999992</v>
      </c>
      <c r="O157" s="56">
        <f t="shared" si="62"/>
        <v>1.6367298479999992</v>
      </c>
      <c r="P157" s="56">
        <f t="shared" si="62"/>
        <v>1.6367298479999992</v>
      </c>
      <c r="Q157" s="56">
        <f t="shared" si="62"/>
        <v>1.6367298479999992</v>
      </c>
      <c r="R157" s="56">
        <f t="shared" si="62"/>
        <v>1.6367298479999992</v>
      </c>
      <c r="S157" s="56">
        <f t="shared" si="62"/>
        <v>1.6367298479999992</v>
      </c>
      <c r="T157" s="56">
        <f t="shared" si="62"/>
        <v>1.6367298479999992</v>
      </c>
      <c r="U157" s="56">
        <f t="shared" si="62"/>
        <v>0</v>
      </c>
      <c r="V157" s="56">
        <f t="shared" si="62"/>
        <v>0</v>
      </c>
      <c r="W157" s="56">
        <f t="shared" si="62"/>
        <v>0</v>
      </c>
      <c r="X157" s="56">
        <f t="shared" si="62"/>
        <v>0</v>
      </c>
      <c r="Y157" s="56">
        <f t="shared" si="62"/>
        <v>0</v>
      </c>
      <c r="Z157" s="56">
        <f t="shared" si="62"/>
        <v>0</v>
      </c>
      <c r="AA157" s="56">
        <f t="shared" si="62"/>
        <v>0</v>
      </c>
      <c r="AB157" s="56">
        <f t="shared" si="62"/>
        <v>0</v>
      </c>
      <c r="AC157" s="56">
        <f t="shared" si="62"/>
        <v>0</v>
      </c>
      <c r="AD157" s="56">
        <f t="shared" si="62"/>
        <v>0</v>
      </c>
      <c r="AE157" s="56">
        <f t="shared" si="62"/>
        <v>0</v>
      </c>
      <c r="AF157" s="56">
        <f t="shared" si="62"/>
        <v>0</v>
      </c>
      <c r="AG157" s="56">
        <f t="shared" si="62"/>
        <v>0</v>
      </c>
      <c r="AH157" s="56">
        <f t="shared" si="62"/>
        <v>0</v>
      </c>
      <c r="AI157" s="56">
        <f t="shared" si="62"/>
        <v>0</v>
      </c>
      <c r="AJ157" s="56">
        <f t="shared" si="62"/>
        <v>0</v>
      </c>
      <c r="AK157" s="56">
        <f t="shared" si="62"/>
        <v>0</v>
      </c>
      <c r="AL157" s="56">
        <f t="shared" si="62"/>
        <v>0</v>
      </c>
      <c r="AM157" s="56">
        <f t="shared" si="62"/>
        <v>0</v>
      </c>
      <c r="AN157" s="56">
        <f t="shared" si="62"/>
        <v>0</v>
      </c>
      <c r="AO157" s="56">
        <f t="shared" si="62"/>
        <v>0</v>
      </c>
      <c r="AP157" s="29"/>
    </row>
    <row r="158" spans="1:42" outlineLevel="1" x14ac:dyDescent="0.25">
      <c r="A158" s="12"/>
      <c r="B158" s="13"/>
      <c r="C158" s="14"/>
      <c r="D158" s="14"/>
      <c r="E158" s="15"/>
      <c r="F158" s="16"/>
      <c r="G158" s="159"/>
      <c r="H158" s="159"/>
      <c r="I158" s="159"/>
      <c r="J158" s="159"/>
      <c r="K158" s="159"/>
      <c r="L158" s="159"/>
      <c r="M158" s="159"/>
      <c r="N158" s="159"/>
      <c r="O158" s="159"/>
      <c r="P158" s="159"/>
      <c r="Q158" s="159"/>
      <c r="R158" s="159"/>
      <c r="S158" s="159"/>
      <c r="T158" s="159"/>
      <c r="U158" s="159"/>
      <c r="V158" s="159"/>
      <c r="W158" s="159"/>
      <c r="X158" s="14"/>
      <c r="Y158" s="14"/>
      <c r="Z158" s="14"/>
      <c r="AA158" s="14"/>
      <c r="AB158" s="14"/>
      <c r="AC158" s="14"/>
      <c r="AD158" s="14"/>
      <c r="AE158" s="14"/>
      <c r="AF158" s="14"/>
      <c r="AG158" s="14"/>
      <c r="AH158" s="14"/>
      <c r="AI158" s="14"/>
      <c r="AJ158" s="14"/>
      <c r="AK158" s="14"/>
      <c r="AL158" s="14"/>
      <c r="AM158" s="14"/>
      <c r="AN158" s="14"/>
      <c r="AO158" s="14"/>
      <c r="AP158" s="14"/>
    </row>
    <row r="159" spans="1:42" outlineLevel="1" x14ac:dyDescent="0.25">
      <c r="A159" s="54"/>
      <c r="B159" s="13"/>
      <c r="C159" s="45" t="s">
        <v>205</v>
      </c>
      <c r="D159" s="14"/>
      <c r="E159" s="70" t="s">
        <v>474</v>
      </c>
      <c r="F159" s="200">
        <f>Data!$E$35/1000</f>
        <v>3.4099438202247192E-3</v>
      </c>
      <c r="G159" s="56"/>
      <c r="H159" s="56"/>
      <c r="I159" s="56">
        <f t="shared" ref="I159:AN159" si="63">I$151*$F$159</f>
        <v>1.2953146470742873</v>
      </c>
      <c r="J159" s="56">
        <f t="shared" si="63"/>
        <v>1.2953146470742873</v>
      </c>
      <c r="K159" s="56">
        <f t="shared" si="63"/>
        <v>1.2953146470742873</v>
      </c>
      <c r="L159" s="56">
        <f t="shared" si="63"/>
        <v>1.2953146470742873</v>
      </c>
      <c r="M159" s="56">
        <f t="shared" si="63"/>
        <v>1.2953146470742873</v>
      </c>
      <c r="N159" s="56">
        <f t="shared" si="63"/>
        <v>1.2953146470742873</v>
      </c>
      <c r="O159" s="56">
        <f t="shared" si="63"/>
        <v>1.2953146470742873</v>
      </c>
      <c r="P159" s="56">
        <f t="shared" si="63"/>
        <v>1.2953146470742873</v>
      </c>
      <c r="Q159" s="56">
        <f t="shared" si="63"/>
        <v>1.2953146470742873</v>
      </c>
      <c r="R159" s="56">
        <f t="shared" si="63"/>
        <v>1.2953146470742873</v>
      </c>
      <c r="S159" s="56">
        <f t="shared" si="63"/>
        <v>1.2953146470742873</v>
      </c>
      <c r="T159" s="56">
        <f t="shared" si="63"/>
        <v>1.2953146470742873</v>
      </c>
      <c r="U159" s="56">
        <f t="shared" si="63"/>
        <v>0</v>
      </c>
      <c r="V159" s="56">
        <f t="shared" si="63"/>
        <v>0</v>
      </c>
      <c r="W159" s="56">
        <f t="shared" si="63"/>
        <v>0</v>
      </c>
      <c r="X159" s="56">
        <f t="shared" si="63"/>
        <v>0</v>
      </c>
      <c r="Y159" s="56">
        <f t="shared" si="63"/>
        <v>0</v>
      </c>
      <c r="Z159" s="56">
        <f t="shared" si="63"/>
        <v>0</v>
      </c>
      <c r="AA159" s="56">
        <f t="shared" si="63"/>
        <v>0</v>
      </c>
      <c r="AB159" s="56">
        <f t="shared" si="63"/>
        <v>0</v>
      </c>
      <c r="AC159" s="56">
        <f t="shared" si="63"/>
        <v>0</v>
      </c>
      <c r="AD159" s="56">
        <f t="shared" si="63"/>
        <v>0</v>
      </c>
      <c r="AE159" s="56">
        <f t="shared" si="63"/>
        <v>0</v>
      </c>
      <c r="AF159" s="56">
        <f t="shared" si="63"/>
        <v>0</v>
      </c>
      <c r="AG159" s="56">
        <f t="shared" si="63"/>
        <v>0</v>
      </c>
      <c r="AH159" s="56">
        <f t="shared" si="63"/>
        <v>0</v>
      </c>
      <c r="AI159" s="56">
        <f t="shared" si="63"/>
        <v>0</v>
      </c>
      <c r="AJ159" s="56">
        <f t="shared" si="63"/>
        <v>0</v>
      </c>
      <c r="AK159" s="56">
        <f t="shared" si="63"/>
        <v>0</v>
      </c>
      <c r="AL159" s="56">
        <f t="shared" si="63"/>
        <v>0</v>
      </c>
      <c r="AM159" s="56">
        <f t="shared" si="63"/>
        <v>0</v>
      </c>
      <c r="AN159" s="56">
        <f t="shared" si="63"/>
        <v>0</v>
      </c>
      <c r="AO159" s="56">
        <f>AO$151*$F$159</f>
        <v>0</v>
      </c>
      <c r="AP159" s="29"/>
    </row>
    <row r="160" spans="1:42" outlineLevel="1" x14ac:dyDescent="0.25">
      <c r="A160" s="54"/>
      <c r="B160" s="13"/>
      <c r="C160" s="45" t="s">
        <v>484</v>
      </c>
      <c r="D160" s="14"/>
      <c r="E160" s="70" t="s">
        <v>474</v>
      </c>
      <c r="F160" s="200"/>
      <c r="G160" s="56"/>
      <c r="H160" s="56"/>
      <c r="I160" s="56">
        <f>I$152*Data!H16/1000</f>
        <v>9239.3930194090699</v>
      </c>
      <c r="J160" s="56">
        <f>J$152*Data!I16/1000</f>
        <v>10191.907763678046</v>
      </c>
      <c r="K160" s="56">
        <f>K$152*Data!J16/1000</f>
        <v>11049.171033520124</v>
      </c>
      <c r="L160" s="56">
        <f>L$152*Data!K16/1000</f>
        <v>12001.685777789102</v>
      </c>
      <c r="M160" s="56">
        <f>M$152*Data!L16/1000</f>
        <v>12954.200522058078</v>
      </c>
      <c r="N160" s="56">
        <f>N$152*Data!M16/1000</f>
        <v>13906.715266327054</v>
      </c>
      <c r="O160" s="56">
        <f>O$152*Data!N16/1000</f>
        <v>14763.97853616913</v>
      </c>
      <c r="P160" s="56">
        <f>P$152*Data!O16/1000</f>
        <v>15335.487382730518</v>
      </c>
      <c r="Q160" s="56">
        <f>Q$152*Data!P16/1000</f>
        <v>15906.996229291903</v>
      </c>
      <c r="R160" s="56">
        <f>R$152*Data!Q16/1000</f>
        <v>16573.756550280184</v>
      </c>
      <c r="S160" s="56">
        <f>S$152*Data!R16/1000</f>
        <v>17145.265396841573</v>
      </c>
      <c r="T160" s="56">
        <f>T$152*Data!S16/1000</f>
        <v>17716.774243402957</v>
      </c>
      <c r="U160" s="56">
        <f>U$152*Data!T16/1000</f>
        <v>0</v>
      </c>
      <c r="V160" s="56">
        <f>V$152*Data!U16/1000</f>
        <v>0</v>
      </c>
      <c r="W160" s="56">
        <f>W$152*Data!V16/1000</f>
        <v>0</v>
      </c>
      <c r="X160" s="56">
        <f>X$152*Data!W16/1000</f>
        <v>0</v>
      </c>
      <c r="Y160" s="56">
        <f>Y$152*Data!X16/1000</f>
        <v>0</v>
      </c>
      <c r="Z160" s="56">
        <f>Z$152*Data!Y16/1000</f>
        <v>0</v>
      </c>
      <c r="AA160" s="56">
        <f>AA$152*Data!Z16/1000</f>
        <v>0</v>
      </c>
      <c r="AB160" s="56">
        <f>AB$152*Data!AA16/1000</f>
        <v>0</v>
      </c>
      <c r="AC160" s="56">
        <f>AC$152*Data!AB16/1000</f>
        <v>0</v>
      </c>
      <c r="AD160" s="56">
        <f>AD$152*Data!AC16/1000</f>
        <v>0</v>
      </c>
      <c r="AE160" s="56">
        <f>AE$152*Data!AD16/1000</f>
        <v>0</v>
      </c>
      <c r="AF160" s="56">
        <f>AF$152*Data!AE16/1000</f>
        <v>0</v>
      </c>
      <c r="AG160" s="56">
        <f>AG$152*Data!AF16/1000</f>
        <v>0</v>
      </c>
      <c r="AH160" s="56">
        <f>AH$152*Data!AG16/1000</f>
        <v>0</v>
      </c>
      <c r="AI160" s="56">
        <f>AI$152*Data!AH16/1000</f>
        <v>0</v>
      </c>
      <c r="AJ160" s="56">
        <f>AJ$152*Data!AI16/1000</f>
        <v>0</v>
      </c>
      <c r="AK160" s="56">
        <f>AK$152*Data!AJ16/1000</f>
        <v>0</v>
      </c>
      <c r="AL160" s="56">
        <f>AL$152*Data!AK16/1000</f>
        <v>0</v>
      </c>
      <c r="AM160" s="56">
        <f>AM$152*Data!AL16/1000</f>
        <v>0</v>
      </c>
      <c r="AN160" s="56">
        <f>AN$152*Data!AM16/1000</f>
        <v>0</v>
      </c>
      <c r="AO160" s="56">
        <f>AO$152*Data!AN16/1000</f>
        <v>0</v>
      </c>
      <c r="AP160" s="29"/>
    </row>
    <row r="161" spans="1:42" outlineLevel="1" x14ac:dyDescent="0.25">
      <c r="A161" s="54"/>
      <c r="B161" s="13"/>
      <c r="C161" s="45" t="s">
        <v>285</v>
      </c>
      <c r="D161" s="14"/>
      <c r="E161" s="70" t="s">
        <v>474</v>
      </c>
      <c r="F161" s="200">
        <f>Data!$E$36/1000</f>
        <v>1.0822865168539326</v>
      </c>
      <c r="G161" s="56"/>
      <c r="H161" s="56"/>
      <c r="I161" s="56">
        <f>I$153*$F$161</f>
        <v>28.84102879309798</v>
      </c>
      <c r="J161" s="56">
        <f t="shared" ref="J161:AN161" si="64">J$153*$F$161</f>
        <v>28.84102879309798</v>
      </c>
      <c r="K161" s="56">
        <f t="shared" si="64"/>
        <v>28.84102879309798</v>
      </c>
      <c r="L161" s="56">
        <f t="shared" si="64"/>
        <v>28.84102879309798</v>
      </c>
      <c r="M161" s="56">
        <f t="shared" si="64"/>
        <v>28.84102879309798</v>
      </c>
      <c r="N161" s="56">
        <f t="shared" si="64"/>
        <v>28.84102879309798</v>
      </c>
      <c r="O161" s="56">
        <f t="shared" si="64"/>
        <v>28.84102879309798</v>
      </c>
      <c r="P161" s="56">
        <f t="shared" si="64"/>
        <v>28.84102879309798</v>
      </c>
      <c r="Q161" s="56">
        <f t="shared" si="64"/>
        <v>28.84102879309798</v>
      </c>
      <c r="R161" s="56">
        <f t="shared" si="64"/>
        <v>28.84102879309798</v>
      </c>
      <c r="S161" s="56">
        <f t="shared" si="64"/>
        <v>28.84102879309798</v>
      </c>
      <c r="T161" s="56">
        <f t="shared" si="64"/>
        <v>28.84102879309798</v>
      </c>
      <c r="U161" s="56">
        <f t="shared" si="64"/>
        <v>0</v>
      </c>
      <c r="V161" s="56">
        <f t="shared" si="64"/>
        <v>0</v>
      </c>
      <c r="W161" s="56">
        <f t="shared" si="64"/>
        <v>0</v>
      </c>
      <c r="X161" s="56">
        <f t="shared" si="64"/>
        <v>0</v>
      </c>
      <c r="Y161" s="56">
        <f t="shared" si="64"/>
        <v>0</v>
      </c>
      <c r="Z161" s="56">
        <f t="shared" si="64"/>
        <v>0</v>
      </c>
      <c r="AA161" s="56">
        <f t="shared" si="64"/>
        <v>0</v>
      </c>
      <c r="AB161" s="56">
        <f t="shared" si="64"/>
        <v>0</v>
      </c>
      <c r="AC161" s="56">
        <f t="shared" si="64"/>
        <v>0</v>
      </c>
      <c r="AD161" s="56">
        <f t="shared" si="64"/>
        <v>0</v>
      </c>
      <c r="AE161" s="56">
        <f t="shared" si="64"/>
        <v>0</v>
      </c>
      <c r="AF161" s="56">
        <f t="shared" si="64"/>
        <v>0</v>
      </c>
      <c r="AG161" s="56">
        <f t="shared" si="64"/>
        <v>0</v>
      </c>
      <c r="AH161" s="56">
        <f t="shared" si="64"/>
        <v>0</v>
      </c>
      <c r="AI161" s="56">
        <f t="shared" si="64"/>
        <v>0</v>
      </c>
      <c r="AJ161" s="56">
        <f t="shared" si="64"/>
        <v>0</v>
      </c>
      <c r="AK161" s="56">
        <f t="shared" si="64"/>
        <v>0</v>
      </c>
      <c r="AL161" s="56">
        <f t="shared" si="64"/>
        <v>0</v>
      </c>
      <c r="AM161" s="56">
        <f t="shared" si="64"/>
        <v>0</v>
      </c>
      <c r="AN161" s="56">
        <f t="shared" si="64"/>
        <v>0</v>
      </c>
      <c r="AO161" s="56">
        <f>AO$153*$F$161</f>
        <v>0</v>
      </c>
      <c r="AP161" s="29"/>
    </row>
    <row r="162" spans="1:42" outlineLevel="1" x14ac:dyDescent="0.25">
      <c r="A162" s="54"/>
      <c r="B162" s="13"/>
      <c r="C162" s="45" t="s">
        <v>220</v>
      </c>
      <c r="D162" s="14"/>
      <c r="E162" s="70" t="s">
        <v>474</v>
      </c>
      <c r="F162" s="200">
        <f>Data!$E$37/1000</f>
        <v>371.00188764044947</v>
      </c>
      <c r="G162" s="56"/>
      <c r="H162" s="56"/>
      <c r="I162" s="56">
        <f>I$154*$F$162</f>
        <v>359039.46272144729</v>
      </c>
      <c r="J162" s="56">
        <f t="shared" ref="J162:AN162" si="65">J$154*$F$162</f>
        <v>359039.46272144729</v>
      </c>
      <c r="K162" s="56">
        <f t="shared" si="65"/>
        <v>359039.46272144729</v>
      </c>
      <c r="L162" s="56">
        <f t="shared" si="65"/>
        <v>359039.46272144729</v>
      </c>
      <c r="M162" s="56">
        <f t="shared" si="65"/>
        <v>359039.46272144729</v>
      </c>
      <c r="N162" s="56">
        <f t="shared" si="65"/>
        <v>359039.46272144729</v>
      </c>
      <c r="O162" s="56">
        <f t="shared" si="65"/>
        <v>359039.46272144729</v>
      </c>
      <c r="P162" s="56">
        <f t="shared" si="65"/>
        <v>359039.46272144729</v>
      </c>
      <c r="Q162" s="56">
        <f t="shared" si="65"/>
        <v>359039.46272144729</v>
      </c>
      <c r="R162" s="56">
        <f t="shared" si="65"/>
        <v>359039.46272144729</v>
      </c>
      <c r="S162" s="56">
        <f t="shared" si="65"/>
        <v>359039.46272144729</v>
      </c>
      <c r="T162" s="56">
        <f t="shared" si="65"/>
        <v>359039.46272144729</v>
      </c>
      <c r="U162" s="56">
        <f t="shared" si="65"/>
        <v>0</v>
      </c>
      <c r="V162" s="56">
        <f t="shared" si="65"/>
        <v>0</v>
      </c>
      <c r="W162" s="56">
        <f t="shared" si="65"/>
        <v>0</v>
      </c>
      <c r="X162" s="56">
        <f t="shared" si="65"/>
        <v>0</v>
      </c>
      <c r="Y162" s="56">
        <f t="shared" si="65"/>
        <v>0</v>
      </c>
      <c r="Z162" s="56">
        <f t="shared" si="65"/>
        <v>0</v>
      </c>
      <c r="AA162" s="56">
        <f t="shared" si="65"/>
        <v>0</v>
      </c>
      <c r="AB162" s="56">
        <f t="shared" si="65"/>
        <v>0</v>
      </c>
      <c r="AC162" s="56">
        <f t="shared" si="65"/>
        <v>0</v>
      </c>
      <c r="AD162" s="56">
        <f t="shared" si="65"/>
        <v>0</v>
      </c>
      <c r="AE162" s="56">
        <f t="shared" si="65"/>
        <v>0</v>
      </c>
      <c r="AF162" s="56">
        <f t="shared" si="65"/>
        <v>0</v>
      </c>
      <c r="AG162" s="56">
        <f t="shared" si="65"/>
        <v>0</v>
      </c>
      <c r="AH162" s="56">
        <f t="shared" si="65"/>
        <v>0</v>
      </c>
      <c r="AI162" s="56">
        <f t="shared" si="65"/>
        <v>0</v>
      </c>
      <c r="AJ162" s="56">
        <f t="shared" si="65"/>
        <v>0</v>
      </c>
      <c r="AK162" s="56">
        <f t="shared" si="65"/>
        <v>0</v>
      </c>
      <c r="AL162" s="56">
        <f t="shared" si="65"/>
        <v>0</v>
      </c>
      <c r="AM162" s="56">
        <f t="shared" si="65"/>
        <v>0</v>
      </c>
      <c r="AN162" s="56">
        <f t="shared" si="65"/>
        <v>0</v>
      </c>
      <c r="AO162" s="56">
        <f>AO$154*$F$162</f>
        <v>0</v>
      </c>
      <c r="AP162" s="29"/>
    </row>
    <row r="163" spans="1:42" outlineLevel="1" x14ac:dyDescent="0.25">
      <c r="A163" s="54"/>
      <c r="B163" s="13"/>
      <c r="C163" s="45" t="s">
        <v>212</v>
      </c>
      <c r="D163" s="14"/>
      <c r="E163" s="70" t="s">
        <v>474</v>
      </c>
      <c r="F163" s="200">
        <f>Data!$E$39/1000</f>
        <v>0</v>
      </c>
      <c r="G163" s="56"/>
      <c r="H163" s="56"/>
      <c r="I163" s="56">
        <f t="shared" ref="I163:AN163" si="66">I$151*$F$163</f>
        <v>0</v>
      </c>
      <c r="J163" s="56">
        <f t="shared" si="66"/>
        <v>0</v>
      </c>
      <c r="K163" s="56">
        <f t="shared" si="66"/>
        <v>0</v>
      </c>
      <c r="L163" s="56">
        <f t="shared" si="66"/>
        <v>0</v>
      </c>
      <c r="M163" s="56">
        <f t="shared" si="66"/>
        <v>0</v>
      </c>
      <c r="N163" s="56">
        <f t="shared" si="66"/>
        <v>0</v>
      </c>
      <c r="O163" s="56">
        <f t="shared" si="66"/>
        <v>0</v>
      </c>
      <c r="P163" s="56">
        <f t="shared" si="66"/>
        <v>0</v>
      </c>
      <c r="Q163" s="56">
        <f t="shared" si="66"/>
        <v>0</v>
      </c>
      <c r="R163" s="56">
        <f t="shared" si="66"/>
        <v>0</v>
      </c>
      <c r="S163" s="56">
        <f t="shared" si="66"/>
        <v>0</v>
      </c>
      <c r="T163" s="56">
        <f t="shared" si="66"/>
        <v>0</v>
      </c>
      <c r="U163" s="56">
        <f t="shared" si="66"/>
        <v>0</v>
      </c>
      <c r="V163" s="56">
        <f t="shared" si="66"/>
        <v>0</v>
      </c>
      <c r="W163" s="56">
        <f t="shared" si="66"/>
        <v>0</v>
      </c>
      <c r="X163" s="56">
        <f t="shared" si="66"/>
        <v>0</v>
      </c>
      <c r="Y163" s="56">
        <f t="shared" si="66"/>
        <v>0</v>
      </c>
      <c r="Z163" s="56">
        <f t="shared" si="66"/>
        <v>0</v>
      </c>
      <c r="AA163" s="56">
        <f t="shared" si="66"/>
        <v>0</v>
      </c>
      <c r="AB163" s="56">
        <f t="shared" si="66"/>
        <v>0</v>
      </c>
      <c r="AC163" s="56">
        <f t="shared" si="66"/>
        <v>0</v>
      </c>
      <c r="AD163" s="56">
        <f t="shared" si="66"/>
        <v>0</v>
      </c>
      <c r="AE163" s="56">
        <f t="shared" si="66"/>
        <v>0</v>
      </c>
      <c r="AF163" s="56">
        <f t="shared" si="66"/>
        <v>0</v>
      </c>
      <c r="AG163" s="56">
        <f t="shared" si="66"/>
        <v>0</v>
      </c>
      <c r="AH163" s="56">
        <f t="shared" si="66"/>
        <v>0</v>
      </c>
      <c r="AI163" s="56">
        <f t="shared" si="66"/>
        <v>0</v>
      </c>
      <c r="AJ163" s="56">
        <f t="shared" si="66"/>
        <v>0</v>
      </c>
      <c r="AK163" s="56">
        <f t="shared" si="66"/>
        <v>0</v>
      </c>
      <c r="AL163" s="56">
        <f t="shared" si="66"/>
        <v>0</v>
      </c>
      <c r="AM163" s="56">
        <f t="shared" si="66"/>
        <v>0</v>
      </c>
      <c r="AN163" s="56">
        <f t="shared" si="66"/>
        <v>0</v>
      </c>
      <c r="AO163" s="56">
        <f>AO$151*$F$159</f>
        <v>0</v>
      </c>
      <c r="AP163" s="29"/>
    </row>
    <row r="164" spans="1:42" outlineLevel="1" x14ac:dyDescent="0.25">
      <c r="A164" s="54"/>
      <c r="B164" s="13"/>
      <c r="C164" s="45" t="s">
        <v>485</v>
      </c>
      <c r="D164" s="14"/>
      <c r="E164" s="70" t="s">
        <v>474</v>
      </c>
      <c r="F164" s="200">
        <f>Data!$E$40/1000</f>
        <v>605.20914606741576</v>
      </c>
      <c r="G164" s="56"/>
      <c r="H164" s="56"/>
      <c r="I164" s="56">
        <f>I$156*$F$164</f>
        <v>13368.677210483811</v>
      </c>
      <c r="J164" s="56">
        <f t="shared" ref="J164:AN164" si="67">J$156*$F$164</f>
        <v>13368.677210483811</v>
      </c>
      <c r="K164" s="56">
        <f t="shared" si="67"/>
        <v>13368.677210483811</v>
      </c>
      <c r="L164" s="56">
        <f t="shared" si="67"/>
        <v>13368.677210483811</v>
      </c>
      <c r="M164" s="56">
        <f t="shared" si="67"/>
        <v>13368.677210483811</v>
      </c>
      <c r="N164" s="56">
        <f t="shared" si="67"/>
        <v>13368.677210483811</v>
      </c>
      <c r="O164" s="56">
        <f t="shared" si="67"/>
        <v>13368.677210483811</v>
      </c>
      <c r="P164" s="56">
        <f t="shared" si="67"/>
        <v>13368.677210483811</v>
      </c>
      <c r="Q164" s="56">
        <f t="shared" si="67"/>
        <v>13368.677210483811</v>
      </c>
      <c r="R164" s="56">
        <f t="shared" si="67"/>
        <v>13368.677210483811</v>
      </c>
      <c r="S164" s="56">
        <f t="shared" si="67"/>
        <v>13368.677210483811</v>
      </c>
      <c r="T164" s="56">
        <f t="shared" si="67"/>
        <v>13368.677210483811</v>
      </c>
      <c r="U164" s="56">
        <f t="shared" si="67"/>
        <v>0</v>
      </c>
      <c r="V164" s="56">
        <f t="shared" si="67"/>
        <v>0</v>
      </c>
      <c r="W164" s="56">
        <f t="shared" si="67"/>
        <v>0</v>
      </c>
      <c r="X164" s="56">
        <f t="shared" si="67"/>
        <v>0</v>
      </c>
      <c r="Y164" s="56">
        <f t="shared" si="67"/>
        <v>0</v>
      </c>
      <c r="Z164" s="56">
        <f t="shared" si="67"/>
        <v>0</v>
      </c>
      <c r="AA164" s="56">
        <f t="shared" si="67"/>
        <v>0</v>
      </c>
      <c r="AB164" s="56">
        <f t="shared" si="67"/>
        <v>0</v>
      </c>
      <c r="AC164" s="56">
        <f t="shared" si="67"/>
        <v>0</v>
      </c>
      <c r="AD164" s="56">
        <f t="shared" si="67"/>
        <v>0</v>
      </c>
      <c r="AE164" s="56">
        <f t="shared" si="67"/>
        <v>0</v>
      </c>
      <c r="AF164" s="56">
        <f t="shared" si="67"/>
        <v>0</v>
      </c>
      <c r="AG164" s="56">
        <f t="shared" si="67"/>
        <v>0</v>
      </c>
      <c r="AH164" s="56">
        <f t="shared" si="67"/>
        <v>0</v>
      </c>
      <c r="AI164" s="56">
        <f t="shared" si="67"/>
        <v>0</v>
      </c>
      <c r="AJ164" s="56">
        <f t="shared" si="67"/>
        <v>0</v>
      </c>
      <c r="AK164" s="56">
        <f t="shared" si="67"/>
        <v>0</v>
      </c>
      <c r="AL164" s="56">
        <f t="shared" si="67"/>
        <v>0</v>
      </c>
      <c r="AM164" s="56">
        <f t="shared" si="67"/>
        <v>0</v>
      </c>
      <c r="AN164" s="56">
        <f t="shared" si="67"/>
        <v>0</v>
      </c>
      <c r="AO164" s="56">
        <f>AO$156*$F$164</f>
        <v>0</v>
      </c>
      <c r="AP164" s="29"/>
    </row>
    <row r="165" spans="1:42" outlineLevel="1" x14ac:dyDescent="0.25">
      <c r="A165" s="54"/>
      <c r="B165" s="13"/>
      <c r="C165" s="45" t="s">
        <v>214</v>
      </c>
      <c r="D165" s="14"/>
      <c r="E165" s="70" t="s">
        <v>474</v>
      </c>
      <c r="F165" s="200">
        <f>Data!$E$41/1000</f>
        <v>0</v>
      </c>
      <c r="G165" s="56"/>
      <c r="H165" s="56"/>
      <c r="I165" s="56">
        <f t="shared" ref="I165:AN165" si="68">I$157*$F$165</f>
        <v>0</v>
      </c>
      <c r="J165" s="56">
        <f t="shared" si="68"/>
        <v>0</v>
      </c>
      <c r="K165" s="56">
        <f t="shared" si="68"/>
        <v>0</v>
      </c>
      <c r="L165" s="56">
        <f t="shared" si="68"/>
        <v>0</v>
      </c>
      <c r="M165" s="56">
        <f t="shared" si="68"/>
        <v>0</v>
      </c>
      <c r="N165" s="56">
        <f t="shared" si="68"/>
        <v>0</v>
      </c>
      <c r="O165" s="56">
        <f t="shared" si="68"/>
        <v>0</v>
      </c>
      <c r="P165" s="56">
        <f t="shared" si="68"/>
        <v>0</v>
      </c>
      <c r="Q165" s="56">
        <f t="shared" si="68"/>
        <v>0</v>
      </c>
      <c r="R165" s="56">
        <f t="shared" si="68"/>
        <v>0</v>
      </c>
      <c r="S165" s="56">
        <f t="shared" si="68"/>
        <v>0</v>
      </c>
      <c r="T165" s="56">
        <f t="shared" si="68"/>
        <v>0</v>
      </c>
      <c r="U165" s="56">
        <f t="shared" si="68"/>
        <v>0</v>
      </c>
      <c r="V165" s="56">
        <f t="shared" si="68"/>
        <v>0</v>
      </c>
      <c r="W165" s="56">
        <f t="shared" si="68"/>
        <v>0</v>
      </c>
      <c r="X165" s="56">
        <f t="shared" si="68"/>
        <v>0</v>
      </c>
      <c r="Y165" s="56">
        <f t="shared" si="68"/>
        <v>0</v>
      </c>
      <c r="Z165" s="56">
        <f t="shared" si="68"/>
        <v>0</v>
      </c>
      <c r="AA165" s="56">
        <f t="shared" si="68"/>
        <v>0</v>
      </c>
      <c r="AB165" s="56">
        <f t="shared" si="68"/>
        <v>0</v>
      </c>
      <c r="AC165" s="56">
        <f t="shared" si="68"/>
        <v>0</v>
      </c>
      <c r="AD165" s="56">
        <f t="shared" si="68"/>
        <v>0</v>
      </c>
      <c r="AE165" s="56">
        <f t="shared" si="68"/>
        <v>0</v>
      </c>
      <c r="AF165" s="56">
        <f t="shared" si="68"/>
        <v>0</v>
      </c>
      <c r="AG165" s="56">
        <f t="shared" si="68"/>
        <v>0</v>
      </c>
      <c r="AH165" s="56">
        <f t="shared" si="68"/>
        <v>0</v>
      </c>
      <c r="AI165" s="56">
        <f t="shared" si="68"/>
        <v>0</v>
      </c>
      <c r="AJ165" s="56">
        <f t="shared" si="68"/>
        <v>0</v>
      </c>
      <c r="AK165" s="56">
        <f t="shared" si="68"/>
        <v>0</v>
      </c>
      <c r="AL165" s="56">
        <f t="shared" si="68"/>
        <v>0</v>
      </c>
      <c r="AM165" s="56">
        <f t="shared" si="68"/>
        <v>0</v>
      </c>
      <c r="AN165" s="56">
        <f t="shared" si="68"/>
        <v>0</v>
      </c>
      <c r="AO165" s="56">
        <f>AO$157*$F$165</f>
        <v>0</v>
      </c>
      <c r="AP165" s="29"/>
    </row>
    <row r="166" spans="1:42" outlineLevel="1" x14ac:dyDescent="0.25">
      <c r="A166" s="12"/>
      <c r="B166" s="13"/>
      <c r="C166" s="20" t="s">
        <v>486</v>
      </c>
      <c r="D166" s="14"/>
      <c r="E166" s="70" t="s">
        <v>474</v>
      </c>
      <c r="F166" s="16"/>
      <c r="G166" s="159"/>
      <c r="H166" s="185"/>
      <c r="I166" s="185">
        <f t="shared" ref="I166:AO166" si="69">SUM(I159:I165)</f>
        <v>381677.66929478035</v>
      </c>
      <c r="J166" s="185">
        <f t="shared" si="69"/>
        <v>382630.18403904932</v>
      </c>
      <c r="K166" s="185">
        <f t="shared" si="69"/>
        <v>383487.44730889139</v>
      </c>
      <c r="L166" s="185">
        <f t="shared" si="69"/>
        <v>384439.96205316036</v>
      </c>
      <c r="M166" s="185">
        <f t="shared" si="69"/>
        <v>385392.47679742938</v>
      </c>
      <c r="N166" s="185">
        <f t="shared" si="69"/>
        <v>386344.99154169834</v>
      </c>
      <c r="O166" s="185">
        <f t="shared" si="69"/>
        <v>387202.25481154042</v>
      </c>
      <c r="P166" s="185">
        <f t="shared" si="69"/>
        <v>387773.76365810179</v>
      </c>
      <c r="Q166" s="185">
        <f t="shared" si="69"/>
        <v>388345.27250466315</v>
      </c>
      <c r="R166" s="185">
        <f t="shared" si="69"/>
        <v>389012.03282565146</v>
      </c>
      <c r="S166" s="185">
        <f t="shared" si="69"/>
        <v>389583.54167221283</v>
      </c>
      <c r="T166" s="185">
        <f t="shared" si="69"/>
        <v>390155.05051877425</v>
      </c>
      <c r="U166" s="185">
        <f t="shared" si="69"/>
        <v>0</v>
      </c>
      <c r="V166" s="185">
        <f t="shared" si="69"/>
        <v>0</v>
      </c>
      <c r="W166" s="185">
        <f t="shared" si="69"/>
        <v>0</v>
      </c>
      <c r="X166" s="185">
        <f t="shared" si="69"/>
        <v>0</v>
      </c>
      <c r="Y166" s="185">
        <f t="shared" si="69"/>
        <v>0</v>
      </c>
      <c r="Z166" s="185">
        <f t="shared" si="69"/>
        <v>0</v>
      </c>
      <c r="AA166" s="185">
        <f t="shared" si="69"/>
        <v>0</v>
      </c>
      <c r="AB166" s="185">
        <f t="shared" si="69"/>
        <v>0</v>
      </c>
      <c r="AC166" s="185">
        <f t="shared" si="69"/>
        <v>0</v>
      </c>
      <c r="AD166" s="185">
        <f t="shared" si="69"/>
        <v>0</v>
      </c>
      <c r="AE166" s="185">
        <f t="shared" si="69"/>
        <v>0</v>
      </c>
      <c r="AF166" s="185">
        <f t="shared" si="69"/>
        <v>0</v>
      </c>
      <c r="AG166" s="185">
        <f t="shared" si="69"/>
        <v>0</v>
      </c>
      <c r="AH166" s="185">
        <f t="shared" si="69"/>
        <v>0</v>
      </c>
      <c r="AI166" s="185">
        <f t="shared" si="69"/>
        <v>0</v>
      </c>
      <c r="AJ166" s="185">
        <f t="shared" si="69"/>
        <v>0</v>
      </c>
      <c r="AK166" s="185">
        <f t="shared" si="69"/>
        <v>0</v>
      </c>
      <c r="AL166" s="185">
        <f t="shared" si="69"/>
        <v>0</v>
      </c>
      <c r="AM166" s="185">
        <f t="shared" si="69"/>
        <v>0</v>
      </c>
      <c r="AN166" s="185">
        <f t="shared" si="69"/>
        <v>0</v>
      </c>
      <c r="AO166" s="185">
        <f t="shared" si="69"/>
        <v>0</v>
      </c>
      <c r="AP166" s="14"/>
    </row>
    <row r="167" spans="1:42" outlineLevel="1" x14ac:dyDescent="0.25">
      <c r="A167" s="12"/>
      <c r="B167" s="13"/>
      <c r="C167" s="14" t="s">
        <v>487</v>
      </c>
      <c r="D167" s="14"/>
      <c r="E167" s="15" t="s">
        <v>474</v>
      </c>
      <c r="F167" s="48"/>
      <c r="G167" s="185"/>
      <c r="H167" s="185"/>
      <c r="I167" s="185">
        <f>I166*Data!H$9</f>
        <v>366997.75893728877</v>
      </c>
      <c r="J167" s="185">
        <f>J166*Data!I$9</f>
        <v>353763.11394142872</v>
      </c>
      <c r="K167" s="185">
        <f>K166*Data!J$9</f>
        <v>340918.94425360876</v>
      </c>
      <c r="L167" s="185">
        <f>L166*Data!K$9</f>
        <v>328620.89076235017</v>
      </c>
      <c r="M167" s="185">
        <f>M166*Data!L$9</f>
        <v>316764.52342093165</v>
      </c>
      <c r="N167" s="185">
        <f>N166*Data!M$9</f>
        <v>305334.0587584945</v>
      </c>
      <c r="O167" s="185">
        <f>O166*Data!N$9</f>
        <v>294241.89074329392</v>
      </c>
      <c r="P167" s="185">
        <f>P166*Data!O$9</f>
        <v>283342.49086172919</v>
      </c>
      <c r="Q167" s="185">
        <f>Q166*Data!P$9</f>
        <v>272846.23728652264</v>
      </c>
      <c r="R167" s="185">
        <f>R166*Data!Q$9</f>
        <v>262802.59061909548</v>
      </c>
      <c r="S167" s="185">
        <f>S166*Data!R$9</f>
        <v>253066.03992115322</v>
      </c>
      <c r="T167" s="185">
        <f>T166*Data!S$9</f>
        <v>243689.69343278767</v>
      </c>
      <c r="U167" s="185">
        <f>U166*Data!T$9</f>
        <v>0</v>
      </c>
      <c r="V167" s="185">
        <f>V166*Data!U$9</f>
        <v>0</v>
      </c>
      <c r="W167" s="185">
        <f>W166*Data!V$9</f>
        <v>0</v>
      </c>
      <c r="X167" s="185">
        <f>X166*Data!W$9</f>
        <v>0</v>
      </c>
      <c r="Y167" s="185">
        <f>Y166*Data!X$9</f>
        <v>0</v>
      </c>
      <c r="Z167" s="185">
        <f>Z166*Data!Y$9</f>
        <v>0</v>
      </c>
      <c r="AA167" s="185">
        <f>AA166*Data!Z$9</f>
        <v>0</v>
      </c>
      <c r="AB167" s="185">
        <f>AB166*Data!AA$9</f>
        <v>0</v>
      </c>
      <c r="AC167" s="185">
        <f>AC166*Data!AB$9</f>
        <v>0</v>
      </c>
      <c r="AD167" s="185">
        <f>AD166*Data!AC$9</f>
        <v>0</v>
      </c>
      <c r="AE167" s="185">
        <f>AE166*Data!AD$9</f>
        <v>0</v>
      </c>
      <c r="AF167" s="185">
        <f>AF166*Data!AE$9</f>
        <v>0</v>
      </c>
      <c r="AG167" s="185">
        <f>AG166*Data!AF$9</f>
        <v>0</v>
      </c>
      <c r="AH167" s="185">
        <f>AH166*Data!AG$9</f>
        <v>0</v>
      </c>
      <c r="AI167" s="185">
        <f>AI166*Data!AH$9</f>
        <v>0</v>
      </c>
      <c r="AJ167" s="185">
        <f>AJ166*Data!AI$9</f>
        <v>0</v>
      </c>
      <c r="AK167" s="185">
        <f>AK166*Data!AJ$9</f>
        <v>0</v>
      </c>
      <c r="AL167" s="185">
        <f>AL166*Data!AK$9</f>
        <v>0</v>
      </c>
      <c r="AM167" s="185">
        <f>AM166*Data!AL$9</f>
        <v>0</v>
      </c>
      <c r="AN167" s="185">
        <f>AN166*Data!AM$9</f>
        <v>0</v>
      </c>
      <c r="AO167" s="185">
        <f>AO166*Data!AN$9</f>
        <v>0</v>
      </c>
      <c r="AP167" s="14"/>
    </row>
    <row r="168" spans="1:42" outlineLevel="1" x14ac:dyDescent="0.25">
      <c r="A168" s="12"/>
      <c r="B168" s="13"/>
      <c r="C168" s="14" t="s">
        <v>489</v>
      </c>
      <c r="D168" s="14"/>
      <c r="E168" s="15"/>
      <c r="F168" s="48"/>
      <c r="G168" s="185">
        <f>SUM(H167:AP167)</f>
        <v>3622388.2329386845</v>
      </c>
      <c r="H168" s="244"/>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4"/>
    </row>
    <row r="169" spans="1:42" outlineLevel="1" x14ac:dyDescent="0.25">
      <c r="A169" s="12"/>
      <c r="B169" s="13"/>
      <c r="C169" s="41" t="s">
        <v>62</v>
      </c>
      <c r="D169" s="14"/>
      <c r="E169" s="15" t="s">
        <v>261</v>
      </c>
      <c r="F169" s="48"/>
      <c r="G169" s="183">
        <f>G168/SUM(H149:AP149)</f>
        <v>3.2250607486989713</v>
      </c>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4"/>
    </row>
    <row r="170" spans="1:42" outlineLevel="1" x14ac:dyDescent="0.25">
      <c r="A170" s="12"/>
      <c r="B170" s="13"/>
      <c r="C170" s="41"/>
      <c r="D170" s="14"/>
      <c r="E170" s="15"/>
      <c r="F170" s="48"/>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4"/>
    </row>
    <row r="171" spans="1:42" outlineLevel="1" x14ac:dyDescent="0.25">
      <c r="A171" s="12"/>
      <c r="B171" s="13"/>
      <c r="C171" s="20" t="s">
        <v>489</v>
      </c>
      <c r="D171" s="19"/>
      <c r="E171" s="15" t="s">
        <v>261</v>
      </c>
      <c r="F171" s="16"/>
      <c r="G171" s="184">
        <f>G122+G146+G169</f>
        <v>3.2510345121188249</v>
      </c>
      <c r="H171" s="185"/>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row>
    <row r="172" spans="1:42" ht="18.75" outlineLevel="1" x14ac:dyDescent="0.3">
      <c r="A172" s="12"/>
      <c r="B172" s="13"/>
      <c r="C172" s="226" t="str">
        <f>C31</f>
        <v>TCO 1: End-of-Life Diesel Bus Replacement with BEB</v>
      </c>
      <c r="D172" s="225"/>
      <c r="E172" s="15" t="s">
        <v>261</v>
      </c>
      <c r="F172" s="16"/>
      <c r="G172" s="224">
        <f>G113+G171</f>
        <v>4.3154284119706192</v>
      </c>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row>
    <row r="173" spans="1:42" outlineLevel="1" x14ac:dyDescent="0.25">
      <c r="A173" s="12"/>
      <c r="B173" s="13"/>
      <c r="C173" s="41"/>
      <c r="D173" s="41"/>
      <c r="E173" s="15"/>
      <c r="F173" s="16"/>
      <c r="G173" s="14"/>
      <c r="H173" s="141"/>
      <c r="I173" s="141"/>
      <c r="J173" s="141"/>
      <c r="K173" s="141"/>
      <c r="L173" s="141"/>
      <c r="M173" s="141"/>
      <c r="N173" s="141"/>
      <c r="O173" s="141"/>
      <c r="P173" s="141"/>
      <c r="Q173" s="141"/>
      <c r="R173" s="141"/>
      <c r="S173" s="141"/>
      <c r="T173" s="141"/>
      <c r="U173" s="141"/>
      <c r="V173" s="141"/>
      <c r="W173" s="141"/>
      <c r="X173" s="141"/>
      <c r="Y173" s="141"/>
      <c r="Z173" s="141"/>
      <c r="AA173" s="141"/>
      <c r="AB173" s="141"/>
      <c r="AC173" s="14"/>
      <c r="AD173" s="14"/>
      <c r="AE173" s="14"/>
      <c r="AF173" s="14"/>
      <c r="AG173" s="14"/>
      <c r="AH173" s="14"/>
      <c r="AI173" s="14"/>
      <c r="AJ173" s="14"/>
      <c r="AK173" s="14"/>
      <c r="AL173" s="14"/>
      <c r="AM173" s="14"/>
      <c r="AN173" s="14"/>
      <c r="AO173" s="14"/>
      <c r="AP173" s="17"/>
    </row>
    <row r="174" spans="1:42" x14ac:dyDescent="0.25">
      <c r="A174" s="261"/>
      <c r="B174" s="261"/>
      <c r="C174" s="261" t="s">
        <v>576</v>
      </c>
      <c r="D174" s="261"/>
      <c r="E174" s="262"/>
      <c r="F174" s="263"/>
      <c r="G174" s="263"/>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3"/>
      <c r="AD174" s="263"/>
      <c r="AE174" s="263"/>
      <c r="AF174" s="263"/>
      <c r="AG174" s="263"/>
      <c r="AH174" s="263"/>
      <c r="AI174" s="263"/>
      <c r="AJ174" s="263"/>
      <c r="AK174" s="263"/>
      <c r="AL174" s="263"/>
      <c r="AM174" s="263"/>
      <c r="AN174" s="263"/>
      <c r="AO174" s="263"/>
      <c r="AP174" s="265"/>
    </row>
    <row r="175" spans="1:42" outlineLevel="1" x14ac:dyDescent="0.25">
      <c r="A175" s="12"/>
      <c r="B175" s="13"/>
      <c r="C175" s="41"/>
      <c r="D175" s="41"/>
      <c r="E175" s="15"/>
      <c r="F175" s="16"/>
      <c r="G175" s="14"/>
      <c r="H175" s="141"/>
      <c r="I175" s="141"/>
      <c r="J175" s="141"/>
      <c r="K175" s="141"/>
      <c r="L175" s="141"/>
      <c r="M175" s="141"/>
      <c r="N175" s="141"/>
      <c r="O175" s="141"/>
      <c r="P175" s="141"/>
      <c r="Q175" s="141"/>
      <c r="R175" s="141"/>
      <c r="S175" s="141"/>
      <c r="T175" s="141"/>
      <c r="U175" s="141"/>
      <c r="V175" s="141"/>
      <c r="W175" s="141"/>
      <c r="X175" s="141"/>
      <c r="Y175" s="141"/>
      <c r="Z175" s="141"/>
      <c r="AA175" s="141"/>
      <c r="AB175" s="141"/>
      <c r="AC175" s="14"/>
      <c r="AD175" s="14"/>
      <c r="AE175" s="14"/>
      <c r="AF175" s="14"/>
      <c r="AG175" s="14"/>
      <c r="AH175" s="14"/>
      <c r="AI175" s="14"/>
      <c r="AJ175" s="14"/>
      <c r="AK175" s="14"/>
      <c r="AL175" s="14"/>
      <c r="AM175" s="14"/>
      <c r="AN175" s="14"/>
      <c r="AO175" s="14"/>
      <c r="AP175" s="17"/>
    </row>
    <row r="176" spans="1:42" outlineLevel="1" x14ac:dyDescent="0.25">
      <c r="A176" s="12"/>
      <c r="B176" s="13"/>
      <c r="C176" s="37" t="s">
        <v>508</v>
      </c>
      <c r="D176" s="37"/>
      <c r="E176" s="38"/>
      <c r="F176" s="39"/>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17"/>
    </row>
    <row r="177" spans="1:42" outlineLevel="1" x14ac:dyDescent="0.25">
      <c r="A177" s="12"/>
      <c r="B177" s="13"/>
      <c r="C177" s="95" t="s">
        <v>559</v>
      </c>
      <c r="D177" s="14"/>
      <c r="E177" s="15"/>
      <c r="F177" s="16"/>
      <c r="G177" s="14"/>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29"/>
    </row>
    <row r="178" spans="1:42" outlineLevel="1" x14ac:dyDescent="0.25">
      <c r="A178" s="12"/>
      <c r="B178" s="13"/>
      <c r="C178" s="96" t="s">
        <v>120</v>
      </c>
      <c r="D178" s="14"/>
      <c r="E178" s="15" t="s">
        <v>142</v>
      </c>
      <c r="F178" s="158" t="str">
        <f>Dashboard!$I$43</f>
        <v>2 Axle rigid</v>
      </c>
      <c r="G178" s="14"/>
      <c r="H178" s="177">
        <f>IF(F178=C178,Data!$E$302,0)</f>
        <v>605000</v>
      </c>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29"/>
    </row>
    <row r="179" spans="1:42" outlineLevel="1" x14ac:dyDescent="0.25">
      <c r="A179" s="12"/>
      <c r="B179" s="13"/>
      <c r="C179" s="96" t="s">
        <v>124</v>
      </c>
      <c r="D179" s="14"/>
      <c r="E179" s="15" t="s">
        <v>142</v>
      </c>
      <c r="F179" s="158" t="str">
        <f>Dashboard!$I$43</f>
        <v>2 Axle rigid</v>
      </c>
      <c r="G179" s="14"/>
      <c r="H179" s="177">
        <f>IF(F179=C179,Data!$E$303,0)</f>
        <v>0</v>
      </c>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29"/>
    </row>
    <row r="180" spans="1:42" outlineLevel="1" x14ac:dyDescent="0.25">
      <c r="A180" s="12"/>
      <c r="B180" s="13"/>
      <c r="C180" s="96" t="s">
        <v>126</v>
      </c>
      <c r="D180" s="14"/>
      <c r="E180" s="15" t="s">
        <v>142</v>
      </c>
      <c r="F180" s="158" t="str">
        <f>Dashboard!$I$43</f>
        <v>2 Axle rigid</v>
      </c>
      <c r="G180" s="14"/>
      <c r="H180" s="177">
        <f>IF(F180=C180,Data!$E$304,0)</f>
        <v>0</v>
      </c>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29"/>
    </row>
    <row r="181" spans="1:42" outlineLevel="1" x14ac:dyDescent="0.25">
      <c r="A181" s="12"/>
      <c r="B181" s="13"/>
      <c r="C181" s="96"/>
      <c r="D181" s="14"/>
      <c r="E181" s="15"/>
      <c r="F181" s="158"/>
      <c r="G181" s="14"/>
      <c r="H181" s="177"/>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29"/>
    </row>
    <row r="182" spans="1:42" outlineLevel="1" x14ac:dyDescent="0.25">
      <c r="A182" s="12"/>
      <c r="B182" s="13"/>
      <c r="C182" s="95" t="s">
        <v>545</v>
      </c>
      <c r="D182" s="14"/>
      <c r="E182" s="15"/>
      <c r="F182" s="158"/>
      <c r="G182" s="14"/>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29"/>
    </row>
    <row r="183" spans="1:42" outlineLevel="1" x14ac:dyDescent="0.25">
      <c r="A183" s="12"/>
      <c r="B183" s="13"/>
      <c r="C183" s="96" t="s">
        <v>120</v>
      </c>
      <c r="D183" s="14"/>
      <c r="E183" s="15" t="s">
        <v>142</v>
      </c>
      <c r="F183" s="158" t="str">
        <f>Dashboard!$I$43</f>
        <v>2 Axle rigid</v>
      </c>
      <c r="G183" s="14"/>
      <c r="H183" s="151">
        <f>IF(COUNT($H$3:H$3)=(Data!$E$307+1),IF($F$183=$C$183,H$26,0),0)</f>
        <v>0</v>
      </c>
      <c r="I183" s="151">
        <f>IF(COUNT($H$3:I$3)=(Data!$E$307+1),IF($F$183=$C$183,I$26,0),0)</f>
        <v>0</v>
      </c>
      <c r="J183" s="151">
        <f>IF(COUNT($H$3:J$3)=(Data!$E$307+1),IF($F$183=$C$183,J$26,0),0)</f>
        <v>0</v>
      </c>
      <c r="K183" s="151">
        <f>IF(COUNT($H$3:K$3)=(Data!$E$307+1),IF($F$183=$C$183,K$26,0),0)</f>
        <v>0</v>
      </c>
      <c r="L183" s="151">
        <f>IF(COUNT($H$3:L$3)=(Data!$E$307+1),IF($F$183=$C$183,L$26,0),0)</f>
        <v>0</v>
      </c>
      <c r="M183" s="151">
        <f>IF(COUNT($H$3:M$3)=(Data!$E$307+1),IF($F$183=$C$183,M$26,0),0)</f>
        <v>0</v>
      </c>
      <c r="N183" s="151">
        <f>IF(COUNT($H$3:N$3)=(Data!$E$307+1),IF($F$183=$C$183,N$26,0),0)</f>
        <v>0</v>
      </c>
      <c r="O183" s="151">
        <f>IF(COUNT($H$3:O$3)=(Data!$E$307+1),IF($F$183=$C$183,O$26,0),0)</f>
        <v>0</v>
      </c>
      <c r="P183" s="151">
        <f>IF(COUNT($H$3:P$3)=(Data!$E$307+1),IF($F$183=$C$183,P$26,0),0)</f>
        <v>0</v>
      </c>
      <c r="Q183" s="151">
        <f>IF(COUNT($H$3:Q$3)=(Data!$E$307+1),IF($F$183=$C$183,Q$26,0),0)</f>
        <v>109769.36269665971</v>
      </c>
      <c r="R183" s="151">
        <f>IF(COUNT($H$3:R$3)=(Data!$E$307+1),IF($F$183=$C$183,R$26,0),0)</f>
        <v>0</v>
      </c>
      <c r="S183" s="151">
        <f>IF(COUNT($H$3:S$3)=(Data!$E$307+1),IF($F$183=$C$183,S$26,0),0)</f>
        <v>0</v>
      </c>
      <c r="T183" s="151">
        <f>IF(COUNT($H$3:T$3)=(Data!$E$307+1),IF($F$183=$C$183,T$26,0),0)</f>
        <v>0</v>
      </c>
      <c r="U183" s="151">
        <f>IF(COUNT($H$3:U$3)=(Data!$E$307+1),IF($F$183=$C$183,U$26,0),0)</f>
        <v>0</v>
      </c>
      <c r="V183" s="151">
        <f>IF(COUNT($H$3:V$3)=(Data!$E$307+1),IF($F$183=$C$183,V$26,0),0)</f>
        <v>0</v>
      </c>
      <c r="W183" s="151">
        <f>IF(COUNT($H$3:W$3)=(Data!$E$307+1),IF($F$183=$C$183,W$26,0),0)</f>
        <v>0</v>
      </c>
      <c r="X183" s="151">
        <f>IF(COUNT($H$3:X$3)=(Data!$E$307+1),IF($F$183=$C$183,X$26,0),0)</f>
        <v>0</v>
      </c>
      <c r="Y183" s="151">
        <f>IF(COUNT($H$3:Y$3)=(Data!$E$307+1),IF($F$183=$C$183,Y$26,0),0)</f>
        <v>0</v>
      </c>
      <c r="Z183" s="151">
        <f>IF(COUNT($H$3:Z$3)=(Data!$E$307+1),IF($F$183=$C$183,Z$26,0),0)</f>
        <v>0</v>
      </c>
      <c r="AA183" s="151">
        <f>IF(COUNT($H$3:AA$3)=(Data!$E$307+1),IF($F$183=$C$183,AA$26,0),0)</f>
        <v>0</v>
      </c>
      <c r="AB183" s="151">
        <f>IF(COUNT($H$3:AB$3)=(Data!$E$307+1),IF($F$183=$C$183,AB$26,0),0)</f>
        <v>0</v>
      </c>
      <c r="AC183" s="151">
        <f>IF(COUNT($H$3:AC$3)=(Data!$E$307+1),IF($F$183=$C$183,AC$26,0),0)</f>
        <v>0</v>
      </c>
      <c r="AD183" s="151">
        <f>IF(COUNT($H$3:AD$3)=(Data!$E$307+1),IF($F$183=$C$183,AD$26,0),0)</f>
        <v>0</v>
      </c>
      <c r="AE183" s="151">
        <f>IF(COUNT($H$3:AE$3)=(Data!$E$307+1),IF($F$183=$C$183,AE$26,0),0)</f>
        <v>0</v>
      </c>
      <c r="AF183" s="151">
        <f>IF(COUNT($H$3:AF$3)=(Data!$E$307+1),IF($F$183=$C$183,AF$26,0),0)</f>
        <v>0</v>
      </c>
      <c r="AG183" s="151">
        <f>IF(COUNT($H$3:AG$3)=(Data!$E$307+1),IF($F$183=$C$183,AG$26,0),0)</f>
        <v>0</v>
      </c>
      <c r="AH183" s="151">
        <f>IF(COUNT($H$3:AH$3)=(Data!$E$307+1),IF($F$183=$C$183,AH$26,0),0)</f>
        <v>0</v>
      </c>
      <c r="AI183" s="151">
        <f>IF(COUNT($H$3:AI$3)=(Data!$E$307+1),IF($F$183=$C$183,AI$26,0),0)</f>
        <v>0</v>
      </c>
      <c r="AJ183" s="151">
        <f>IF(COUNT($H$3:AJ$3)=(Data!$E$307+1),IF($F$183=$C$183,AJ$26,0),0)</f>
        <v>0</v>
      </c>
      <c r="AK183" s="151">
        <f>IF(COUNT($H$3:AK$3)=(Data!$E$307+1),IF($F$183=$C$183,AK$26,0),0)</f>
        <v>0</v>
      </c>
      <c r="AL183" s="151">
        <f>IF(COUNT($H$3:AL$3)=(Data!$E$307+1),IF($F$183=$C$183,AL$26,0),0)</f>
        <v>0</v>
      </c>
      <c r="AM183" s="151">
        <f>IF(COUNT($H$3:AM$3)=(Data!$E$307+1),IF($F$183=$C$183,AM$26,0),0)</f>
        <v>0</v>
      </c>
      <c r="AN183" s="151">
        <f>IF(COUNT($H$3:AN$3)=(Data!$E$307+1),IF($F$183=$C$183,AN$26,0),0)</f>
        <v>0</v>
      </c>
      <c r="AO183" s="151">
        <f>IF(COUNT($H$3:AO$3)=(Data!$E$307+1),IF($F$183=$C$183,AO$26,0),0)</f>
        <v>0</v>
      </c>
      <c r="AP183" s="29"/>
    </row>
    <row r="184" spans="1:42" outlineLevel="1" x14ac:dyDescent="0.25">
      <c r="A184" s="12"/>
      <c r="B184" s="13"/>
      <c r="C184" s="96" t="s">
        <v>124</v>
      </c>
      <c r="D184" s="14"/>
      <c r="E184" s="15" t="s">
        <v>142</v>
      </c>
      <c r="F184" s="158" t="str">
        <f>Dashboard!$I$43</f>
        <v>2 Axle rigid</v>
      </c>
      <c r="G184" s="14"/>
      <c r="H184" s="151">
        <f>IF(COUNT($H$3:H$3)=(Data!$E$307+1),IF($F$184=$C$184,H$27,0),0)</f>
        <v>0</v>
      </c>
      <c r="I184" s="151">
        <f>IF(COUNT($H$3:I$3)=(Data!$E$307+1),IF($F$184=$C$184,I$27,0),0)</f>
        <v>0</v>
      </c>
      <c r="J184" s="151">
        <f>IF(COUNT($H$3:J$3)=(Data!$E$307+1),IF($F$184=$C$184,J$27,0),0)</f>
        <v>0</v>
      </c>
      <c r="K184" s="151">
        <f>IF(COUNT($H$3:K$3)=(Data!$E$307+1),IF($F$184=$C$184,K$27,0),0)</f>
        <v>0</v>
      </c>
      <c r="L184" s="151">
        <f>IF(COUNT($H$3:L$3)=(Data!$E$307+1),IF($F$184=$C$184,L$27,0),0)</f>
        <v>0</v>
      </c>
      <c r="M184" s="151">
        <f>IF(COUNT($H$3:M$3)=(Data!$E$307+1),IF($F$184=$C$184,M$27,0),0)</f>
        <v>0</v>
      </c>
      <c r="N184" s="151">
        <f>IF(COUNT($H$3:N$3)=(Data!$E$307+1),IF($F$184=$C$184,N$27,0),0)</f>
        <v>0</v>
      </c>
      <c r="O184" s="151">
        <f>IF(COUNT($H$3:O$3)=(Data!$E$307+1),IF($F$184=$C$184,O$27,0),0)</f>
        <v>0</v>
      </c>
      <c r="P184" s="151">
        <f>IF(COUNT($H$3:P$3)=(Data!$E$307+1),IF($F$184=$C$184,P$27,0),0)</f>
        <v>0</v>
      </c>
      <c r="Q184" s="151">
        <f>IF(COUNT($H$3:Q$3)=(Data!$E$307+1),IF($F$184=$C$184,Q$27,0),0)</f>
        <v>0</v>
      </c>
      <c r="R184" s="151">
        <f>IF(COUNT($H$3:R$3)=(Data!$E$307+1),IF($F$184=$C$184,R$27,0),0)</f>
        <v>0</v>
      </c>
      <c r="S184" s="151">
        <f>IF(COUNT($H$3:S$3)=(Data!$E$307+1),IF($F$184=$C$184,S$27,0),0)</f>
        <v>0</v>
      </c>
      <c r="T184" s="151">
        <f>IF(COUNT($H$3:T$3)=(Data!$E$307+1),IF($F$184=$C$184,T$27,0),0)</f>
        <v>0</v>
      </c>
      <c r="U184" s="151">
        <f>IF(COUNT($H$3:U$3)=(Data!$E$307+1),IF($F$184=$C$184,U$27,0),0)</f>
        <v>0</v>
      </c>
      <c r="V184" s="151">
        <f>IF(COUNT($H$3:V$3)=(Data!$E$307+1),IF($F$184=$C$184,V$27,0),0)</f>
        <v>0</v>
      </c>
      <c r="W184" s="151">
        <f>IF(COUNT($H$3:W$3)=(Data!$E$307+1),IF($F$184=$C$184,W$27,0),0)</f>
        <v>0</v>
      </c>
      <c r="X184" s="151">
        <f>IF(COUNT($H$3:X$3)=(Data!$E$307+1),IF($F$184=$C$184,X$27,0),0)</f>
        <v>0</v>
      </c>
      <c r="Y184" s="151">
        <f>IF(COUNT($H$3:Y$3)=(Data!$E$307+1),IF($F$184=$C$184,Y$27,0),0)</f>
        <v>0</v>
      </c>
      <c r="Z184" s="151">
        <f>IF(COUNT($H$3:Z$3)=(Data!$E$307+1),IF($F$184=$C$184,Z$27,0),0)</f>
        <v>0</v>
      </c>
      <c r="AA184" s="151">
        <f>IF(COUNT($H$3:AA$3)=(Data!$E$307+1),IF($F$184=$C$184,AA$27,0),0)</f>
        <v>0</v>
      </c>
      <c r="AB184" s="151">
        <f>IF(COUNT($H$3:AB$3)=(Data!$E$307+1),IF($F$184=$C$184,AB$27,0),0)</f>
        <v>0</v>
      </c>
      <c r="AC184" s="151">
        <f>IF(COUNT($H$3:AC$3)=(Data!$E$307+1),IF($F$184=$C$184,AC$27,0),0)</f>
        <v>0</v>
      </c>
      <c r="AD184" s="151">
        <f>IF(COUNT($H$3:AD$3)=(Data!$E$307+1),IF($F$184=$C$184,AD$27,0),0)</f>
        <v>0</v>
      </c>
      <c r="AE184" s="151">
        <f>IF(COUNT($H$3:AE$3)=(Data!$E$307+1),IF($F$184=$C$184,AE$27,0),0)</f>
        <v>0</v>
      </c>
      <c r="AF184" s="151">
        <f>IF(COUNT($H$3:AF$3)=(Data!$E$307+1),IF($F$184=$C$184,AF$27,0),0)</f>
        <v>0</v>
      </c>
      <c r="AG184" s="151">
        <f>IF(COUNT($H$3:AG$3)=(Data!$E$307+1),IF($F$184=$C$184,AG$27,0),0)</f>
        <v>0</v>
      </c>
      <c r="AH184" s="151">
        <f>IF(COUNT($H$3:AH$3)=(Data!$E$307+1),IF($F$184=$C$184,AH$27,0),0)</f>
        <v>0</v>
      </c>
      <c r="AI184" s="151">
        <f>IF(COUNT($H$3:AI$3)=(Data!$E$307+1),IF($F$184=$C$184,AI$27,0),0)</f>
        <v>0</v>
      </c>
      <c r="AJ184" s="151">
        <f>IF(COUNT($H$3:AJ$3)=(Data!$E$307+1),IF($F$184=$C$184,AJ$27,0),0)</f>
        <v>0</v>
      </c>
      <c r="AK184" s="151">
        <f>IF(COUNT($H$3:AK$3)=(Data!$E$307+1),IF($F$184=$C$184,AK$27,0),0)</f>
        <v>0</v>
      </c>
      <c r="AL184" s="151">
        <f>IF(COUNT($H$3:AL$3)=(Data!$E$307+1),IF($F$184=$C$184,AL$27,0),0)</f>
        <v>0</v>
      </c>
      <c r="AM184" s="151">
        <f>IF(COUNT($H$3:AM$3)=(Data!$E$307+1),IF($F$184=$C$184,AM$27,0),0)</f>
        <v>0</v>
      </c>
      <c r="AN184" s="151">
        <f>IF(COUNT($H$3:AN$3)=(Data!$E$307+1),IF($F$184=$C$184,AN$27,0),0)</f>
        <v>0</v>
      </c>
      <c r="AO184" s="151">
        <f>IF(COUNT($H$3:AO$3)=(Data!$E$307+1),IF($F$184=$C$184,AO$27,0),0)</f>
        <v>0</v>
      </c>
      <c r="AP184" s="29"/>
    </row>
    <row r="185" spans="1:42" outlineLevel="1" x14ac:dyDescent="0.25">
      <c r="A185" s="12"/>
      <c r="B185" s="13"/>
      <c r="C185" s="96" t="s">
        <v>126</v>
      </c>
      <c r="D185" s="14"/>
      <c r="E185" s="15" t="s">
        <v>142</v>
      </c>
      <c r="F185" s="158" t="str">
        <f>Dashboard!$I$43</f>
        <v>2 Axle rigid</v>
      </c>
      <c r="G185" s="14"/>
      <c r="H185" s="151">
        <f>IF(COUNT($H$3:H$3)=(Data!$E$307+1),IF($F$185=$C$185,H$28,0),0)</f>
        <v>0</v>
      </c>
      <c r="I185" s="151">
        <f>IF(COUNT($H$3:I$3)=(Data!$E$307+1),IF($F$185=$C$185,I$28,0),0)</f>
        <v>0</v>
      </c>
      <c r="J185" s="151">
        <f>IF(COUNT($H$3:J$3)=(Data!$E$307+1),IF($F$185=$C$185,J$28,0),0)</f>
        <v>0</v>
      </c>
      <c r="K185" s="151">
        <f>IF(COUNT($H$3:K$3)=(Data!$E$307+1),IF($F$185=$C$185,K$28,0),0)</f>
        <v>0</v>
      </c>
      <c r="L185" s="151">
        <f>IF(COUNT($H$3:L$3)=(Data!$E$307+1),IF($F$185=$C$185,L$28,0),0)</f>
        <v>0</v>
      </c>
      <c r="M185" s="151">
        <f>IF(COUNT($H$3:M$3)=(Data!$E$307+1),IF($F$185=$C$185,M$28,0),0)</f>
        <v>0</v>
      </c>
      <c r="N185" s="151">
        <f>IF(COUNT($H$3:N$3)=(Data!$E$307+1),IF($F$185=$C$185,N$28,0),0)</f>
        <v>0</v>
      </c>
      <c r="O185" s="151">
        <f>IF(COUNT($H$3:O$3)=(Data!$E$307+1),IF($F$185=$C$185,O$28,0),0)</f>
        <v>0</v>
      </c>
      <c r="P185" s="151">
        <f>IF(COUNT($H$3:P$3)=(Data!$E$307+1),IF($F$185=$C$185,P$28,0),0)</f>
        <v>0</v>
      </c>
      <c r="Q185" s="151">
        <f>IF(COUNT($H$3:Q$3)=(Data!$E$307+1),IF($F$185=$C$185,Q$28,0),0)</f>
        <v>0</v>
      </c>
      <c r="R185" s="151">
        <f>IF(COUNT($H$3:R$3)=(Data!$E$307+1),IF($F$185=$C$185,R$28,0),0)</f>
        <v>0</v>
      </c>
      <c r="S185" s="151">
        <f>IF(COUNT($H$3:S$3)=(Data!$E$307+1),IF($F$185=$C$185,S$28,0),0)</f>
        <v>0</v>
      </c>
      <c r="T185" s="151">
        <f>IF(COUNT($H$3:T$3)=(Data!$E$307+1),IF($F$185=$C$185,T$28,0),0)</f>
        <v>0</v>
      </c>
      <c r="U185" s="151">
        <f>IF(COUNT($H$3:U$3)=(Data!$E$307+1),IF($F$185=$C$185,U$28,0),0)</f>
        <v>0</v>
      </c>
      <c r="V185" s="151">
        <f>IF(COUNT($H$3:V$3)=(Data!$E$307+1),IF($F$185=$C$185,V$28,0),0)</f>
        <v>0</v>
      </c>
      <c r="W185" s="151">
        <f>IF(COUNT($H$3:W$3)=(Data!$E$307+1),IF($F$185=$C$185,W$28,0),0)</f>
        <v>0</v>
      </c>
      <c r="X185" s="151">
        <f>IF(COUNT($H$3:X$3)=(Data!$E$307+1),IF($F$185=$C$185,X$28,0),0)</f>
        <v>0</v>
      </c>
      <c r="Y185" s="151">
        <f>IF(COUNT($H$3:Y$3)=(Data!$E$307+1),IF($F$185=$C$185,Y$28,0),0)</f>
        <v>0</v>
      </c>
      <c r="Z185" s="151">
        <f>IF(COUNT($H$3:Z$3)=(Data!$E$307+1),IF($F$185=$C$185,Z$28,0),0)</f>
        <v>0</v>
      </c>
      <c r="AA185" s="151">
        <f>IF(COUNT($H$3:AA$3)=(Data!$E$307+1),IF($F$185=$C$185,AA$28,0),0)</f>
        <v>0</v>
      </c>
      <c r="AB185" s="151">
        <f>IF(COUNT($H$3:AB$3)=(Data!$E$307+1),IF($F$185=$C$185,AB$28,0),0)</f>
        <v>0</v>
      </c>
      <c r="AC185" s="151">
        <f>IF(COUNT($H$3:AC$3)=(Data!$E$307+1),IF($F$185=$C$185,AC$28,0),0)</f>
        <v>0</v>
      </c>
      <c r="AD185" s="151">
        <f>IF(COUNT($H$3:AD$3)=(Data!$E$307+1),IF($F$185=$C$185,AD$28,0),0)</f>
        <v>0</v>
      </c>
      <c r="AE185" s="151">
        <f>IF(COUNT($H$3:AE$3)=(Data!$E$307+1),IF($F$185=$C$185,AE$28,0),0)</f>
        <v>0</v>
      </c>
      <c r="AF185" s="151">
        <f>IF(COUNT($H$3:AF$3)=(Data!$E$307+1),IF($F$185=$C$185,AF$28,0),0)</f>
        <v>0</v>
      </c>
      <c r="AG185" s="151">
        <f>IF(COUNT($H$3:AG$3)=(Data!$E$307+1),IF($F$185=$C$185,AG$28,0),0)</f>
        <v>0</v>
      </c>
      <c r="AH185" s="151">
        <f>IF(COUNT($H$3:AH$3)=(Data!$E$307+1),IF($F$185=$C$185,AH$28,0),0)</f>
        <v>0</v>
      </c>
      <c r="AI185" s="151">
        <f>IF(COUNT($H$3:AI$3)=(Data!$E$307+1),IF($F$185=$C$185,AI$28,0),0)</f>
        <v>0</v>
      </c>
      <c r="AJ185" s="151">
        <f>IF(COUNT($H$3:AJ$3)=(Data!$E$307+1),IF($F$185=$C$185,AJ$28,0),0)</f>
        <v>0</v>
      </c>
      <c r="AK185" s="151">
        <f>IF(COUNT($H$3:AK$3)=(Data!$E$307+1),IF($F$185=$C$185,AK$28,0),0)</f>
        <v>0</v>
      </c>
      <c r="AL185" s="151">
        <f>IF(COUNT($H$3:AL$3)=(Data!$E$307+1),IF($F$185=$C$185,AL$28,0),0)</f>
        <v>0</v>
      </c>
      <c r="AM185" s="151">
        <f>IF(COUNT($H$3:AM$3)=(Data!$E$307+1),IF($F$185=$C$185,AM$28,0),0)</f>
        <v>0</v>
      </c>
      <c r="AN185" s="151">
        <f>IF(COUNT($H$3:AN$3)=(Data!$E$307+1),IF($F$185=$C$185,AN$28,0),0)</f>
        <v>0</v>
      </c>
      <c r="AO185" s="151">
        <f>IF(COUNT($H$3:AO$3)=(Data!$E$307+1),IF($F$185=$C$185,AO$28,0),0)</f>
        <v>0</v>
      </c>
      <c r="AP185" s="29"/>
    </row>
    <row r="186" spans="1:42" outlineLevel="1" x14ac:dyDescent="0.25">
      <c r="A186" s="12"/>
      <c r="B186" s="13"/>
      <c r="C186" s="96"/>
      <c r="D186" s="14"/>
      <c r="E186" s="15"/>
      <c r="F186" s="158"/>
      <c r="G186" s="14"/>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29"/>
    </row>
    <row r="187" spans="1:42" outlineLevel="1" x14ac:dyDescent="0.25">
      <c r="A187" s="12"/>
      <c r="B187" s="13"/>
      <c r="C187" s="140" t="s">
        <v>306</v>
      </c>
      <c r="D187" s="14"/>
      <c r="E187" s="15"/>
      <c r="F187" s="16"/>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7"/>
    </row>
    <row r="188" spans="1:42" outlineLevel="1" x14ac:dyDescent="0.25">
      <c r="A188" s="12"/>
      <c r="B188" s="13"/>
      <c r="C188" s="14" t="s">
        <v>546</v>
      </c>
      <c r="D188" s="14"/>
      <c r="E188" s="15" t="s">
        <v>142</v>
      </c>
      <c r="F188" s="16"/>
      <c r="G188" s="14"/>
      <c r="H188" s="159">
        <f>Data!$E$316</f>
        <v>62335</v>
      </c>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7"/>
    </row>
    <row r="189" spans="1:42" outlineLevel="1" x14ac:dyDescent="0.25">
      <c r="A189" s="12"/>
      <c r="B189" s="13"/>
      <c r="C189" s="14" t="s">
        <v>547</v>
      </c>
      <c r="D189" s="14"/>
      <c r="E189" s="15" t="s">
        <v>142</v>
      </c>
      <c r="F189" s="16"/>
      <c r="G189" s="14"/>
      <c r="H189" s="159">
        <f>Data!$E$317</f>
        <v>70444.868888888886</v>
      </c>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7"/>
    </row>
    <row r="190" spans="1:42" outlineLevel="1" x14ac:dyDescent="0.25">
      <c r="A190" s="12"/>
      <c r="B190" s="13"/>
      <c r="C190" s="136" t="s">
        <v>310</v>
      </c>
      <c r="D190" s="14"/>
      <c r="E190" s="15" t="s">
        <v>142</v>
      </c>
      <c r="F190" s="158">
        <f>Dashboard!$I$44</f>
        <v>0</v>
      </c>
      <c r="G190" s="14"/>
      <c r="H190" s="159">
        <f>(F190*Data!$E$318)/Dashboard!$I$41</f>
        <v>0</v>
      </c>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7"/>
    </row>
    <row r="191" spans="1:42" outlineLevel="1" x14ac:dyDescent="0.25">
      <c r="A191" s="12"/>
      <c r="B191" s="13"/>
      <c r="C191" s="14" t="s">
        <v>311</v>
      </c>
      <c r="D191" s="14"/>
      <c r="E191" s="15" t="s">
        <v>142</v>
      </c>
      <c r="F191" s="16"/>
      <c r="G191" s="14"/>
      <c r="H191" s="159">
        <f>(F190*Data!$E$319)/Dashboard!$I$41</f>
        <v>0</v>
      </c>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7"/>
    </row>
    <row r="192" spans="1:42" outlineLevel="1" x14ac:dyDescent="0.25">
      <c r="A192" s="12"/>
      <c r="B192" s="13"/>
      <c r="C192" s="41" t="s">
        <v>302</v>
      </c>
      <c r="D192" s="14"/>
      <c r="E192" s="15"/>
      <c r="F192" s="16"/>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7"/>
    </row>
    <row r="193" spans="1:42" outlineLevel="1" x14ac:dyDescent="0.25">
      <c r="A193" s="12"/>
      <c r="B193" s="13"/>
      <c r="C193" s="136" t="s">
        <v>328</v>
      </c>
      <c r="D193" s="14"/>
      <c r="E193" s="15" t="s">
        <v>142</v>
      </c>
      <c r="F193" s="16"/>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7"/>
    </row>
    <row r="194" spans="1:42" outlineLevel="1" x14ac:dyDescent="0.25">
      <c r="A194" s="12"/>
      <c r="B194" s="13"/>
      <c r="C194" s="136"/>
      <c r="D194" s="14"/>
      <c r="E194" s="15"/>
      <c r="F194" s="16"/>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7"/>
    </row>
    <row r="195" spans="1:42" outlineLevel="1" x14ac:dyDescent="0.25">
      <c r="A195" s="12"/>
      <c r="B195" s="13"/>
      <c r="C195" s="19" t="s">
        <v>510</v>
      </c>
      <c r="D195" s="45"/>
      <c r="E195" s="15"/>
      <c r="F195" s="16"/>
      <c r="G195" s="14"/>
      <c r="H195" s="182">
        <f>SUM(H178:H194)</f>
        <v>737779.86888888886</v>
      </c>
      <c r="I195" s="182">
        <f t="shared" ref="I195:AO195" si="70">SUM(I178:I194)</f>
        <v>0</v>
      </c>
      <c r="J195" s="182">
        <f t="shared" si="70"/>
        <v>0</v>
      </c>
      <c r="K195" s="182">
        <f t="shared" si="70"/>
        <v>0</v>
      </c>
      <c r="L195" s="182">
        <f t="shared" si="70"/>
        <v>0</v>
      </c>
      <c r="M195" s="182">
        <f t="shared" si="70"/>
        <v>0</v>
      </c>
      <c r="N195" s="182">
        <f t="shared" si="70"/>
        <v>0</v>
      </c>
      <c r="O195" s="182">
        <f t="shared" si="70"/>
        <v>0</v>
      </c>
      <c r="P195" s="182">
        <f t="shared" si="70"/>
        <v>0</v>
      </c>
      <c r="Q195" s="182">
        <f t="shared" si="70"/>
        <v>109769.36269665971</v>
      </c>
      <c r="R195" s="182">
        <f t="shared" si="70"/>
        <v>0</v>
      </c>
      <c r="S195" s="182">
        <f t="shared" si="70"/>
        <v>0</v>
      </c>
      <c r="T195" s="182">
        <f t="shared" si="70"/>
        <v>0</v>
      </c>
      <c r="U195" s="182">
        <f t="shared" si="70"/>
        <v>0</v>
      </c>
      <c r="V195" s="182">
        <f t="shared" si="70"/>
        <v>0</v>
      </c>
      <c r="W195" s="182">
        <f t="shared" si="70"/>
        <v>0</v>
      </c>
      <c r="X195" s="182">
        <f t="shared" si="70"/>
        <v>0</v>
      </c>
      <c r="Y195" s="182">
        <f t="shared" si="70"/>
        <v>0</v>
      </c>
      <c r="Z195" s="182">
        <f t="shared" si="70"/>
        <v>0</v>
      </c>
      <c r="AA195" s="182">
        <f t="shared" si="70"/>
        <v>0</v>
      </c>
      <c r="AB195" s="182">
        <f t="shared" si="70"/>
        <v>0</v>
      </c>
      <c r="AC195" s="182">
        <f t="shared" si="70"/>
        <v>0</v>
      </c>
      <c r="AD195" s="182">
        <f t="shared" si="70"/>
        <v>0</v>
      </c>
      <c r="AE195" s="182">
        <f t="shared" si="70"/>
        <v>0</v>
      </c>
      <c r="AF195" s="182">
        <f t="shared" si="70"/>
        <v>0</v>
      </c>
      <c r="AG195" s="182">
        <f t="shared" si="70"/>
        <v>0</v>
      </c>
      <c r="AH195" s="182">
        <f t="shared" si="70"/>
        <v>0</v>
      </c>
      <c r="AI195" s="182">
        <f t="shared" si="70"/>
        <v>0</v>
      </c>
      <c r="AJ195" s="182">
        <f t="shared" si="70"/>
        <v>0</v>
      </c>
      <c r="AK195" s="182">
        <f t="shared" si="70"/>
        <v>0</v>
      </c>
      <c r="AL195" s="182">
        <f t="shared" si="70"/>
        <v>0</v>
      </c>
      <c r="AM195" s="182">
        <f t="shared" si="70"/>
        <v>0</v>
      </c>
      <c r="AN195" s="182">
        <f t="shared" si="70"/>
        <v>0</v>
      </c>
      <c r="AO195" s="182">
        <f t="shared" si="70"/>
        <v>0</v>
      </c>
      <c r="AP195" s="29"/>
    </row>
    <row r="196" spans="1:42" s="140" customFormat="1" outlineLevel="1" x14ac:dyDescent="0.25">
      <c r="A196" s="78"/>
      <c r="B196" s="19"/>
      <c r="C196" s="95" t="s">
        <v>560</v>
      </c>
      <c r="D196" s="20"/>
      <c r="E196" s="15" t="s">
        <v>142</v>
      </c>
      <c r="F196" s="48"/>
      <c r="G196" s="20"/>
      <c r="H196" s="185">
        <f>H195</f>
        <v>737779.86888888886</v>
      </c>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370"/>
    </row>
    <row r="197" spans="1:42" s="140" customFormat="1" outlineLevel="1" x14ac:dyDescent="0.25">
      <c r="A197" s="78"/>
      <c r="B197" s="19"/>
      <c r="C197" s="95" t="s">
        <v>561</v>
      </c>
      <c r="D197" s="20"/>
      <c r="E197" s="15" t="s">
        <v>142</v>
      </c>
      <c r="F197" s="48"/>
      <c r="G197" s="20"/>
      <c r="H197" s="20"/>
      <c r="I197" s="244">
        <f>IF(I21&gt;0,-PMT(Data!$E$10,Data!$E$337,BEB!$H$196,0,0),0)</f>
        <v>54287.134110070772</v>
      </c>
      <c r="J197" s="244">
        <f>IF(J21&gt;0,-PMT(Data!$E$10,Data!$E$337,BEB!$H$196,0,0),0)</f>
        <v>54287.134110070772</v>
      </c>
      <c r="K197" s="244">
        <f>IF(K21&gt;0,-PMT(Data!$E$10,Data!$E$337,BEB!$H$196,0,0),0)</f>
        <v>54287.134110070772</v>
      </c>
      <c r="L197" s="244">
        <f>IF(L21&gt;0,-PMT(Data!$E$10,Data!$E$337,BEB!$H$196,0,0),0)</f>
        <v>54287.134110070772</v>
      </c>
      <c r="M197" s="244">
        <f>IF(M21&gt;0,-PMT(Data!$E$10,Data!$E$337,BEB!$H$196,0,0),0)</f>
        <v>54287.134110070772</v>
      </c>
      <c r="N197" s="244">
        <f>IF(N21&gt;0,-PMT(Data!$E$10,Data!$E$337,BEB!$H$196,0,0),0)</f>
        <v>54287.134110070772</v>
      </c>
      <c r="O197" s="244">
        <f>IF(O21&gt;0,-PMT(Data!$E$10,Data!$E$337,BEB!$H$196,0,0),0)</f>
        <v>54287.134110070772</v>
      </c>
      <c r="P197" s="244">
        <f>IF(P21&gt;0,-PMT(Data!$E$10,Data!$E$337,BEB!$H$196,0,0),0)</f>
        <v>54287.134110070772</v>
      </c>
      <c r="Q197" s="244">
        <f>IF(Q21&gt;0,-PMT(Data!$E$10,Data!$E$337,BEB!$H$196,0,0),0)</f>
        <v>54287.134110070772</v>
      </c>
      <c r="R197" s="244">
        <f>IF(R21&gt;0,-PMT(Data!$E$10,Data!$E$337,BEB!$H$196,0,0),0)</f>
        <v>54287.134110070772</v>
      </c>
      <c r="S197" s="244">
        <f>IF(S21&gt;0,-PMT(Data!$E$10,Data!$E$337,BEB!$H$196,0,0),0)</f>
        <v>54287.134110070772</v>
      </c>
      <c r="T197" s="244">
        <f>IF(T21&gt;0,-PMT(Data!$E$10,Data!$E$337,BEB!$H$196,0,0),0)</f>
        <v>54287.134110070772</v>
      </c>
      <c r="U197" s="244">
        <f>IF(U21&gt;0,-PMT(Data!$E$10,Data!$E$337,BEB!$H$196,0,0),0)</f>
        <v>54287.134110070772</v>
      </c>
      <c r="V197" s="244">
        <f>IF(V21&gt;0,-PMT(Data!$E$10,Data!$E$337,BEB!$H$196,0,0),0)</f>
        <v>54287.134110070772</v>
      </c>
      <c r="W197" s="244">
        <f>IF(W21&gt;0,-PMT(Data!$E$10,Data!$E$337,BEB!$H$196,0,0),0)</f>
        <v>54287.134110070772</v>
      </c>
      <c r="X197" s="244">
        <f>IF(X21&gt;0,-PMT(Data!$E$10,Data!$E$337,BEB!$H$196,0,0),0)</f>
        <v>54287.134110070772</v>
      </c>
      <c r="Y197" s="244">
        <f>IF(Y21&gt;0,-PMT(Data!$E$10,Data!$E$337,BEB!$H$196,0,0),0)</f>
        <v>54287.134110070772</v>
      </c>
      <c r="Z197" s="244">
        <f>IF(Z21&gt;0,-PMT(Data!$E$10,Data!$E$337,BEB!$H$196,0,0),0)</f>
        <v>54287.134110070772</v>
      </c>
      <c r="AA197" s="244">
        <f>IF(AA21&gt;0,-PMT(Data!$E$10,Data!$E$337,BEB!$H$196,0,0),0)</f>
        <v>54287.134110070772</v>
      </c>
      <c r="AB197" s="244">
        <f>IF(AB21&gt;0,-PMT(Data!$E$10,Data!$E$337,BEB!$H$196,0,0),0)</f>
        <v>54287.134110070772</v>
      </c>
      <c r="AC197" s="244">
        <f>IF(AC21&gt;0,-PMT(Data!$E$10,Data!$E$337,BEB!$H$196,0,0),0)</f>
        <v>0</v>
      </c>
      <c r="AD197" s="244">
        <f>IF(AD21&gt;0,-PMT(Data!$E$10,Data!$E$337,BEB!$H$196,0,0),0)</f>
        <v>0</v>
      </c>
      <c r="AE197" s="244">
        <f>IF(AE21&gt;0,-PMT(Data!$E$10,Data!$E$337,BEB!$H$196,0,0),0)</f>
        <v>0</v>
      </c>
      <c r="AF197" s="244">
        <f>IF(AF21&gt;0,-PMT(Data!$E$10,Data!$E$337,BEB!$H$196,0,0),0)</f>
        <v>0</v>
      </c>
      <c r="AG197" s="244">
        <f>IF(AG21&gt;0,-PMT(Data!$E$10,Data!$E$337,BEB!$H$196,0,0),0)</f>
        <v>0</v>
      </c>
      <c r="AH197" s="244">
        <f>IF(AH21&gt;0,-PMT(Data!$E$10,Data!$E$337,BEB!$H$196,0,0),0)</f>
        <v>0</v>
      </c>
      <c r="AI197" s="244">
        <f>IF(AI21&gt;0,-PMT(Data!$E$10,Data!$E$337,BEB!$H$196,0,0),0)</f>
        <v>0</v>
      </c>
      <c r="AJ197" s="244">
        <f>IF(AJ21&gt;0,-PMT(Data!$E$10,Data!$E$337,BEB!$H$196,0,0),0)</f>
        <v>0</v>
      </c>
      <c r="AK197" s="244">
        <f>IF(AK21&gt;0,-PMT(Data!$E$10,Data!$E$337,BEB!$H$196,0,0),0)</f>
        <v>0</v>
      </c>
      <c r="AL197" s="244">
        <f>IF(AL21&gt;0,-PMT(Data!$E$10,Data!$E$337,BEB!$H$196,0,0),0)</f>
        <v>0</v>
      </c>
      <c r="AM197" s="244">
        <f>IF(AM21&gt;0,-PMT(Data!$E$10,Data!$E$337,BEB!$H$196,0,0),0)</f>
        <v>0</v>
      </c>
      <c r="AN197" s="244">
        <f>IF(AN21&gt;0,-PMT(Data!$E$10,Data!$E$337,BEB!$H$196,0,0),0)</f>
        <v>0</v>
      </c>
      <c r="AO197" s="244">
        <f>IF(AO21&gt;0,-PMT(Data!$E$10,Data!$E$337,BEB!$H$196,0,0),0)</f>
        <v>0</v>
      </c>
      <c r="AP197" s="370"/>
    </row>
    <row r="198" spans="1:42" s="140" customFormat="1" outlineLevel="1" x14ac:dyDescent="0.25">
      <c r="A198" s="78"/>
      <c r="B198" s="19"/>
      <c r="C198" s="95" t="s">
        <v>562</v>
      </c>
      <c r="D198" s="20"/>
      <c r="E198" s="15" t="s">
        <v>142</v>
      </c>
      <c r="F198" s="48"/>
      <c r="G198" s="20"/>
      <c r="H198" s="20"/>
      <c r="I198" s="244"/>
      <c r="J198" s="244"/>
      <c r="K198" s="244"/>
      <c r="L198" s="244"/>
      <c r="M198" s="244"/>
      <c r="N198" s="244"/>
      <c r="O198" s="244"/>
      <c r="P198" s="244"/>
      <c r="Q198" s="185">
        <f>Q195</f>
        <v>109769.36269665971</v>
      </c>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370"/>
    </row>
    <row r="199" spans="1:42" s="140" customFormat="1" outlineLevel="1" x14ac:dyDescent="0.25">
      <c r="A199" s="78"/>
      <c r="B199" s="19"/>
      <c r="C199" s="95" t="s">
        <v>563</v>
      </c>
      <c r="D199" s="20"/>
      <c r="E199" s="21" t="s">
        <v>266</v>
      </c>
      <c r="F199" s="48">
        <f>Data!$E$337-Data!$E$307</f>
        <v>11</v>
      </c>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370"/>
    </row>
    <row r="200" spans="1:42" s="140" customFormat="1" outlineLevel="1" x14ac:dyDescent="0.25">
      <c r="A200" s="78"/>
      <c r="B200" s="19"/>
      <c r="C200" s="95" t="s">
        <v>561</v>
      </c>
      <c r="D200" s="20"/>
      <c r="E200" s="15" t="s">
        <v>142</v>
      </c>
      <c r="F200" s="48"/>
      <c r="G200" s="20"/>
      <c r="H200" s="20"/>
      <c r="I200" s="244"/>
      <c r="J200" s="244"/>
      <c r="K200" s="244"/>
      <c r="L200" s="244"/>
      <c r="M200" s="244"/>
      <c r="N200" s="244"/>
      <c r="O200" s="244"/>
      <c r="P200" s="244"/>
      <c r="Q200" s="185"/>
      <c r="R200" s="244">
        <f>IF(R21&gt;0,-PMT(Data!$E$10,$F$199,BEB!$Q$198,0,0),0)</f>
        <v>12530.067291869256</v>
      </c>
      <c r="S200" s="244">
        <f>IF(S21&gt;0,-PMT(Data!$E$10,$F$199,BEB!$Q$198,0,0),0)</f>
        <v>12530.067291869256</v>
      </c>
      <c r="T200" s="244">
        <f>IF(T21&gt;0,-PMT(Data!$E$10,$F$199,BEB!$Q$198,0,0),0)</f>
        <v>12530.067291869256</v>
      </c>
      <c r="U200" s="244">
        <f>IF(U21&gt;0,-PMT(Data!$E$10,$F$199,BEB!$Q$198,0,0),0)</f>
        <v>12530.067291869256</v>
      </c>
      <c r="V200" s="244">
        <f>IF(V21&gt;0,-PMT(Data!$E$10,$F$199,BEB!$Q$198,0,0),0)</f>
        <v>12530.067291869256</v>
      </c>
      <c r="W200" s="244">
        <f>IF(W21&gt;0,-PMT(Data!$E$10,$F$199,BEB!$Q$198,0,0),0)</f>
        <v>12530.067291869256</v>
      </c>
      <c r="X200" s="244">
        <f>IF(X21&gt;0,-PMT(Data!$E$10,$F$199,BEB!$Q$198,0,0),0)</f>
        <v>12530.067291869256</v>
      </c>
      <c r="Y200" s="244">
        <f>IF(Y21&gt;0,-PMT(Data!$E$10,$F$199,BEB!$Q$198,0,0),0)</f>
        <v>12530.067291869256</v>
      </c>
      <c r="Z200" s="244">
        <f>IF(Z21&gt;0,-PMT(Data!$E$10,$F$199,BEB!$Q$198,0,0),0)</f>
        <v>12530.067291869256</v>
      </c>
      <c r="AA200" s="244">
        <f>IF(AA21&gt;0,-PMT(Data!$E$10,$F$199,BEB!$Q$198,0,0),0)</f>
        <v>12530.067291869256</v>
      </c>
      <c r="AB200" s="244">
        <f>IF(AB21&gt;0,-PMT(Data!$E$10,$F$199,BEB!$Q$198,0,0),0)</f>
        <v>12530.067291869256</v>
      </c>
      <c r="AC200" s="244">
        <f>IF(AC21&gt;0,-PMT(Data!$E$10,$F$199,BEB!$Q$198,0,0),0)</f>
        <v>0</v>
      </c>
      <c r="AD200" s="244">
        <f>IF(AD21&gt;0,-PMT(Data!$E$10,$F$199,BEB!$Q$198,0,0),0)</f>
        <v>0</v>
      </c>
      <c r="AE200" s="244">
        <f>IF(AE21&gt;0,-PMT(Data!$E$10,$F$199,BEB!$Q$198,0,0),0)</f>
        <v>0</v>
      </c>
      <c r="AF200" s="244">
        <f>IF(AF21&gt;0,-PMT(Data!$E$10,$F$199,BEB!$Q$198,0,0),0)</f>
        <v>0</v>
      </c>
      <c r="AG200" s="244">
        <f>IF(AG21&gt;0,-PMT(Data!$E$10,$F$199,BEB!$Q$198,0,0),0)</f>
        <v>0</v>
      </c>
      <c r="AH200" s="244">
        <f>IF(AH21&gt;0,-PMT(Data!$E$10,$F$199,BEB!$Q$198,0,0),0)</f>
        <v>0</v>
      </c>
      <c r="AI200" s="244">
        <f>IF(AI21&gt;0,-PMT(Data!$E$10,$F$199,BEB!$Q$198,0,0),0)</f>
        <v>0</v>
      </c>
      <c r="AJ200" s="244">
        <f>IF(AJ21&gt;0,-PMT(Data!$E$10,$F$199,BEB!$Q$198,0,0),0)</f>
        <v>0</v>
      </c>
      <c r="AK200" s="244">
        <f>IF(AK21&gt;0,-PMT(Data!$E$10,$F$199,BEB!$Q$198,0,0),0)</f>
        <v>0</v>
      </c>
      <c r="AL200" s="244">
        <f>IF(AL21&gt;0,-PMT(Data!$E$10,$F$199,BEB!$Q$198,0,0),0)</f>
        <v>0</v>
      </c>
      <c r="AM200" s="244">
        <f>IF(AM21&gt;0,-PMT(Data!$E$10,$F$199,BEB!$Q$198,0,0),0)</f>
        <v>0</v>
      </c>
      <c r="AN200" s="244">
        <f>IF(AN21&gt;0,-PMT(Data!$E$10,$F$199,BEB!$Q$198,0,0),0)</f>
        <v>0</v>
      </c>
      <c r="AO200" s="244">
        <f>IF(AO21&gt;0,-PMT(Data!$E$10,$F$199,BEB!$Q$198,0,0),0)</f>
        <v>0</v>
      </c>
      <c r="AP200" s="370"/>
    </row>
    <row r="201" spans="1:42" s="140" customFormat="1" outlineLevel="1" x14ac:dyDescent="0.25">
      <c r="A201" s="78"/>
      <c r="B201" s="19"/>
      <c r="C201" s="95"/>
      <c r="D201" s="20"/>
      <c r="E201" s="21"/>
      <c r="F201" s="48"/>
      <c r="G201" s="20"/>
      <c r="H201" s="20"/>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370"/>
    </row>
    <row r="202" spans="1:42" outlineLevel="1" x14ac:dyDescent="0.25">
      <c r="A202" s="12"/>
      <c r="B202" s="13"/>
      <c r="C202" s="37" t="s">
        <v>472</v>
      </c>
      <c r="D202" s="37"/>
      <c r="E202" s="38"/>
      <c r="F202" s="39"/>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17"/>
    </row>
    <row r="203" spans="1:42" outlineLevel="1" x14ac:dyDescent="0.25">
      <c r="A203" s="12"/>
      <c r="B203" s="13"/>
      <c r="C203" s="20" t="s">
        <v>258</v>
      </c>
      <c r="D203" s="44"/>
      <c r="E203" s="15"/>
      <c r="F203" s="16"/>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7"/>
    </row>
    <row r="204" spans="1:42" outlineLevel="1" x14ac:dyDescent="0.25">
      <c r="A204" s="12"/>
      <c r="B204" s="13"/>
      <c r="C204" s="96" t="s">
        <v>120</v>
      </c>
      <c r="D204" s="45"/>
      <c r="E204" s="15" t="s">
        <v>474</v>
      </c>
      <c r="F204" s="158" t="str">
        <f>Dashboard!$I$43</f>
        <v>2 Axle rigid</v>
      </c>
      <c r="G204" s="14"/>
      <c r="H204" s="150"/>
      <c r="I204" s="177">
        <f>IF($F$204=$C$204,Data!$E$324*BEB!I$21,0)</f>
        <v>45629.999999999993</v>
      </c>
      <c r="J204" s="177">
        <f>IF($F$204=$C$204,Data!$E$324*BEB!J$21,0)</f>
        <v>45629.999999999993</v>
      </c>
      <c r="K204" s="177">
        <f>IF($F$204=$C$204,Data!$E$324*BEB!K$21,0)</f>
        <v>45629.999999999993</v>
      </c>
      <c r="L204" s="177">
        <f>IF($F$204=$C$204,Data!$E$324*BEB!L$21,0)</f>
        <v>45629.999999999993</v>
      </c>
      <c r="M204" s="177">
        <f>IF($F$204=$C$204,Data!$E$324*BEB!M$21,0)</f>
        <v>45629.999999999993</v>
      </c>
      <c r="N204" s="177">
        <f>IF($F$204=$C$204,Data!$E$324*BEB!N$21,0)</f>
        <v>45629.999999999993</v>
      </c>
      <c r="O204" s="177">
        <f>IF($F$204=$C$204,Data!$E$324*BEB!O$21,0)</f>
        <v>45629.999999999993</v>
      </c>
      <c r="P204" s="177">
        <f>IF($F$204=$C$204,Data!$E$324*BEB!P$21,0)</f>
        <v>45629.999999999993</v>
      </c>
      <c r="Q204" s="177">
        <f>IF($F$204=$C$204,Data!$E$324*BEB!Q$21,0)</f>
        <v>45629.999999999993</v>
      </c>
      <c r="R204" s="177">
        <f>IF($F$204=$C$204,Data!$E$324*BEB!R$21,0)</f>
        <v>45629.999999999993</v>
      </c>
      <c r="S204" s="177">
        <f>IF($F$204=$C$204,Data!$E$324*BEB!S$21,0)</f>
        <v>45629.999999999993</v>
      </c>
      <c r="T204" s="177">
        <f>IF($F$204=$C$204,Data!$E$324*BEB!T$21,0)</f>
        <v>45629.999999999993</v>
      </c>
      <c r="U204" s="177">
        <f>IF($F$204=$C$204,Data!$E$324*BEB!U$21,0)</f>
        <v>45629.999999999993</v>
      </c>
      <c r="V204" s="177">
        <f>IF($F$204=$C$204,Data!$E$324*BEB!V$21,0)</f>
        <v>45629.999999999993</v>
      </c>
      <c r="W204" s="177">
        <f>IF($F$204=$C$204,Data!$E$324*BEB!W$21,0)</f>
        <v>45629.999999999993</v>
      </c>
      <c r="X204" s="177">
        <f>IF($F$204=$C$204,Data!$E$324*BEB!X$21,0)</f>
        <v>45629.999999999993</v>
      </c>
      <c r="Y204" s="177">
        <f>IF($F$204=$C$204,Data!$E$324*BEB!Y$21,0)</f>
        <v>45629.999999999993</v>
      </c>
      <c r="Z204" s="177">
        <f>IF($F$204=$C$204,Data!$E$324*BEB!Z$21,0)</f>
        <v>45629.999999999993</v>
      </c>
      <c r="AA204" s="177">
        <f>IF($F$204=$C$204,Data!$E$324*BEB!AA$21,0)</f>
        <v>45629.999999999993</v>
      </c>
      <c r="AB204" s="177">
        <f>IF($F$204=$C$204,Data!$E$324*BEB!AB$21,0)</f>
        <v>45629.999999999993</v>
      </c>
      <c r="AC204" s="177"/>
      <c r="AD204" s="177"/>
      <c r="AE204" s="177"/>
      <c r="AF204" s="177"/>
      <c r="AG204" s="177"/>
      <c r="AH204" s="177"/>
      <c r="AI204" s="177"/>
      <c r="AJ204" s="177"/>
      <c r="AK204" s="177"/>
      <c r="AL204" s="177"/>
      <c r="AM204" s="177"/>
      <c r="AN204" s="177"/>
      <c r="AO204" s="177"/>
      <c r="AP204" s="29"/>
    </row>
    <row r="205" spans="1:42" outlineLevel="1" x14ac:dyDescent="0.25">
      <c r="A205" s="12"/>
      <c r="B205" s="13"/>
      <c r="C205" s="96" t="s">
        <v>124</v>
      </c>
      <c r="D205" s="45"/>
      <c r="E205" s="15" t="s">
        <v>474</v>
      </c>
      <c r="F205" s="158" t="str">
        <f>Dashboard!$I$43</f>
        <v>2 Axle rigid</v>
      </c>
      <c r="G205" s="14"/>
      <c r="H205" s="150"/>
      <c r="I205" s="177">
        <f>IF($F$205=$C$205,Data!$E$325*BEB!I$21,0)</f>
        <v>0</v>
      </c>
      <c r="J205" s="177">
        <f>IF($F$205=$C$205,Data!$E$325*BEB!J$21,0)</f>
        <v>0</v>
      </c>
      <c r="K205" s="177">
        <f>IF($F$205=$C$205,Data!$E$325*BEB!K$21,0)</f>
        <v>0</v>
      </c>
      <c r="L205" s="177">
        <f>IF($F$205=$C$205,Data!$E$325*BEB!L$21,0)</f>
        <v>0</v>
      </c>
      <c r="M205" s="177">
        <f>IF($F$205=$C$205,Data!$E$325*BEB!M$21,0)</f>
        <v>0</v>
      </c>
      <c r="N205" s="177">
        <f>IF($F$205=$C$205,Data!$E$325*BEB!N$21,0)</f>
        <v>0</v>
      </c>
      <c r="O205" s="177">
        <f>IF($F$205=$C$205,Data!$E$325*BEB!O$21,0)</f>
        <v>0</v>
      </c>
      <c r="P205" s="177">
        <f>IF($F$205=$C$205,Data!$E$325*BEB!P$21,0)</f>
        <v>0</v>
      </c>
      <c r="Q205" s="177">
        <f>IF($F$205=$C$205,Data!$E$325*BEB!Q$21,0)</f>
        <v>0</v>
      </c>
      <c r="R205" s="177">
        <f>IF($F$205=$C$205,Data!$E$325*BEB!R$21,0)</f>
        <v>0</v>
      </c>
      <c r="S205" s="177">
        <f>IF($F$205=$C$205,Data!$E$325*BEB!S$21,0)</f>
        <v>0</v>
      </c>
      <c r="T205" s="177">
        <f>IF($F$205=$C$205,Data!$E$325*BEB!T$21,0)</f>
        <v>0</v>
      </c>
      <c r="U205" s="177">
        <f>IF($F$205=$C$205,Data!$E$325*BEB!U$21,0)</f>
        <v>0</v>
      </c>
      <c r="V205" s="177">
        <f>IF($F$205=$C$205,Data!$E$325*BEB!V$21,0)</f>
        <v>0</v>
      </c>
      <c r="W205" s="177">
        <f>IF($F$205=$C$205,Data!$E$325*BEB!W$21,0)</f>
        <v>0</v>
      </c>
      <c r="X205" s="177">
        <f>IF($F$205=$C$205,Data!$E$325*BEB!X$21,0)</f>
        <v>0</v>
      </c>
      <c r="Y205" s="177">
        <f>IF($F$205=$C$205,Data!$E$325*BEB!Y$21,0)</f>
        <v>0</v>
      </c>
      <c r="Z205" s="177">
        <f>IF($F$205=$C$205,Data!$E$325*BEB!Z$21,0)</f>
        <v>0</v>
      </c>
      <c r="AA205" s="177">
        <f>IF($F$205=$C$205,Data!$E$325*BEB!AA$21,0)</f>
        <v>0</v>
      </c>
      <c r="AB205" s="177">
        <f>IF($F$205=$C$205,Data!$E$325*BEB!AB$21,0)</f>
        <v>0</v>
      </c>
      <c r="AC205" s="177"/>
      <c r="AD205" s="177"/>
      <c r="AE205" s="177"/>
      <c r="AF205" s="177"/>
      <c r="AG205" s="177"/>
      <c r="AH205" s="177"/>
      <c r="AI205" s="177"/>
      <c r="AJ205" s="177"/>
      <c r="AK205" s="177"/>
      <c r="AL205" s="177"/>
      <c r="AM205" s="177"/>
      <c r="AN205" s="177"/>
      <c r="AO205" s="177"/>
      <c r="AP205" s="29"/>
    </row>
    <row r="206" spans="1:42" outlineLevel="1" x14ac:dyDescent="0.25">
      <c r="A206" s="12"/>
      <c r="B206" s="13"/>
      <c r="C206" s="96" t="s">
        <v>126</v>
      </c>
      <c r="D206" s="45"/>
      <c r="E206" s="15" t="s">
        <v>474</v>
      </c>
      <c r="F206" s="158" t="str">
        <f>Dashboard!$I$43</f>
        <v>2 Axle rigid</v>
      </c>
      <c r="G206" s="14"/>
      <c r="H206" s="150"/>
      <c r="I206" s="177">
        <f>IF($F$206=$C$206,Data!$E$326*BEB!I$21,0)</f>
        <v>0</v>
      </c>
      <c r="J206" s="177">
        <f>IF($F$206=$C$206,Data!$E$326*BEB!J$21,0)</f>
        <v>0</v>
      </c>
      <c r="K206" s="177">
        <f>IF($F$206=$C$206,Data!$E$326*BEB!K$21,0)</f>
        <v>0</v>
      </c>
      <c r="L206" s="177">
        <f>IF($F$206=$C$206,Data!$E$326*BEB!L$21,0)</f>
        <v>0</v>
      </c>
      <c r="M206" s="177">
        <f>IF($F$206=$C$206,Data!$E$326*BEB!M$21,0)</f>
        <v>0</v>
      </c>
      <c r="N206" s="177">
        <f>IF($F$206=$C$206,Data!$E$326*BEB!N$21,0)</f>
        <v>0</v>
      </c>
      <c r="O206" s="177">
        <f>IF($F$206=$C$206,Data!$E$326*BEB!O$21,0)</f>
        <v>0</v>
      </c>
      <c r="P206" s="177">
        <f>IF($F$206=$C$206,Data!$E$326*BEB!P$21,0)</f>
        <v>0</v>
      </c>
      <c r="Q206" s="177">
        <f>IF($F$206=$C$206,Data!$E$326*BEB!Q$21,0)</f>
        <v>0</v>
      </c>
      <c r="R206" s="177">
        <f>IF($F$206=$C$206,Data!$E$326*BEB!R$21,0)</f>
        <v>0</v>
      </c>
      <c r="S206" s="177">
        <f>IF($F$206=$C$206,Data!$E$326*BEB!S$21,0)</f>
        <v>0</v>
      </c>
      <c r="T206" s="177">
        <f>IF($F$206=$C$206,Data!$E$326*BEB!T$21,0)</f>
        <v>0</v>
      </c>
      <c r="U206" s="177">
        <f>IF($F$206=$C$206,Data!$E$326*BEB!U$21,0)</f>
        <v>0</v>
      </c>
      <c r="V206" s="177">
        <f>IF($F$206=$C$206,Data!$E$326*BEB!V$21,0)</f>
        <v>0</v>
      </c>
      <c r="W206" s="177">
        <f>IF($F$206=$C$206,Data!$E$326*BEB!W$21,0)</f>
        <v>0</v>
      </c>
      <c r="X206" s="177">
        <f>IF($F$206=$C$206,Data!$E$326*BEB!X$21,0)</f>
        <v>0</v>
      </c>
      <c r="Y206" s="177">
        <f>IF($F$206=$C$206,Data!$E$326*BEB!Y$21,0)</f>
        <v>0</v>
      </c>
      <c r="Z206" s="177">
        <f>IF($F$206=$C$206,Data!$E$326*BEB!Z$21,0)</f>
        <v>0</v>
      </c>
      <c r="AA206" s="177">
        <f>IF($F$206=$C$206,Data!$E$326*BEB!AA$21,0)</f>
        <v>0</v>
      </c>
      <c r="AB206" s="177">
        <f>IF($F$206=$C$206,Data!$E$326*BEB!AB$21,0)</f>
        <v>0</v>
      </c>
      <c r="AC206" s="177"/>
      <c r="AD206" s="177"/>
      <c r="AE206" s="177"/>
      <c r="AF206" s="177"/>
      <c r="AG206" s="177"/>
      <c r="AH206" s="177"/>
      <c r="AI206" s="177"/>
      <c r="AJ206" s="177"/>
      <c r="AK206" s="177"/>
      <c r="AL206" s="177"/>
      <c r="AM206" s="177"/>
      <c r="AN206" s="177"/>
      <c r="AO206" s="177"/>
      <c r="AP206" s="29"/>
    </row>
    <row r="207" spans="1:42" outlineLevel="1" x14ac:dyDescent="0.25">
      <c r="A207" s="12"/>
      <c r="B207" s="13"/>
      <c r="C207" s="96"/>
      <c r="D207" s="45"/>
      <c r="E207" s="15"/>
      <c r="F207" s="158"/>
      <c r="G207" s="14"/>
      <c r="H207" s="150"/>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c r="AL207" s="177"/>
      <c r="AM207" s="177"/>
      <c r="AN207" s="177"/>
      <c r="AO207" s="177"/>
      <c r="AP207" s="29"/>
    </row>
    <row r="208" spans="1:42" s="167" customFormat="1" outlineLevel="1" x14ac:dyDescent="0.25">
      <c r="A208" s="96"/>
      <c r="B208" s="96"/>
      <c r="C208" s="513" t="s">
        <v>260</v>
      </c>
      <c r="D208" s="96"/>
      <c r="E208" s="112" t="s">
        <v>318</v>
      </c>
      <c r="F208" s="164"/>
      <c r="G208" s="96"/>
      <c r="H208" s="151"/>
      <c r="I208" s="151"/>
      <c r="J208" s="151"/>
      <c r="K208" s="151">
        <f>Data!$E$332*K21</f>
        <v>33733.440000000002</v>
      </c>
      <c r="L208" s="151">
        <f>Data!$E$332*L21</f>
        <v>33733.440000000002</v>
      </c>
      <c r="M208" s="151">
        <f>Data!$E$332*M21</f>
        <v>33733.440000000002</v>
      </c>
      <c r="N208" s="151">
        <f>Data!$E$332*N21</f>
        <v>33733.440000000002</v>
      </c>
      <c r="O208" s="151">
        <f>Data!$E$332*O21</f>
        <v>33733.440000000002</v>
      </c>
      <c r="P208" s="151">
        <f>Data!$E$332*P21</f>
        <v>33733.440000000002</v>
      </c>
      <c r="Q208" s="151">
        <f>Data!$E$332*Q21</f>
        <v>33733.440000000002</v>
      </c>
      <c r="R208" s="151">
        <f>Data!$E$332*R21</f>
        <v>33733.440000000002</v>
      </c>
      <c r="S208" s="151">
        <f>Data!$E$332*S21</f>
        <v>33733.440000000002</v>
      </c>
      <c r="T208" s="151">
        <f>Data!$E$332*T21</f>
        <v>33733.440000000002</v>
      </c>
      <c r="U208" s="151">
        <f>Data!$E$332*U21</f>
        <v>33733.440000000002</v>
      </c>
      <c r="V208" s="151">
        <f>Data!$E$332*V21</f>
        <v>33733.440000000002</v>
      </c>
      <c r="W208" s="151">
        <f>Data!$E$332*W21</f>
        <v>33733.440000000002</v>
      </c>
      <c r="X208" s="151">
        <f>Data!$E$332*X21</f>
        <v>33733.440000000002</v>
      </c>
      <c r="Y208" s="151">
        <f>Data!$E$332*Y21</f>
        <v>33733.440000000002</v>
      </c>
      <c r="Z208" s="151">
        <f>Data!$E$332*Z21</f>
        <v>33733.440000000002</v>
      </c>
      <c r="AA208" s="151">
        <f>Data!$E$332*AA21</f>
        <v>33733.440000000002</v>
      </c>
      <c r="AB208" s="151">
        <f>Data!$E$332*AB21</f>
        <v>33733.440000000002</v>
      </c>
      <c r="AC208" s="151">
        <f>Data!$E$332*AC21</f>
        <v>0</v>
      </c>
      <c r="AD208" s="151">
        <f>Data!$E$332*AD21</f>
        <v>0</v>
      </c>
      <c r="AE208" s="151">
        <f>Data!$E$332*AE21</f>
        <v>0</v>
      </c>
      <c r="AF208" s="151">
        <f>Data!$E$332*AF21</f>
        <v>0</v>
      </c>
      <c r="AG208" s="151">
        <f>Data!$E$332*AG21</f>
        <v>0</v>
      </c>
      <c r="AH208" s="151">
        <f>Data!$E$332*AH21</f>
        <v>0</v>
      </c>
      <c r="AI208" s="151">
        <f>Data!$E$332*AI21</f>
        <v>0</v>
      </c>
      <c r="AJ208" s="151">
        <f>Data!$E$332*AJ21</f>
        <v>0</v>
      </c>
      <c r="AK208" s="151">
        <f>Data!$E$332*AK21</f>
        <v>0</v>
      </c>
      <c r="AL208" s="151">
        <f>Data!$E$332*AL21</f>
        <v>0</v>
      </c>
      <c r="AM208" s="151">
        <f>Data!$E$332*AM21</f>
        <v>0</v>
      </c>
      <c r="AN208" s="151">
        <f>Data!$E$332*AN21</f>
        <v>0</v>
      </c>
      <c r="AO208" s="151">
        <f>Data!$E$332*AO21</f>
        <v>0</v>
      </c>
      <c r="AP208" s="514"/>
    </row>
    <row r="209" spans="1:42" s="51" customFormat="1" outlineLevel="1" x14ac:dyDescent="0.25">
      <c r="A209" s="12"/>
      <c r="B209" s="12"/>
      <c r="C209" s="399"/>
      <c r="D209" s="12"/>
      <c r="E209" s="79"/>
      <c r="F209" s="80"/>
      <c r="G209" s="12"/>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1"/>
    </row>
    <row r="210" spans="1:42" outlineLevel="1" x14ac:dyDescent="0.25">
      <c r="A210" s="12"/>
      <c r="B210" s="13"/>
      <c r="C210" s="95" t="s">
        <v>568</v>
      </c>
      <c r="D210" s="45"/>
      <c r="E210" s="15"/>
      <c r="F210" s="16"/>
      <c r="G210" s="14"/>
      <c r="H210" s="28"/>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7"/>
      <c r="AE210" s="177"/>
      <c r="AF210" s="177"/>
      <c r="AG210" s="177"/>
      <c r="AH210" s="177"/>
      <c r="AI210" s="177"/>
      <c r="AJ210" s="177"/>
      <c r="AK210" s="177"/>
      <c r="AL210" s="177"/>
      <c r="AM210" s="177"/>
      <c r="AN210" s="177"/>
      <c r="AO210" s="177"/>
      <c r="AP210" s="29"/>
    </row>
    <row r="211" spans="1:42" outlineLevel="1" x14ac:dyDescent="0.25">
      <c r="A211" s="12"/>
      <c r="B211" s="13"/>
      <c r="C211" s="96" t="s">
        <v>316</v>
      </c>
      <c r="D211" s="14"/>
      <c r="E211" s="15" t="s">
        <v>569</v>
      </c>
      <c r="F211" s="16"/>
      <c r="G211" s="14"/>
      <c r="H211" s="151"/>
      <c r="I211" s="14">
        <f>Data!$E$349*Data!$E$329</f>
        <v>0</v>
      </c>
      <c r="J211" s="14">
        <f>Data!$E$349*Data!$E$329</f>
        <v>0</v>
      </c>
      <c r="K211" s="14">
        <f>Data!$E$349*Data!$E$329</f>
        <v>0</v>
      </c>
      <c r="L211" s="14">
        <f>Data!$E$349*Data!$E$329</f>
        <v>0</v>
      </c>
      <c r="M211" s="14">
        <f>Data!$E$349*Data!$E$329</f>
        <v>0</v>
      </c>
      <c r="N211" s="14">
        <f>Data!$E$349*Data!$E$329</f>
        <v>0</v>
      </c>
      <c r="O211" s="14">
        <f>Data!$E$349*Data!$E$329</f>
        <v>0</v>
      </c>
      <c r="P211" s="14">
        <f>Data!$E$349*Data!$E$329</f>
        <v>0</v>
      </c>
      <c r="Q211" s="14">
        <f>Data!$E$349*Data!$E$329</f>
        <v>0</v>
      </c>
      <c r="R211" s="14">
        <f>Data!$E$349*Data!$E$329</f>
        <v>0</v>
      </c>
      <c r="S211" s="14">
        <f>Data!$E$349*Data!$E$329</f>
        <v>0</v>
      </c>
      <c r="T211" s="14">
        <f>Data!$E$349*Data!$E$329</f>
        <v>0</v>
      </c>
      <c r="U211" s="14">
        <f>Data!$E$349*Data!$E$329</f>
        <v>0</v>
      </c>
      <c r="V211" s="14">
        <f>Data!$E$349*Data!$E$329</f>
        <v>0</v>
      </c>
      <c r="W211" s="14">
        <f>Data!$E$349*Data!$E$329</f>
        <v>0</v>
      </c>
      <c r="X211" s="14">
        <f>Data!$E$349*Data!$E$329</f>
        <v>0</v>
      </c>
      <c r="Y211" s="14">
        <f>Data!$E$349*Data!$E$329</f>
        <v>0</v>
      </c>
      <c r="Z211" s="14">
        <f>Data!$E$349*Data!$E$329</f>
        <v>0</v>
      </c>
      <c r="AA211" s="14">
        <f>Data!$E$349*Data!$E$329</f>
        <v>0</v>
      </c>
      <c r="AB211" s="14">
        <f>Data!$E$349*Data!$E$329</f>
        <v>0</v>
      </c>
      <c r="AC211" s="14"/>
      <c r="AD211" s="14"/>
      <c r="AE211" s="14"/>
      <c r="AF211" s="14"/>
      <c r="AG211" s="14"/>
      <c r="AH211" s="14"/>
      <c r="AI211" s="14"/>
      <c r="AJ211" s="14"/>
      <c r="AK211" s="14"/>
      <c r="AL211" s="14"/>
      <c r="AM211" s="14"/>
      <c r="AN211" s="14"/>
      <c r="AO211" s="14"/>
      <c r="AP211" s="17"/>
    </row>
    <row r="212" spans="1:42" outlineLevel="1" x14ac:dyDescent="0.25">
      <c r="A212" s="12"/>
      <c r="B212" s="13"/>
      <c r="C212" s="96" t="s">
        <v>319</v>
      </c>
      <c r="D212" s="44"/>
      <c r="E212" s="15" t="s">
        <v>569</v>
      </c>
      <c r="F212" s="158">
        <f>Dashboard!$I$44</f>
        <v>0</v>
      </c>
      <c r="G212" s="14"/>
      <c r="H212" s="46"/>
      <c r="I212" s="159">
        <f>$F$212*Data!$E$330/Dashboard!$I$41</f>
        <v>0</v>
      </c>
      <c r="J212" s="159">
        <f>$F$212*Data!$E$330/Dashboard!$I$41</f>
        <v>0</v>
      </c>
      <c r="K212" s="159">
        <f>$F$212*Data!$E$330/Dashboard!$I$41</f>
        <v>0</v>
      </c>
      <c r="L212" s="159">
        <f>$F$212*Data!$E$330/Dashboard!$I$41</f>
        <v>0</v>
      </c>
      <c r="M212" s="159">
        <f>$F$212*Data!$E$330/Dashboard!$I$41</f>
        <v>0</v>
      </c>
      <c r="N212" s="159">
        <f>$F$212*Data!$E$330/Dashboard!$I$41</f>
        <v>0</v>
      </c>
      <c r="O212" s="159">
        <f>$F$212*Data!$E$330/Dashboard!$I$41</f>
        <v>0</v>
      </c>
      <c r="P212" s="159">
        <f>$F$212*Data!$E$330/Dashboard!$I$41</f>
        <v>0</v>
      </c>
      <c r="Q212" s="159">
        <f>$F$212*Data!$E$330/Dashboard!$I$41</f>
        <v>0</v>
      </c>
      <c r="R212" s="159">
        <f>$F$212*Data!$E$330/Dashboard!$I$41</f>
        <v>0</v>
      </c>
      <c r="S212" s="159">
        <f>$F$212*Data!$E$330/Dashboard!$I$41</f>
        <v>0</v>
      </c>
      <c r="T212" s="159">
        <f>$F$212*Data!$E$330/Dashboard!$I$41</f>
        <v>0</v>
      </c>
      <c r="U212" s="159">
        <f>$F$212*Data!$E$330/Dashboard!$I$41</f>
        <v>0</v>
      </c>
      <c r="V212" s="159">
        <f>$F$212*Data!$E$330/Dashboard!$I$41</f>
        <v>0</v>
      </c>
      <c r="W212" s="159">
        <f>$F$212*Data!$E$330/Dashboard!$I$41</f>
        <v>0</v>
      </c>
      <c r="X212" s="159">
        <f>$F$212*Data!$E$330/Dashboard!$I$41</f>
        <v>0</v>
      </c>
      <c r="Y212" s="159">
        <f>$F$212*Data!$E$330/Dashboard!$I$41</f>
        <v>0</v>
      </c>
      <c r="Z212" s="159">
        <f>$F$212*Data!$E$330/Dashboard!$I$41</f>
        <v>0</v>
      </c>
      <c r="AA212" s="159">
        <f>$F$212*Data!$E$330/Dashboard!$I$41</f>
        <v>0</v>
      </c>
      <c r="AB212" s="159">
        <f>$F$212*Data!$E$330/Dashboard!$I$41</f>
        <v>0</v>
      </c>
      <c r="AC212" s="159"/>
      <c r="AD212" s="159"/>
      <c r="AE212" s="159"/>
      <c r="AF212" s="159"/>
      <c r="AG212" s="159"/>
      <c r="AH212" s="159"/>
      <c r="AI212" s="159"/>
      <c r="AJ212" s="159"/>
      <c r="AK212" s="159"/>
      <c r="AL212" s="159"/>
      <c r="AM212" s="159"/>
      <c r="AN212" s="159"/>
      <c r="AO212" s="159"/>
      <c r="AP212" s="17"/>
    </row>
    <row r="213" spans="1:42" outlineLevel="1" x14ac:dyDescent="0.25">
      <c r="A213" s="12"/>
      <c r="B213" s="13"/>
      <c r="C213" s="95" t="s">
        <v>570</v>
      </c>
      <c r="D213" s="45"/>
      <c r="E213" s="15"/>
      <c r="F213" s="16"/>
      <c r="G213" s="14"/>
      <c r="H213" s="28"/>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29"/>
    </row>
    <row r="214" spans="1:42" outlineLevel="1" x14ac:dyDescent="0.25">
      <c r="A214" s="12"/>
      <c r="B214" s="13"/>
      <c r="C214" s="96" t="s">
        <v>127</v>
      </c>
      <c r="D214" s="45"/>
      <c r="E214" s="15" t="s">
        <v>475</v>
      </c>
      <c r="F214" s="158" t="str">
        <f>Dashboard!$I$42</f>
        <v>Flat (Gradient  0%)</v>
      </c>
      <c r="G214" s="14"/>
      <c r="H214" s="28"/>
      <c r="I214" s="178" cm="1">
        <f t="array" ref="I214">INDEX('Control panel'!$F$17:$F$19,MATCH(BEB!$F$214,'Control panel'!$C$17:$C$19,0),0)</f>
        <v>0</v>
      </c>
      <c r="J214" s="178" cm="1">
        <f t="array" ref="J214">INDEX('Control panel'!$F$17:$F$19,MATCH(BEB!$F$214,'Control panel'!$C$17:$C$19,0),0)</f>
        <v>0</v>
      </c>
      <c r="K214" s="178" cm="1">
        <f t="array" ref="K214">INDEX('Control panel'!$F$17:$F$19,MATCH(BEB!$F$214,'Control panel'!$C$17:$C$19,0),0)</f>
        <v>0</v>
      </c>
      <c r="L214" s="178" cm="1">
        <f t="array" ref="L214">INDEX('Control panel'!$F$17:$F$19,MATCH(BEB!$F$214,'Control panel'!$C$17:$C$19,0),0)</f>
        <v>0</v>
      </c>
      <c r="M214" s="178" cm="1">
        <f t="array" ref="M214">INDEX('Control panel'!$F$17:$F$19,MATCH(BEB!$F$214,'Control panel'!$C$17:$C$19,0),0)</f>
        <v>0</v>
      </c>
      <c r="N214" s="178" cm="1">
        <f t="array" ref="N214">INDEX('Control panel'!$F$17:$F$19,MATCH(BEB!$F$214,'Control panel'!$C$17:$C$19,0),0)</f>
        <v>0</v>
      </c>
      <c r="O214" s="178" cm="1">
        <f t="array" ref="O214">INDEX('Control panel'!$F$17:$F$19,MATCH(BEB!$F$214,'Control panel'!$C$17:$C$19,0),0)</f>
        <v>0</v>
      </c>
      <c r="P214" s="178" cm="1">
        <f t="array" ref="P214">INDEX('Control panel'!$F$17:$F$19,MATCH(BEB!$F$214,'Control panel'!$C$17:$C$19,0),0)</f>
        <v>0</v>
      </c>
      <c r="Q214" s="178" cm="1">
        <f t="array" ref="Q214">INDEX('Control panel'!$F$17:$F$19,MATCH(BEB!$F$214,'Control panel'!$C$17:$C$19,0),0)</f>
        <v>0</v>
      </c>
      <c r="R214" s="178" cm="1">
        <f t="array" ref="R214">INDEX('Control panel'!$F$17:$F$19,MATCH(BEB!$F$214,'Control panel'!$C$17:$C$19,0),0)</f>
        <v>0</v>
      </c>
      <c r="S214" s="178" cm="1">
        <f t="array" ref="S214">INDEX('Control panel'!$F$17:$F$19,MATCH(BEB!$F$214,'Control panel'!$C$17:$C$19,0),0)</f>
        <v>0</v>
      </c>
      <c r="T214" s="178" cm="1">
        <f t="array" ref="T214">INDEX('Control panel'!$F$17:$F$19,MATCH(BEB!$F$214,'Control panel'!$C$17:$C$19,0),0)</f>
        <v>0</v>
      </c>
      <c r="U214" s="178" cm="1">
        <f t="array" ref="U214">INDEX('Control panel'!$F$17:$F$19,MATCH(BEB!$F$214,'Control panel'!$C$17:$C$19,0),0)</f>
        <v>0</v>
      </c>
      <c r="V214" s="178" cm="1">
        <f t="array" ref="V214">INDEX('Control panel'!$F$17:$F$19,MATCH(BEB!$F$214,'Control panel'!$C$17:$C$19,0),0)</f>
        <v>0</v>
      </c>
      <c r="W214" s="178" cm="1">
        <f t="array" ref="W214">INDEX('Control panel'!$F$17:$F$19,MATCH(BEB!$F$214,'Control panel'!$C$17:$C$19,0),0)</f>
        <v>0</v>
      </c>
      <c r="X214" s="178" cm="1">
        <f t="array" ref="X214">INDEX('Control panel'!$F$17:$F$19,MATCH(BEB!$F$214,'Control panel'!$C$17:$C$19,0),0)</f>
        <v>0</v>
      </c>
      <c r="Y214" s="178" cm="1">
        <f t="array" ref="Y214">INDEX('Control panel'!$F$17:$F$19,MATCH(BEB!$F$214,'Control panel'!$C$17:$C$19,0),0)</f>
        <v>0</v>
      </c>
      <c r="Z214" s="178" cm="1">
        <f t="array" ref="Z214">INDEX('Control panel'!$F$17:$F$19,MATCH(BEB!$F$214,'Control panel'!$C$17:$C$19,0),0)</f>
        <v>0</v>
      </c>
      <c r="AA214" s="178" cm="1">
        <f t="array" ref="AA214">INDEX('Control panel'!$F$17:$F$19,MATCH(BEB!$F$214,'Control panel'!$C$17:$C$19,0),0)</f>
        <v>0</v>
      </c>
      <c r="AB214" s="178" cm="1">
        <f t="array" ref="AB214">INDEX('Control panel'!$F$17:$F$19,MATCH(BEB!$F$214,'Control panel'!$C$17:$C$19,0),0)</f>
        <v>0</v>
      </c>
      <c r="AC214" s="178" cm="1">
        <f t="array" ref="AC214">INDEX('Control panel'!$F$17:$F$19,MATCH(BEB!$F$214,'Control panel'!$C$17:$C$19,0),0)</f>
        <v>0</v>
      </c>
      <c r="AD214" s="178" cm="1">
        <f t="array" ref="AD214">INDEX('Control panel'!$F$17:$F$19,MATCH(BEB!$F$214,'Control panel'!$C$17:$C$19,0),0)</f>
        <v>0</v>
      </c>
      <c r="AE214" s="178" cm="1">
        <f t="array" ref="AE214">INDEX('Control panel'!$F$17:$F$19,MATCH(BEB!$F$214,'Control panel'!$C$17:$C$19,0),0)</f>
        <v>0</v>
      </c>
      <c r="AF214" s="178" cm="1">
        <f t="array" ref="AF214">INDEX('Control panel'!$F$17:$F$19,MATCH(BEB!$F$214,'Control panel'!$C$17:$C$19,0),0)</f>
        <v>0</v>
      </c>
      <c r="AG214" s="178" cm="1">
        <f t="array" ref="AG214">INDEX('Control panel'!$F$17:$F$19,MATCH(BEB!$F$214,'Control panel'!$C$17:$C$19,0),0)</f>
        <v>0</v>
      </c>
      <c r="AH214" s="178" cm="1">
        <f t="array" ref="AH214">INDEX('Control panel'!$F$17:$F$19,MATCH(BEB!$F$214,'Control panel'!$C$17:$C$19,0),0)</f>
        <v>0</v>
      </c>
      <c r="AI214" s="178" cm="1">
        <f t="array" ref="AI214">INDEX('Control panel'!$F$17:$F$19,MATCH(BEB!$F$214,'Control panel'!$C$17:$C$19,0),0)</f>
        <v>0</v>
      </c>
      <c r="AJ214" s="178" cm="1">
        <f t="array" ref="AJ214">INDEX('Control panel'!$F$17:$F$19,MATCH(BEB!$F$214,'Control panel'!$C$17:$C$19,0),0)</f>
        <v>0</v>
      </c>
      <c r="AK214" s="178" cm="1">
        <f t="array" ref="AK214">INDEX('Control panel'!$F$17:$F$19,MATCH(BEB!$F$214,'Control panel'!$C$17:$C$19,0),0)</f>
        <v>0</v>
      </c>
      <c r="AL214" s="178" cm="1">
        <f t="array" ref="AL214">INDEX('Control panel'!$F$17:$F$19,MATCH(BEB!$F$214,'Control panel'!$C$17:$C$19,0),0)</f>
        <v>0</v>
      </c>
      <c r="AM214" s="178" cm="1">
        <f t="array" ref="AM214">INDEX('Control panel'!$F$17:$F$19,MATCH(BEB!$F$214,'Control panel'!$C$17:$C$19,0),0)</f>
        <v>0</v>
      </c>
      <c r="AN214" s="178" cm="1">
        <f t="array" ref="AN214">INDEX('Control panel'!$F$17:$F$19,MATCH(BEB!$F$214,'Control panel'!$C$17:$C$19,0),0)</f>
        <v>0</v>
      </c>
      <c r="AO214" s="178" cm="1">
        <f t="array" ref="AO214">INDEX('Control panel'!$F$17:$F$19,MATCH(BEB!$F$214,'Control panel'!$C$17:$C$19,0),0)</f>
        <v>0</v>
      </c>
      <c r="AP214" s="29"/>
    </row>
    <row r="215" spans="1:42" ht="15.75" customHeight="1" outlineLevel="1" x14ac:dyDescent="0.25">
      <c r="A215" s="12"/>
      <c r="B215" s="13"/>
      <c r="C215" s="96" t="s">
        <v>120</v>
      </c>
      <c r="D215" s="45"/>
      <c r="E215" s="15"/>
      <c r="F215" s="158" t="str">
        <f>Dashboard!$I$43</f>
        <v>2 Axle rigid</v>
      </c>
      <c r="G215" s="14"/>
      <c r="H215" s="28"/>
      <c r="I215" s="56">
        <f>IF($C$215=$F$215,I21*Data!$E$340*Data!H$76,0)*(1+I214)*(1+Data!$E$91)</f>
        <v>16572.295352671223</v>
      </c>
      <c r="J215" s="56">
        <f>IF($C$215=$F$215,J21*Data!$E$340*Data!I$76,0)*(1+J214)*(1+Data!$E$91)</f>
        <v>16519.974338466789</v>
      </c>
      <c r="K215" s="56">
        <f>IF($C$215=$F$215,K21*Data!$E$340*Data!J$76,0)*(1+K214)*(1+Data!$E$91)</f>
        <v>16421.029842909247</v>
      </c>
      <c r="L215" s="56">
        <f>IF($C$215=$F$215,L21*Data!$E$340*Data!K$76,0)*(1+L214)*(1+Data!$E$91)</f>
        <v>16300.48428992739</v>
      </c>
      <c r="M215" s="56">
        <f>IF($C$215=$F$215,M21*Data!$E$340*Data!L$76,0)*(1+M214)*(1+Data!$E$91)</f>
        <v>16166.497827773301</v>
      </c>
      <c r="N215" s="56">
        <f>IF($C$215=$F$215,N21*Data!$E$340*Data!M$76,0)*(1+N214)*(1+Data!$E$91)</f>
        <v>16029.283202916231</v>
      </c>
      <c r="O215" s="56">
        <f>IF($C$215=$F$215,O21*Data!$E$340*Data!N$76,0)*(1+O214)*(1+Data!$E$91)</f>
        <v>15893.072477377069</v>
      </c>
      <c r="P215" s="56">
        <f>IF($C$215=$F$215,P21*Data!$E$340*Data!O$76,0)*(1+P214)*(1+Data!$E$91)</f>
        <v>15752.055357978219</v>
      </c>
      <c r="Q215" s="56">
        <f>IF($C$215=$F$215,Q21*Data!$E$340*Data!P$76,0)*(1+Q214)*(1+Data!$E$91)</f>
        <v>15677.090090786411</v>
      </c>
      <c r="R215" s="56">
        <f>IF($C$215=$F$215,R21*Data!$E$340*Data!Q$76,0)*(1+R214)*(1+Data!$E$91)</f>
        <v>15603.373366963802</v>
      </c>
      <c r="S215" s="56">
        <f>IF($C$215=$F$215,S21*Data!$E$340*Data!R$76,0)*(1+S214)*(1+Data!$E$91)</f>
        <v>15530.48376442999</v>
      </c>
      <c r="T215" s="56">
        <f>IF($C$215=$F$215,T21*Data!$E$340*Data!S$76,0)*(1+T214)*(1+Data!$E$91)</f>
        <v>15459.537496579218</v>
      </c>
      <c r="U215" s="56">
        <f>IF($C$215=$F$215,U21*Data!$E$340*Data!T$76,0)*(1+U214)*(1+Data!$E$91)</f>
        <v>15418.566000973269</v>
      </c>
      <c r="V215" s="56">
        <f>IF($C$215=$F$215,V21*Data!$E$340*Data!U$76,0)*(1+V214)*(1+Data!$E$91)</f>
        <v>15380.335523051655</v>
      </c>
      <c r="W215" s="56">
        <f>IF($C$215=$F$215,W21*Data!$E$340*Data!V$76,0)*(1+W214)*(1+Data!$E$91)</f>
        <v>15340.45886248249</v>
      </c>
      <c r="X215" s="56">
        <f>IF($C$215=$F$215,X21*Data!$E$340*Data!W$76,0)*(1+X214)*(1+Data!$E$91)</f>
        <v>15301.832287334373</v>
      </c>
      <c r="Y215" s="56">
        <f>IF($C$215=$F$215,Y21*Data!$E$340*Data!X$76,0)*(1+Y214)*(1+Data!$E$91)</f>
        <v>15265.677145490894</v>
      </c>
      <c r="Z215" s="56">
        <f>IF($C$215=$F$215,Z21*Data!$E$340*Data!Y$76,0)*(1+Z214)*(1+Data!$E$91)</f>
        <v>15231.991236689862</v>
      </c>
      <c r="AA215" s="56">
        <f>IF($C$215=$F$215,AA21*Data!$E$340*Data!Z$76,0)*(1+AA214)*(1+Data!$E$91)</f>
        <v>15200.325777400836</v>
      </c>
      <c r="AB215" s="56">
        <f>IF($C$215=$F$215,AB21*Data!$E$340*Data!AA$76,0)*(1+AB214)*(1+Data!$E$91)</f>
        <v>15170.240495597198</v>
      </c>
      <c r="AC215" s="56"/>
      <c r="AD215" s="56"/>
      <c r="AE215" s="56"/>
      <c r="AF215" s="56"/>
      <c r="AG215" s="56"/>
      <c r="AH215" s="56"/>
      <c r="AI215" s="56"/>
      <c r="AJ215" s="56"/>
      <c r="AK215" s="56"/>
      <c r="AL215" s="56"/>
      <c r="AM215" s="56"/>
      <c r="AN215" s="56"/>
      <c r="AO215" s="56"/>
      <c r="AP215" s="29"/>
    </row>
    <row r="216" spans="1:42" outlineLevel="1" x14ac:dyDescent="0.25">
      <c r="A216" s="12"/>
      <c r="B216" s="13"/>
      <c r="C216" s="96" t="s">
        <v>124</v>
      </c>
      <c r="D216" s="45"/>
      <c r="E216" s="15"/>
      <c r="F216" s="158" t="str">
        <f>Dashboard!$I$43</f>
        <v>2 Axle rigid</v>
      </c>
      <c r="G216" s="14"/>
      <c r="H216" s="28"/>
      <c r="I216" s="56">
        <f>IF($C$216=$F$216,I21*Data!$E$341*Data!H$76,0)*(1+I214)*(1+Data!$E$91)</f>
        <v>0</v>
      </c>
      <c r="J216" s="56">
        <f>IF($C$216=$F$216,J21*Data!$E$341*Data!I$76,0)*(1+J214)*(1+Data!$E$91)</f>
        <v>0</v>
      </c>
      <c r="K216" s="56">
        <f>IF($C$216=$F$216,K21*Data!$E$341*Data!J$76,0)*(1+K214)*(1+Data!$E$91)</f>
        <v>0</v>
      </c>
      <c r="L216" s="56">
        <f>IF($C$216=$F$216,L21*Data!$E$341*Data!K$76,0)*(1+L214)*(1+Data!$E$91)</f>
        <v>0</v>
      </c>
      <c r="M216" s="56">
        <f>IF($C$216=$F$216,M21*Data!$E$341*Data!L$76,0)*(1+M214)*(1+Data!$E$91)</f>
        <v>0</v>
      </c>
      <c r="N216" s="56">
        <f>IF($C$216=$F$216,N21*Data!$E$341*Data!M$76,0)*(1+N214)*(1+Data!$E$91)</f>
        <v>0</v>
      </c>
      <c r="O216" s="56">
        <f>IF($C$216=$F$216,O21*Data!$E$341*Data!N$76,0)*(1+O214)*(1+Data!$E$91)</f>
        <v>0</v>
      </c>
      <c r="P216" s="56">
        <f>IF($C$216=$F$216,P21*Data!$E$341*Data!O$76,0)*(1+P214)*(1+Data!$E$91)</f>
        <v>0</v>
      </c>
      <c r="Q216" s="56">
        <f>IF($C$216=$F$216,Q21*Data!$E$341*Data!P$76,0)*(1+Q214)*(1+Data!$E$91)</f>
        <v>0</v>
      </c>
      <c r="R216" s="56">
        <f>IF($C$216=$F$216,R21*Data!$E$341*Data!Q$76,0)*(1+R214)*(1+Data!$E$91)</f>
        <v>0</v>
      </c>
      <c r="S216" s="56">
        <f>IF($C$216=$F$216,S21*Data!$E$341*Data!R$76,0)*(1+S214)*(1+Data!$E$91)</f>
        <v>0</v>
      </c>
      <c r="T216" s="56">
        <f>IF($C$216=$F$216,T21*Data!$E$341*Data!S$76,0)*(1+T214)*(1+Data!$E$91)</f>
        <v>0</v>
      </c>
      <c r="U216" s="56">
        <f>IF($C$216=$F$216,U21*Data!$E$341*Data!T$76,0)*(1+U214)*(1+Data!$E$91)</f>
        <v>0</v>
      </c>
      <c r="V216" s="56">
        <f>IF($C$216=$F$216,V21*Data!$E$341*Data!U$76,0)*(1+V214)*(1+Data!$E$91)</f>
        <v>0</v>
      </c>
      <c r="W216" s="56">
        <f>IF($C$216=$F$216,W21*Data!$E$341*Data!V$76,0)*(1+W214)*(1+Data!$E$91)</f>
        <v>0</v>
      </c>
      <c r="X216" s="56">
        <f>IF($C$216=$F$216,X21*Data!$E$341*Data!W$76,0)*(1+X214)*(1+Data!$E$91)</f>
        <v>0</v>
      </c>
      <c r="Y216" s="56">
        <f>IF($C$216=$F$216,Y21*Data!$E$341*Data!X$76,0)*(1+Y214)*(1+Data!$E$91)</f>
        <v>0</v>
      </c>
      <c r="Z216" s="56">
        <f>IF($C$216=$F$216,Z21*Data!$E$341*Data!Y$76,0)*(1+Z214)*(1+Data!$E$91)</f>
        <v>0</v>
      </c>
      <c r="AA216" s="56">
        <f>IF($C$216=$F$216,AA21*Data!$E$341*Data!Z$76,0)*(1+AA214)*(1+Data!$E$91)</f>
        <v>0</v>
      </c>
      <c r="AB216" s="56">
        <f>IF($C$216=$F$216,AB21*Data!$E$341*Data!AA$76,0)*(1+AB214)*(1+Data!$E$91)</f>
        <v>0</v>
      </c>
      <c r="AC216" s="56"/>
      <c r="AD216" s="56"/>
      <c r="AE216" s="56"/>
      <c r="AF216" s="56"/>
      <c r="AG216" s="56"/>
      <c r="AH216" s="56"/>
      <c r="AI216" s="56"/>
      <c r="AJ216" s="56"/>
      <c r="AK216" s="56"/>
      <c r="AL216" s="56"/>
      <c r="AM216" s="56"/>
      <c r="AN216" s="56"/>
      <c r="AO216" s="56"/>
      <c r="AP216" s="29"/>
    </row>
    <row r="217" spans="1:42" outlineLevel="1" x14ac:dyDescent="0.25">
      <c r="A217" s="12"/>
      <c r="B217" s="13"/>
      <c r="C217" s="96" t="s">
        <v>126</v>
      </c>
      <c r="D217" s="45"/>
      <c r="E217" s="15"/>
      <c r="F217" s="158" t="str">
        <f>Dashboard!$I$43</f>
        <v>2 Axle rigid</v>
      </c>
      <c r="G217" s="14"/>
      <c r="H217" s="28"/>
      <c r="I217" s="56">
        <f>IF($C$217=$F$217,I21*Data!$E$342*Data!H$76,0)*(1+I214)*(1+Data!$E$91)</f>
        <v>0</v>
      </c>
      <c r="J217" s="56">
        <f>IF($C$217=$F$217,J21*Data!$E$342*Data!I$76,0)*(1+J214)*(1+Data!$E$91)</f>
        <v>0</v>
      </c>
      <c r="K217" s="56">
        <f>IF($C$217=$F$217,K21*Data!$E$342*Data!J$76,0)*(1+K214)*(1+Data!$E$91)</f>
        <v>0</v>
      </c>
      <c r="L217" s="56">
        <f>IF($C$217=$F$217,L21*Data!$E$342*Data!K$76,0)*(1+L214)*(1+Data!$E$91)</f>
        <v>0</v>
      </c>
      <c r="M217" s="56">
        <f>IF($C$217=$F$217,M21*Data!$E$342*Data!L$76,0)*(1+M214)*(1+Data!$E$91)</f>
        <v>0</v>
      </c>
      <c r="N217" s="56">
        <f>IF($C$217=$F$217,N21*Data!$E$342*Data!M$76,0)*(1+N214)*(1+Data!$E$91)</f>
        <v>0</v>
      </c>
      <c r="O217" s="56">
        <f>IF($C$217=$F$217,O21*Data!$E$342*Data!N$76,0)*(1+O214)*(1+Data!$E$91)</f>
        <v>0</v>
      </c>
      <c r="P217" s="56">
        <f>IF($C$217=$F$217,P21*Data!$E$342*Data!O$76,0)*(1+P214)*(1+Data!$E$91)</f>
        <v>0</v>
      </c>
      <c r="Q217" s="56">
        <f>IF($C$217=$F$217,Q21*Data!$E$342*Data!P$76,0)*(1+Q214)*(1+Data!$E$91)</f>
        <v>0</v>
      </c>
      <c r="R217" s="56">
        <f>IF($C$217=$F$217,R21*Data!$E$342*Data!Q$76,0)*(1+R214)*(1+Data!$E$91)</f>
        <v>0</v>
      </c>
      <c r="S217" s="56">
        <f>IF($C$217=$F$217,S21*Data!$E$342*Data!R$76,0)*(1+S214)*(1+Data!$E$91)</f>
        <v>0</v>
      </c>
      <c r="T217" s="56">
        <f>IF($C$217=$F$217,T21*Data!$E$342*Data!S$76,0)*(1+T214)*(1+Data!$E$91)</f>
        <v>0</v>
      </c>
      <c r="U217" s="56">
        <f>IF($C$217=$F$217,U21*Data!$E$342*Data!T$76,0)*(1+U214)*(1+Data!$E$91)</f>
        <v>0</v>
      </c>
      <c r="V217" s="56">
        <f>IF($C$217=$F$217,V21*Data!$E$342*Data!U$76,0)*(1+V214)*(1+Data!$E$91)</f>
        <v>0</v>
      </c>
      <c r="W217" s="56">
        <f>IF($C$217=$F$217,W21*Data!$E$342*Data!V$76,0)*(1+W214)*(1+Data!$E$91)</f>
        <v>0</v>
      </c>
      <c r="X217" s="56">
        <f>IF($C$217=$F$217,X21*Data!$E$342*Data!W$76,0)*(1+X214)*(1+Data!$E$91)</f>
        <v>0</v>
      </c>
      <c r="Y217" s="56">
        <f>IF($C$217=$F$217,Y21*Data!$E$342*Data!X$76,0)*(1+Y214)*(1+Data!$E$91)</f>
        <v>0</v>
      </c>
      <c r="Z217" s="56">
        <f>IF($C$217=$F$217,Z21*Data!$E$342*Data!Y$76,0)*(1+Z214)*(1+Data!$E$91)</f>
        <v>0</v>
      </c>
      <c r="AA217" s="56">
        <f>IF($C$217=$F$217,AA21*Data!$E$342*Data!Z$76,0)*(1+AA214)*(1+Data!$E$91)</f>
        <v>0</v>
      </c>
      <c r="AB217" s="56">
        <f>IF($C$217=$F$217,AB21*Data!$E$342*Data!AA$76,0)*(1+AB214)*(1+Data!$E$91)</f>
        <v>0</v>
      </c>
      <c r="AC217" s="56"/>
      <c r="AD217" s="56"/>
      <c r="AE217" s="56"/>
      <c r="AF217" s="56"/>
      <c r="AG217" s="56"/>
      <c r="AH217" s="56"/>
      <c r="AI217" s="56"/>
      <c r="AJ217" s="56"/>
      <c r="AK217" s="56"/>
      <c r="AL217" s="56"/>
      <c r="AM217" s="56"/>
      <c r="AN217" s="56"/>
      <c r="AO217" s="56"/>
      <c r="AP217" s="29"/>
    </row>
    <row r="218" spans="1:42" outlineLevel="1" x14ac:dyDescent="0.25">
      <c r="A218" s="12"/>
      <c r="B218" s="13"/>
      <c r="C218" s="96"/>
      <c r="D218" s="45"/>
      <c r="E218" s="15"/>
      <c r="F218" s="158"/>
      <c r="G218" s="14"/>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9"/>
    </row>
    <row r="219" spans="1:42" outlineLevel="1" x14ac:dyDescent="0.25">
      <c r="A219" s="12"/>
      <c r="B219" s="13"/>
      <c r="C219" s="19" t="s">
        <v>512</v>
      </c>
      <c r="D219" s="45"/>
      <c r="E219" s="15"/>
      <c r="F219" s="158"/>
      <c r="G219" s="14"/>
      <c r="H219" s="28"/>
      <c r="I219" s="182">
        <f>SUM(I204:I206)+I208+I211+I212+SUM(I215:I217)</f>
        <v>62202.295352671215</v>
      </c>
      <c r="J219" s="182">
        <f t="shared" ref="J219:AB219" si="71">SUM(J204:J206)+J208+J211+J212+SUM(J215:J217)</f>
        <v>62149.974338466782</v>
      </c>
      <c r="K219" s="182">
        <f t="shared" si="71"/>
        <v>95784.469842909253</v>
      </c>
      <c r="L219" s="182">
        <f t="shared" si="71"/>
        <v>95663.924289927396</v>
      </c>
      <c r="M219" s="182">
        <f t="shared" si="71"/>
        <v>95529.937827773305</v>
      </c>
      <c r="N219" s="182">
        <f t="shared" si="71"/>
        <v>95392.723202916241</v>
      </c>
      <c r="O219" s="182">
        <f t="shared" si="71"/>
        <v>95256.512477377066</v>
      </c>
      <c r="P219" s="182">
        <f t="shared" si="71"/>
        <v>95115.495357978216</v>
      </c>
      <c r="Q219" s="182">
        <f t="shared" si="71"/>
        <v>95040.530090786415</v>
      </c>
      <c r="R219" s="182">
        <f t="shared" si="71"/>
        <v>94966.813366963805</v>
      </c>
      <c r="S219" s="182">
        <f t="shared" si="71"/>
        <v>94893.923764429986</v>
      </c>
      <c r="T219" s="182">
        <f>SUM(T204:T206)+T208+T211+T212+SUM(T215:T217)</f>
        <v>94822.977496579217</v>
      </c>
      <c r="U219" s="182">
        <f t="shared" si="71"/>
        <v>94782.00600097327</v>
      </c>
      <c r="V219" s="182">
        <f t="shared" si="71"/>
        <v>94743.775523051663</v>
      </c>
      <c r="W219" s="182">
        <f t="shared" si="71"/>
        <v>94703.898862482485</v>
      </c>
      <c r="X219" s="182">
        <f t="shared" si="71"/>
        <v>94665.272287334374</v>
      </c>
      <c r="Y219" s="182">
        <f t="shared" si="71"/>
        <v>94629.117145490891</v>
      </c>
      <c r="Z219" s="182">
        <f t="shared" si="71"/>
        <v>94595.431236689867</v>
      </c>
      <c r="AA219" s="182">
        <f t="shared" si="71"/>
        <v>94563.76577740084</v>
      </c>
      <c r="AB219" s="182">
        <f t="shared" si="71"/>
        <v>94533.680495597204</v>
      </c>
      <c r="AC219" s="182"/>
      <c r="AD219" s="182"/>
      <c r="AE219" s="182"/>
      <c r="AF219" s="182"/>
      <c r="AG219" s="182"/>
      <c r="AH219" s="182"/>
      <c r="AI219" s="182"/>
      <c r="AJ219" s="182"/>
      <c r="AK219" s="182"/>
      <c r="AL219" s="182"/>
      <c r="AM219" s="182"/>
      <c r="AN219" s="182"/>
      <c r="AO219" s="182"/>
      <c r="AP219" s="29"/>
    </row>
    <row r="220" spans="1:42" outlineLevel="1" x14ac:dyDescent="0.25">
      <c r="A220" s="12"/>
      <c r="B220" s="13"/>
      <c r="C220" s="96"/>
      <c r="D220" s="45"/>
      <c r="E220" s="15"/>
      <c r="F220" s="158"/>
      <c r="G220" s="14"/>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9"/>
    </row>
    <row r="221" spans="1:42" outlineLevel="1" x14ac:dyDescent="0.25">
      <c r="A221" s="12"/>
      <c r="B221" s="13"/>
      <c r="C221" s="45"/>
      <c r="D221" s="45"/>
      <c r="E221" s="15"/>
      <c r="F221" s="16"/>
      <c r="G221" s="14"/>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9"/>
    </row>
    <row r="222" spans="1:42" outlineLevel="1" x14ac:dyDescent="0.25">
      <c r="A222" s="12"/>
      <c r="B222" s="13"/>
      <c r="C222" s="37" t="s">
        <v>513</v>
      </c>
      <c r="D222" s="37"/>
      <c r="E222" s="38"/>
      <c r="F222" s="39"/>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17"/>
    </row>
    <row r="223" spans="1:42" outlineLevel="1" x14ac:dyDescent="0.25">
      <c r="A223" s="12"/>
      <c r="B223" s="13"/>
      <c r="C223" s="96" t="s">
        <v>249</v>
      </c>
      <c r="D223" s="45"/>
      <c r="E223" s="15" t="s">
        <v>142</v>
      </c>
      <c r="F223" s="16"/>
      <c r="G223" s="14"/>
      <c r="H223" s="165">
        <f>-U105</f>
        <v>52500</v>
      </c>
      <c r="I223" s="28"/>
      <c r="J223" s="28"/>
      <c r="K223" s="28"/>
      <c r="L223" s="28"/>
      <c r="M223" s="28"/>
      <c r="N223" s="28"/>
      <c r="O223" s="28"/>
      <c r="P223" s="28"/>
      <c r="Q223" s="28"/>
      <c r="R223" s="28"/>
      <c r="S223" s="28"/>
      <c r="T223" s="28"/>
      <c r="V223" s="28"/>
      <c r="W223" s="28"/>
      <c r="X223" s="28"/>
      <c r="Z223" s="28"/>
      <c r="AA223" s="28"/>
      <c r="AC223" s="182">
        <f>SUM(H178:H180)*Data!$E$359</f>
        <v>90750</v>
      </c>
      <c r="AD223" s="28"/>
      <c r="AE223" s="28"/>
      <c r="AF223" s="28"/>
      <c r="AG223" s="28"/>
      <c r="AH223" s="28"/>
      <c r="AI223" s="28"/>
      <c r="AJ223" s="28"/>
      <c r="AK223" s="28"/>
      <c r="AL223" s="28"/>
      <c r="AM223" s="28"/>
      <c r="AN223" s="28"/>
      <c r="AO223" s="28"/>
      <c r="AP223" s="29"/>
    </row>
    <row r="224" spans="1:42" outlineLevel="1" x14ac:dyDescent="0.25">
      <c r="A224" s="12"/>
      <c r="B224" s="13"/>
      <c r="C224" s="14"/>
      <c r="D224" s="14"/>
      <c r="E224" s="15"/>
      <c r="F224" s="16"/>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7"/>
    </row>
    <row r="225" spans="1:42" outlineLevel="1" x14ac:dyDescent="0.25">
      <c r="A225" s="12"/>
      <c r="B225" s="13"/>
      <c r="C225" s="20" t="s">
        <v>478</v>
      </c>
      <c r="D225" s="14"/>
      <c r="E225" s="15" t="s">
        <v>142</v>
      </c>
      <c r="F225" s="16"/>
      <c r="G225" s="231">
        <f>SUM(I225:AO225)</f>
        <v>1190033.6695354723</v>
      </c>
      <c r="H225" s="46"/>
      <c r="I225" s="56">
        <f>(I219-I223)*Data!H$9</f>
        <v>59809.899377568472</v>
      </c>
      <c r="J225" s="56">
        <f>(J219-J223)*Data!I$9</f>
        <v>57461.144913523276</v>
      </c>
      <c r="K225" s="56">
        <f>(K219-K223)*Data!J$9</f>
        <v>85152.04490757038</v>
      </c>
      <c r="L225" s="56">
        <f>(L219-L223)*Data!K$9</f>
        <v>81773.923413380311</v>
      </c>
      <c r="M225" s="56">
        <f>(M219-M223)*Data!L$9</f>
        <v>78518.645407682445</v>
      </c>
      <c r="N225" s="56">
        <f>(N219-N223)*Data!M$9</f>
        <v>75390.254796219815</v>
      </c>
      <c r="O225" s="56">
        <f>(O219-O223)*Data!N$9</f>
        <v>72387.120655063438</v>
      </c>
      <c r="P225" s="56">
        <f>(P219-P223)*Data!O$9</f>
        <v>69499.960801986337</v>
      </c>
      <c r="Q225" s="56">
        <f>(Q219-Q223)*Data!P$9</f>
        <v>66774.215784167231</v>
      </c>
      <c r="R225" s="56">
        <f>(R219-R223)*Data!Q$9</f>
        <v>64156.176338287631</v>
      </c>
      <c r="S225" s="56">
        <f>(S219-S223)*Data!R$9</f>
        <v>61641.283398592153</v>
      </c>
      <c r="T225" s="56">
        <f>(T219-T223)*Data!S$9</f>
        <v>59226.151976760288</v>
      </c>
      <c r="U225" s="56">
        <f>(U219-U223)*Data!T$9</f>
        <v>56923.616636046085</v>
      </c>
      <c r="V225" s="56">
        <f>(V219-V223)*Data!U$9</f>
        <v>54712.16961702484</v>
      </c>
      <c r="W225" s="56">
        <f>(W219-W223)*Data!V$9</f>
        <v>52585.713306884601</v>
      </c>
      <c r="X225" s="56">
        <f>(X219-X223)*Data!W$9</f>
        <v>50542.562827734102</v>
      </c>
      <c r="Y225" s="56">
        <f>(Y219-Y223)*Data!X$9</f>
        <v>48580.05702106806</v>
      </c>
      <c r="Z225" s="56">
        <f>(Z219-Z223)*Data!Y$9</f>
        <v>46694.964977622505</v>
      </c>
      <c r="AA225" s="56">
        <f>(AA219-AA223)*Data!Z$9</f>
        <v>44883.975015819909</v>
      </c>
      <c r="AB225" s="56">
        <f>(AB219-AB223)*Data!AA$9</f>
        <v>43143.937754554252</v>
      </c>
      <c r="AC225" s="56">
        <f>(AC219-AC223)*Data!AB$9</f>
        <v>-39824.149392083891</v>
      </c>
      <c r="AD225" s="56">
        <f>(AD219-AD223)*Data!AC$9</f>
        <v>0</v>
      </c>
      <c r="AE225" s="56">
        <f>(AE219-AE223)*Data!AD$9</f>
        <v>0</v>
      </c>
      <c r="AF225" s="56">
        <f>(AF219-AF223)*Data!AE$9</f>
        <v>0</v>
      </c>
      <c r="AG225" s="56">
        <f>(AG219-AG223)*Data!AF$9</f>
        <v>0</v>
      </c>
      <c r="AH225" s="56">
        <f>(AH219-AH223)*Data!AG$9</f>
        <v>0</v>
      </c>
      <c r="AI225" s="56">
        <f>(AI219-AI223)*Data!AH$9</f>
        <v>0</v>
      </c>
      <c r="AJ225" s="56">
        <f>(AJ219-AJ223)*Data!AI$9</f>
        <v>0</v>
      </c>
      <c r="AK225" s="56">
        <f>(AK219-AK223)*Data!AJ$9</f>
        <v>0</v>
      </c>
      <c r="AL225" s="56">
        <f>(AL219-AL223)*Data!AK$9</f>
        <v>0</v>
      </c>
      <c r="AM225" s="56">
        <f>(AM219-AM223)*Data!AL$9</f>
        <v>0</v>
      </c>
      <c r="AN225" s="56">
        <f>(AN219-AN223)*Data!AM$9</f>
        <v>0</v>
      </c>
      <c r="AO225" s="56">
        <f>(AO219-AO223)*Data!AN$9</f>
        <v>0</v>
      </c>
      <c r="AP225" s="17"/>
    </row>
    <row r="226" spans="1:42" outlineLevel="1" x14ac:dyDescent="0.25">
      <c r="A226" s="12"/>
      <c r="B226" s="13"/>
      <c r="C226" s="20"/>
      <c r="D226" s="14"/>
      <c r="E226" s="15"/>
      <c r="F226" s="16"/>
      <c r="G226" s="231">
        <f>G225/(SUM(H21:AO21))</f>
        <v>0.63570174654672662</v>
      </c>
      <c r="H226" s="4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17"/>
    </row>
    <row r="227" spans="1:42" outlineLevel="1" x14ac:dyDescent="0.25">
      <c r="A227" s="12"/>
      <c r="B227" s="13"/>
      <c r="C227" s="37" t="s">
        <v>479</v>
      </c>
      <c r="D227" s="37"/>
      <c r="E227" s="38"/>
      <c r="F227" s="39"/>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17"/>
    </row>
    <row r="228" spans="1:42" outlineLevel="1" x14ac:dyDescent="0.25">
      <c r="A228" s="12"/>
      <c r="B228" s="13"/>
      <c r="C228" s="14" t="s">
        <v>479</v>
      </c>
      <c r="D228" s="14"/>
      <c r="E228" s="15" t="s">
        <v>318</v>
      </c>
      <c r="F228" s="16"/>
      <c r="G228" s="14"/>
      <c r="H228" s="371">
        <f>H197+H200+H219-H223</f>
        <v>-52500</v>
      </c>
      <c r="I228" s="371">
        <f>I197+I200+I219-I223</f>
        <v>116489.42946274199</v>
      </c>
      <c r="J228" s="371">
        <f t="shared" ref="J228:AO228" si="72">J197+J200+J219-J223</f>
        <v>116437.10844853756</v>
      </c>
      <c r="K228" s="371">
        <f t="shared" si="72"/>
        <v>150071.60395298002</v>
      </c>
      <c r="L228" s="371">
        <f t="shared" si="72"/>
        <v>149951.05839999818</v>
      </c>
      <c r="M228" s="371">
        <f t="shared" si="72"/>
        <v>149817.07193784407</v>
      </c>
      <c r="N228" s="371">
        <f t="shared" si="72"/>
        <v>149679.85731298701</v>
      </c>
      <c r="O228" s="371">
        <f t="shared" si="72"/>
        <v>149543.64658744785</v>
      </c>
      <c r="P228" s="371">
        <f t="shared" si="72"/>
        <v>149402.62946804898</v>
      </c>
      <c r="Q228" s="371">
        <f t="shared" si="72"/>
        <v>149327.66420085719</v>
      </c>
      <c r="R228" s="371">
        <f t="shared" si="72"/>
        <v>161784.01476890384</v>
      </c>
      <c r="S228" s="371">
        <f t="shared" si="72"/>
        <v>161711.12516637001</v>
      </c>
      <c r="T228" s="371">
        <f>T197+T200+T219-T223</f>
        <v>161640.17889851925</v>
      </c>
      <c r="U228" s="371">
        <f t="shared" si="72"/>
        <v>161599.20740291331</v>
      </c>
      <c r="V228" s="371">
        <f t="shared" si="72"/>
        <v>161560.9769249917</v>
      </c>
      <c r="W228" s="371">
        <f t="shared" si="72"/>
        <v>161521.10026442251</v>
      </c>
      <c r="X228" s="371">
        <f t="shared" si="72"/>
        <v>161482.4736892744</v>
      </c>
      <c r="Y228" s="371">
        <f t="shared" si="72"/>
        <v>161446.31854743091</v>
      </c>
      <c r="Z228" s="371">
        <f t="shared" si="72"/>
        <v>161412.63263862988</v>
      </c>
      <c r="AA228" s="371">
        <f t="shared" si="72"/>
        <v>161380.96717934086</v>
      </c>
      <c r="AB228" s="371">
        <f t="shared" si="72"/>
        <v>161350.88189753721</v>
      </c>
      <c r="AC228" s="371">
        <f t="shared" si="72"/>
        <v>-90750</v>
      </c>
      <c r="AD228" s="371">
        <f t="shared" si="72"/>
        <v>0</v>
      </c>
      <c r="AE228" s="371">
        <f t="shared" si="72"/>
        <v>0</v>
      </c>
      <c r="AF228" s="371">
        <f t="shared" si="72"/>
        <v>0</v>
      </c>
      <c r="AG228" s="371">
        <f t="shared" si="72"/>
        <v>0</v>
      </c>
      <c r="AH228" s="371">
        <f t="shared" si="72"/>
        <v>0</v>
      </c>
      <c r="AI228" s="371">
        <f t="shared" si="72"/>
        <v>0</v>
      </c>
      <c r="AJ228" s="371">
        <f t="shared" si="72"/>
        <v>0</v>
      </c>
      <c r="AK228" s="371">
        <f t="shared" si="72"/>
        <v>0</v>
      </c>
      <c r="AL228" s="371">
        <f t="shared" si="72"/>
        <v>0</v>
      </c>
      <c r="AM228" s="371">
        <f t="shared" si="72"/>
        <v>0</v>
      </c>
      <c r="AN228" s="371">
        <f t="shared" si="72"/>
        <v>0</v>
      </c>
      <c r="AO228" s="371">
        <f t="shared" si="72"/>
        <v>0</v>
      </c>
      <c r="AP228" s="29"/>
    </row>
    <row r="229" spans="1:42" s="140" customFormat="1" outlineLevel="1" x14ac:dyDescent="0.25">
      <c r="A229" s="78"/>
      <c r="B229" s="19"/>
      <c r="C229" s="20" t="s">
        <v>480</v>
      </c>
      <c r="D229" s="20"/>
      <c r="E229" s="21" t="s">
        <v>318</v>
      </c>
      <c r="F229" s="48"/>
      <c r="G229" s="185"/>
      <c r="H229" s="372">
        <f>H228*Data!G$9</f>
        <v>-52500</v>
      </c>
      <c r="I229" s="372">
        <f>I228*Data!H$9</f>
        <v>112009.06679109806</v>
      </c>
      <c r="J229" s="372">
        <f>J228*Data!I$9</f>
        <v>107652.65204191711</v>
      </c>
      <c r="K229" s="372">
        <f>K228*Data!J$9</f>
        <v>133413.1094541029</v>
      </c>
      <c r="L229" s="372">
        <f>L228*Data!K$9</f>
        <v>128178.7931696616</v>
      </c>
      <c r="M229" s="372">
        <f>M228*Data!L$9</f>
        <v>123138.71248102981</v>
      </c>
      <c r="N229" s="372">
        <f>N228*Data!M$9</f>
        <v>118294.1654436692</v>
      </c>
      <c r="O229" s="372">
        <f>O228*Data!N$9</f>
        <v>113640.88089299557</v>
      </c>
      <c r="P229" s="372">
        <f>P228*Data!O$9</f>
        <v>109167.03795384413</v>
      </c>
      <c r="Q229" s="372">
        <f>Q228*Data!P$9</f>
        <v>104915.63612249204</v>
      </c>
      <c r="R229" s="372">
        <f>R228*Data!Q$9</f>
        <v>109295.48346665523</v>
      </c>
      <c r="S229" s="372">
        <f>S228*Data!R$9</f>
        <v>105044.46332971485</v>
      </c>
      <c r="T229" s="372">
        <f>T228*Data!S$9</f>
        <v>100959.97883360903</v>
      </c>
      <c r="U229" s="372">
        <f>U228*Data!T$9</f>
        <v>97052.296306092947</v>
      </c>
      <c r="V229" s="372">
        <f>V228*Data!U$9</f>
        <v>93297.438530531435</v>
      </c>
      <c r="W229" s="372">
        <f>W228*Data!V$9</f>
        <v>89686.933416025553</v>
      </c>
      <c r="X229" s="372">
        <f>X228*Data!W$9</f>
        <v>86216.81293267732</v>
      </c>
      <c r="Y229" s="372">
        <f>Y228*Data!X$9</f>
        <v>82882.220583513466</v>
      </c>
      <c r="Z229" s="372">
        <f>Z228*Data!Y$9</f>
        <v>79677.814556896919</v>
      </c>
      <c r="AA229" s="372">
        <f>AA228*Data!Z$9</f>
        <v>76598.253457429935</v>
      </c>
      <c r="AB229" s="372">
        <f>AB228*Data!AA$9</f>
        <v>73638.436256102344</v>
      </c>
      <c r="AC229" s="372">
        <f>AC228*Data!AB$9</f>
        <v>-39824.149392083891</v>
      </c>
      <c r="AD229" s="372">
        <f>AD228*Data!AC$9</f>
        <v>0</v>
      </c>
      <c r="AE229" s="372"/>
      <c r="AF229" s="372"/>
      <c r="AG229" s="372"/>
      <c r="AH229" s="372"/>
      <c r="AI229" s="372"/>
      <c r="AJ229" s="372"/>
      <c r="AK229" s="372"/>
      <c r="AL229" s="372"/>
      <c r="AM229" s="372"/>
      <c r="AN229" s="372"/>
      <c r="AO229" s="372"/>
      <c r="AP229" s="50"/>
    </row>
    <row r="230" spans="1:42" outlineLevel="1" x14ac:dyDescent="0.25">
      <c r="A230" s="12"/>
      <c r="B230" s="13"/>
      <c r="C230" s="14" t="s">
        <v>479</v>
      </c>
      <c r="D230" s="14"/>
      <c r="E230" s="15" t="s">
        <v>54</v>
      </c>
      <c r="F230" s="16"/>
      <c r="G230" s="244">
        <f>SUM(H229:AO229)</f>
        <v>1952436.0366279755</v>
      </c>
      <c r="H230" s="165"/>
      <c r="I230" s="165"/>
      <c r="J230" s="165"/>
      <c r="K230" s="165"/>
      <c r="L230" s="165"/>
      <c r="M230" s="165"/>
      <c r="N230" s="165"/>
      <c r="O230" s="165"/>
      <c r="P230" s="165"/>
      <c r="Q230" s="165"/>
      <c r="R230" s="165"/>
      <c r="S230" s="165"/>
      <c r="T230" s="165"/>
      <c r="U230" s="165"/>
      <c r="V230" s="165"/>
      <c r="W230" s="28"/>
      <c r="X230" s="28"/>
      <c r="Y230" s="28"/>
      <c r="Z230" s="28"/>
      <c r="AA230" s="28"/>
      <c r="AB230" s="28"/>
      <c r="AC230" s="28"/>
      <c r="AD230" s="28"/>
      <c r="AE230" s="28"/>
      <c r="AF230" s="28"/>
      <c r="AG230" s="28"/>
      <c r="AH230" s="28"/>
      <c r="AI230" s="28"/>
      <c r="AJ230" s="28"/>
      <c r="AK230" s="28"/>
      <c r="AL230" s="28"/>
      <c r="AM230" s="28"/>
      <c r="AN230" s="28"/>
      <c r="AO230" s="28"/>
      <c r="AP230" s="29"/>
    </row>
    <row r="231" spans="1:42" outlineLevel="1" x14ac:dyDescent="0.25">
      <c r="A231" s="12"/>
      <c r="B231" s="13"/>
      <c r="C231" s="44" t="s">
        <v>481</v>
      </c>
      <c r="D231" s="45"/>
      <c r="E231" s="15" t="s">
        <v>261</v>
      </c>
      <c r="F231" s="16"/>
      <c r="G231" s="183">
        <f>G230/(SUM(H21:AO21))</f>
        <v>1.042967968284175</v>
      </c>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9"/>
    </row>
    <row r="232" spans="1:42" outlineLevel="1" x14ac:dyDescent="0.25">
      <c r="A232" s="12"/>
      <c r="B232" s="13"/>
      <c r="C232" s="14"/>
      <c r="D232" s="14"/>
      <c r="E232" s="15"/>
      <c r="F232" s="16"/>
      <c r="G232" s="14"/>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17"/>
    </row>
    <row r="233" spans="1:42" outlineLevel="1" x14ac:dyDescent="0.25">
      <c r="A233" s="12"/>
      <c r="B233" s="13"/>
      <c r="C233" s="37" t="s">
        <v>515</v>
      </c>
      <c r="D233" s="37"/>
      <c r="E233" s="38"/>
      <c r="F233" s="39"/>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17"/>
    </row>
    <row r="234" spans="1:42" outlineLevel="1" x14ac:dyDescent="0.25">
      <c r="A234" s="12"/>
      <c r="B234" s="13"/>
      <c r="C234" s="14"/>
      <c r="D234" s="14"/>
      <c r="E234" s="15"/>
      <c r="F234" s="16"/>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row>
    <row r="235" spans="1:42" outlineLevel="1" x14ac:dyDescent="0.25">
      <c r="A235" s="12"/>
      <c r="B235" s="13"/>
      <c r="C235" s="20" t="s">
        <v>516</v>
      </c>
      <c r="D235" s="45"/>
      <c r="E235" s="15"/>
      <c r="F235" s="16"/>
      <c r="G235" s="165"/>
      <c r="H235" s="165"/>
      <c r="I235" s="165"/>
      <c r="J235" s="165"/>
      <c r="K235" s="165"/>
      <c r="L235" s="165"/>
      <c r="M235" s="165"/>
      <c r="N235" s="165"/>
      <c r="O235" s="165"/>
      <c r="P235" s="165"/>
      <c r="Q235" s="165"/>
      <c r="R235" s="165"/>
      <c r="S235" s="165"/>
      <c r="T235" s="165"/>
      <c r="U235" s="28"/>
      <c r="V235" s="28"/>
      <c r="W235" s="28"/>
      <c r="X235" s="28"/>
      <c r="Y235" s="28"/>
      <c r="Z235" s="28"/>
      <c r="AA235" s="28"/>
      <c r="AB235" s="28"/>
      <c r="AC235" s="28"/>
      <c r="AD235" s="28"/>
      <c r="AE235" s="28"/>
      <c r="AF235" s="28"/>
      <c r="AG235" s="28"/>
      <c r="AH235" s="28"/>
      <c r="AI235" s="28"/>
      <c r="AJ235" s="28"/>
      <c r="AK235" s="28"/>
      <c r="AL235" s="28"/>
      <c r="AM235" s="28"/>
      <c r="AN235" s="28"/>
      <c r="AO235" s="28"/>
      <c r="AP235" s="29"/>
    </row>
    <row r="236" spans="1:42" outlineLevel="1" x14ac:dyDescent="0.25">
      <c r="A236" s="12"/>
      <c r="B236" s="13"/>
      <c r="C236" s="45" t="s">
        <v>517</v>
      </c>
      <c r="D236" s="45"/>
      <c r="E236" s="15" t="s">
        <v>342</v>
      </c>
      <c r="F236" s="179">
        <f>Data!$E$354</f>
        <v>147000</v>
      </c>
      <c r="G236" s="165"/>
      <c r="H236" s="165"/>
      <c r="I236" s="165"/>
      <c r="J236" s="165"/>
      <c r="K236" s="165"/>
      <c r="L236" s="165"/>
      <c r="M236" s="165"/>
      <c r="N236" s="165"/>
      <c r="O236" s="165"/>
      <c r="P236" s="165"/>
      <c r="Q236" s="165"/>
      <c r="R236" s="165"/>
      <c r="S236" s="165"/>
      <c r="T236" s="165"/>
      <c r="U236" s="28"/>
      <c r="V236" s="28"/>
      <c r="W236" s="28"/>
      <c r="X236" s="28"/>
      <c r="Y236" s="28"/>
      <c r="Z236" s="28"/>
      <c r="AA236" s="28"/>
      <c r="AB236" s="28"/>
      <c r="AC236" s="28"/>
      <c r="AD236" s="28"/>
      <c r="AE236" s="28"/>
      <c r="AF236" s="28"/>
      <c r="AG236" s="28"/>
      <c r="AH236" s="28"/>
      <c r="AI236" s="28"/>
      <c r="AJ236" s="28"/>
      <c r="AK236" s="28"/>
      <c r="AL236" s="28"/>
      <c r="AM236" s="28"/>
      <c r="AN236" s="28"/>
      <c r="AO236" s="28"/>
      <c r="AP236" s="29"/>
    </row>
    <row r="237" spans="1:42" outlineLevel="1" x14ac:dyDescent="0.25">
      <c r="A237" s="12"/>
      <c r="B237" s="13"/>
      <c r="C237" s="45" t="s">
        <v>574</v>
      </c>
      <c r="D237" s="45"/>
      <c r="E237" s="15" t="s">
        <v>342</v>
      </c>
      <c r="F237" s="179">
        <f>Data!$E$355</f>
        <v>47000</v>
      </c>
      <c r="G237" s="165"/>
      <c r="H237" s="165"/>
      <c r="I237" s="165"/>
      <c r="J237" s="165"/>
      <c r="K237" s="165"/>
      <c r="L237" s="165"/>
      <c r="M237" s="165"/>
      <c r="N237" s="165"/>
      <c r="O237" s="165"/>
      <c r="P237" s="165"/>
      <c r="Q237" s="165"/>
      <c r="R237" s="165"/>
      <c r="S237" s="165"/>
      <c r="T237" s="165"/>
      <c r="U237" s="28"/>
      <c r="V237" s="28"/>
      <c r="W237" s="28"/>
      <c r="X237" s="28"/>
      <c r="Y237" s="28"/>
      <c r="Z237" s="28"/>
      <c r="AA237" s="28"/>
      <c r="AB237" s="28"/>
      <c r="AC237" s="28"/>
      <c r="AD237" s="28"/>
      <c r="AE237" s="28"/>
      <c r="AF237" s="28"/>
      <c r="AG237" s="28"/>
      <c r="AH237" s="28"/>
      <c r="AI237" s="28"/>
      <c r="AJ237" s="28"/>
      <c r="AK237" s="28"/>
      <c r="AL237" s="28"/>
      <c r="AM237" s="28"/>
      <c r="AN237" s="28"/>
      <c r="AO237" s="28"/>
      <c r="AP237" s="29"/>
    </row>
    <row r="238" spans="1:42" outlineLevel="1" x14ac:dyDescent="0.25">
      <c r="A238" s="12"/>
      <c r="B238" s="13"/>
      <c r="C238" s="45" t="s">
        <v>518</v>
      </c>
      <c r="D238" s="45"/>
      <c r="E238" s="15" t="s">
        <v>142</v>
      </c>
      <c r="F238" s="179"/>
      <c r="G238" s="186">
        <f>F236*Data!G16/1000</f>
        <v>12789</v>
      </c>
      <c r="H238" s="165"/>
      <c r="I238" s="165"/>
      <c r="J238" s="165"/>
      <c r="K238" s="165"/>
      <c r="L238" s="165"/>
      <c r="M238" s="165"/>
      <c r="N238" s="165"/>
      <c r="O238" s="165"/>
      <c r="P238" s="165"/>
      <c r="Q238" s="165"/>
      <c r="R238" s="165"/>
      <c r="S238" s="165"/>
      <c r="T238" s="165"/>
      <c r="U238" s="28"/>
      <c r="V238" s="28"/>
      <c r="W238" s="28"/>
      <c r="X238" s="28"/>
      <c r="Y238" s="28"/>
      <c r="Z238" s="28"/>
      <c r="AA238" s="28"/>
      <c r="AB238" s="28"/>
      <c r="AC238" s="28"/>
      <c r="AD238" s="28"/>
      <c r="AE238" s="28"/>
      <c r="AF238" s="28"/>
      <c r="AG238" s="28"/>
      <c r="AH238" s="28"/>
      <c r="AI238" s="28"/>
      <c r="AJ238" s="28"/>
      <c r="AK238" s="28"/>
      <c r="AL238" s="28"/>
      <c r="AM238" s="28"/>
      <c r="AN238" s="28"/>
      <c r="AO238" s="28"/>
      <c r="AP238" s="29"/>
    </row>
    <row r="239" spans="1:42" outlineLevel="1" x14ac:dyDescent="0.25">
      <c r="A239" s="12"/>
      <c r="B239" s="13"/>
      <c r="C239" s="45" t="s">
        <v>575</v>
      </c>
      <c r="D239" s="45"/>
      <c r="E239" s="15" t="s">
        <v>142</v>
      </c>
      <c r="F239" s="179"/>
      <c r="G239" s="186"/>
      <c r="H239" s="165">
        <f>IF(SUM(H183:H185)&gt;0,($F$119*Data!G$16*Data!G$9)/1000,0)</f>
        <v>0</v>
      </c>
      <c r="I239" s="165">
        <f>IF(SUM(I183:I185)&gt;0,($F$119*Data!H$16*Data!H$9)/1000,0)</f>
        <v>0</v>
      </c>
      <c r="J239" s="165">
        <f>IF(SUM(J183:J185)&gt;0,($F$119*Data!I$16*Data!I$9)/1000,0)</f>
        <v>0</v>
      </c>
      <c r="K239" s="165">
        <f>IF(SUM(K183:K185)&gt;0,($F$119*Data!J$16*Data!J$9)/1000,0)</f>
        <v>0</v>
      </c>
      <c r="L239" s="165">
        <f>IF(SUM(L183:L185)&gt;0,($F$119*Data!K$16*Data!K$9)/1000,0)</f>
        <v>0</v>
      </c>
      <c r="M239" s="165">
        <f>IF(SUM(M183:M185)&gt;0,($F$119*Data!L$16*Data!L$9)/1000,0)</f>
        <v>0</v>
      </c>
      <c r="N239" s="165">
        <f>IF(SUM(N183:N185)&gt;0,($F$119*Data!M$16*Data!M$9)/1000,0)</f>
        <v>0</v>
      </c>
      <c r="O239" s="165">
        <f>IF(SUM(O183:O185)&gt;0,($F$119*Data!N$16*Data!N$9)/1000,0)</f>
        <v>0</v>
      </c>
      <c r="P239" s="165">
        <f>IF(SUM(P183:P185)&gt;0,($F$119*Data!O$16*Data!O$9)/1000,0)</f>
        <v>0</v>
      </c>
      <c r="Q239" s="165">
        <f>IF(SUM(Q183:Q185)&gt;0,($F$119*Data!P$16*Data!P$9)/1000,0)</f>
        <v>5514.6032875582396</v>
      </c>
      <c r="R239" s="165">
        <f>IF(SUM(R183:R185)&gt;0,($F$119*Data!Q$16*Data!Q$9)/1000,0)</f>
        <v>0</v>
      </c>
      <c r="S239" s="165">
        <f>IF(SUM(S183:S185)&gt;0,($F$119*Data!R$16*Data!R$9)/1000,0)</f>
        <v>0</v>
      </c>
      <c r="T239" s="165">
        <f>IF(SUM(T183:T185)&gt;0,($F$119*Data!S$16*Data!S$9)/1000,0)</f>
        <v>0</v>
      </c>
      <c r="U239" s="165">
        <f>IF(SUM(U183:U185)&gt;0,($F$119*Data!T$16*Data!T$9)/1000,0)</f>
        <v>0</v>
      </c>
      <c r="V239" s="165">
        <f>IF(SUM(V183:V185)&gt;0,($F$119*Data!U$16*Data!U$9)/1000,0)</f>
        <v>0</v>
      </c>
      <c r="W239" s="165">
        <f>IF(SUM(W183:W185)&gt;0,($F$119*Data!V$16*Data!V$9)/1000,0)</f>
        <v>0</v>
      </c>
      <c r="X239" s="165">
        <f>IF(SUM(X183:X185)&gt;0,($F$119*Data!W$16*Data!W$9)/1000,0)</f>
        <v>0</v>
      </c>
      <c r="Y239" s="165">
        <f>IF(SUM(Y183:Y185)&gt;0,($F$119*Data!X$16*Data!X$9)/1000,0)</f>
        <v>0</v>
      </c>
      <c r="Z239" s="165">
        <f>IF(SUM(Z183:Z185)&gt;0,($F$119*Data!Y$16*Data!Y$9)/1000,0)</f>
        <v>0</v>
      </c>
      <c r="AA239" s="165">
        <f>IF(SUM(AA183:AA185)&gt;0,($F$119*Data!Z$16*Data!Z$9)/1000,0)</f>
        <v>0</v>
      </c>
      <c r="AB239" s="165">
        <f>IF(SUM(AB183:AB185)&gt;0,($F$119*Data!AA$16*Data!AA$9)/1000,0)</f>
        <v>0</v>
      </c>
      <c r="AC239" s="165">
        <f>IF(SUM(AC183:AC185)&gt;0,($F$119*Data!AB$16*Data!AB$9)/1000,0)</f>
        <v>0</v>
      </c>
      <c r="AD239" s="165">
        <f>IF(SUM(AD183:AD185)&gt;0,($F$119*Data!AC$16*Data!AC$9)/1000,0)</f>
        <v>0</v>
      </c>
      <c r="AE239" s="165">
        <f>IF(SUM(AE183:AE185)&gt;0,($F$119*Data!AD$16*Data!AD$9)/1000,0)</f>
        <v>0</v>
      </c>
      <c r="AF239" s="165">
        <f>IF(SUM(AF183:AF185)&gt;0,($F$119*Data!AE$16*Data!AE$9)/1000,0)</f>
        <v>0</v>
      </c>
      <c r="AG239" s="165">
        <f>IF(SUM(AG183:AG185)&gt;0,($F$119*Data!AF$16*Data!AF$9)/1000,0)</f>
        <v>0</v>
      </c>
      <c r="AH239" s="165">
        <f>IF(SUM(AH183:AH185)&gt;0,($F$119*Data!AG$16*Data!AG$9)/1000,0)</f>
        <v>0</v>
      </c>
      <c r="AI239" s="165">
        <f>IF(SUM(AI183:AI185)&gt;0,($F$119*Data!AH$16*Data!AH$9)/1000,0)</f>
        <v>0</v>
      </c>
      <c r="AJ239" s="165">
        <f>IF(SUM(AJ183:AJ185)&gt;0,($F$119*Data!AI$16*Data!AI$9)/1000,0)</f>
        <v>0</v>
      </c>
      <c r="AK239" s="165">
        <f>IF(SUM(AK183:AK185)&gt;0,($F$119*Data!AJ$16*Data!AJ$9)/1000,0)</f>
        <v>0</v>
      </c>
      <c r="AL239" s="165">
        <f>IF(SUM(AL183:AL185)&gt;0,($F$119*Data!AK$16*Data!AK$9)/1000,0)</f>
        <v>0</v>
      </c>
      <c r="AM239" s="165">
        <f>IF(SUM(AM183:AM185)&gt;0,($F$119*Data!AL$16*Data!AL$9)/1000,0)</f>
        <v>0</v>
      </c>
      <c r="AN239" s="165">
        <f>IF(SUM(AN183:AN185)&gt;0,($F$119*Data!AM$16*Data!AM$9)/1000,0)</f>
        <v>0</v>
      </c>
      <c r="AO239" s="165">
        <f>IF(SUM(AO183:AO185)&gt;0,($F$119*Data!AN$16*Data!AN$9)/1000,0)</f>
        <v>0</v>
      </c>
      <c r="AP239" s="29"/>
    </row>
    <row r="240" spans="1:42" outlineLevel="1" x14ac:dyDescent="0.25">
      <c r="A240" s="12"/>
      <c r="B240" s="13"/>
      <c r="C240" s="45" t="s">
        <v>577</v>
      </c>
      <c r="D240" s="45"/>
      <c r="E240" s="15"/>
      <c r="F240" s="179"/>
      <c r="G240" s="186">
        <f>(G238+SUM(H239:AO239))</f>
        <v>18303.603287558239</v>
      </c>
      <c r="H240" s="165"/>
      <c r="I240" s="165"/>
      <c r="J240" s="165"/>
      <c r="K240" s="165"/>
      <c r="L240" s="165"/>
      <c r="M240" s="165"/>
      <c r="N240" s="165"/>
      <c r="O240" s="165"/>
      <c r="P240" s="165"/>
      <c r="Q240" s="165"/>
      <c r="R240" s="165"/>
      <c r="S240" s="165"/>
      <c r="T240" s="165"/>
      <c r="U240" s="165"/>
      <c r="V240" s="165"/>
      <c r="W240" s="165"/>
      <c r="X240" s="165"/>
      <c r="Y240" s="165"/>
      <c r="Z240" s="165"/>
      <c r="AA240" s="165"/>
      <c r="AB240" s="165"/>
      <c r="AC240" s="165"/>
      <c r="AD240" s="165"/>
      <c r="AE240" s="165"/>
      <c r="AF240" s="165"/>
      <c r="AG240" s="165"/>
      <c r="AH240" s="165"/>
      <c r="AI240" s="165"/>
      <c r="AJ240" s="165"/>
      <c r="AK240" s="165"/>
      <c r="AL240" s="165"/>
      <c r="AM240" s="165"/>
      <c r="AN240" s="165"/>
      <c r="AO240" s="165"/>
      <c r="AP240" s="29"/>
    </row>
    <row r="241" spans="1:42" outlineLevel="1" x14ac:dyDescent="0.25">
      <c r="A241" s="12"/>
      <c r="B241" s="13"/>
      <c r="C241" s="45" t="s">
        <v>518</v>
      </c>
      <c r="D241" s="45"/>
      <c r="E241" s="15" t="s">
        <v>261</v>
      </c>
      <c r="F241" s="179"/>
      <c r="G241" s="184">
        <f>G240/(SUM(I21:AN21))</f>
        <v>9.7775658587383758E-3</v>
      </c>
      <c r="H241" s="165"/>
      <c r="I241" s="165"/>
      <c r="J241" s="165"/>
      <c r="K241" s="165"/>
      <c r="L241" s="165"/>
      <c r="M241" s="165"/>
      <c r="N241" s="165"/>
      <c r="O241" s="165"/>
      <c r="P241" s="165"/>
      <c r="Q241" s="165"/>
      <c r="R241" s="165"/>
      <c r="S241" s="165"/>
      <c r="T241" s="165"/>
      <c r="U241" s="28"/>
      <c r="V241" s="28"/>
      <c r="W241" s="28"/>
      <c r="X241" s="28"/>
      <c r="Y241" s="28"/>
      <c r="Z241" s="28"/>
      <c r="AA241" s="28"/>
      <c r="AB241" s="28"/>
      <c r="AC241" s="28"/>
      <c r="AD241" s="28"/>
      <c r="AE241" s="28"/>
      <c r="AF241" s="28"/>
      <c r="AG241" s="28"/>
      <c r="AH241" s="28"/>
      <c r="AI241" s="28"/>
      <c r="AJ241" s="28"/>
      <c r="AK241" s="28"/>
      <c r="AL241" s="28"/>
      <c r="AM241" s="28"/>
      <c r="AN241" s="28"/>
      <c r="AO241" s="28"/>
      <c r="AP241" s="29"/>
    </row>
    <row r="242" spans="1:42" outlineLevel="1" x14ac:dyDescent="0.25">
      <c r="A242" s="12"/>
      <c r="B242" s="13"/>
      <c r="C242" s="20"/>
      <c r="D242" s="19"/>
      <c r="E242" s="15"/>
      <c r="F242" s="16"/>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7"/>
    </row>
    <row r="243" spans="1:42" outlineLevel="1" x14ac:dyDescent="0.25">
      <c r="A243" s="12"/>
      <c r="B243" s="13"/>
      <c r="C243" s="20" t="s">
        <v>519</v>
      </c>
      <c r="D243" s="19"/>
      <c r="E243" s="15"/>
      <c r="F243" s="16"/>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7"/>
    </row>
    <row r="244" spans="1:42" outlineLevel="1" x14ac:dyDescent="0.25">
      <c r="A244" s="12"/>
      <c r="B244" s="13"/>
      <c r="C244" t="s">
        <v>520</v>
      </c>
      <c r="D244" s="14"/>
      <c r="E244" s="15" t="s">
        <v>521</v>
      </c>
      <c r="F244" s="16"/>
      <c r="G244" s="14"/>
      <c r="H244" s="141"/>
      <c r="I244" s="141">
        <f t="shared" ref="I244:AD244" si="73">I21</f>
        <v>93600</v>
      </c>
      <c r="J244" s="141">
        <f t="shared" si="73"/>
        <v>93600</v>
      </c>
      <c r="K244" s="141">
        <f t="shared" si="73"/>
        <v>93600</v>
      </c>
      <c r="L244" s="141">
        <f t="shared" si="73"/>
        <v>93600</v>
      </c>
      <c r="M244" s="141">
        <f t="shared" si="73"/>
        <v>93600</v>
      </c>
      <c r="N244" s="141">
        <f t="shared" si="73"/>
        <v>93600</v>
      </c>
      <c r="O244" s="141">
        <f t="shared" si="73"/>
        <v>93600</v>
      </c>
      <c r="P244" s="141">
        <f t="shared" si="73"/>
        <v>93600</v>
      </c>
      <c r="Q244" s="141">
        <f t="shared" si="73"/>
        <v>93600</v>
      </c>
      <c r="R244" s="141">
        <f t="shared" si="73"/>
        <v>93600</v>
      </c>
      <c r="S244" s="141">
        <f t="shared" si="73"/>
        <v>93600</v>
      </c>
      <c r="T244" s="141">
        <f t="shared" si="73"/>
        <v>93600</v>
      </c>
      <c r="U244" s="141">
        <f t="shared" si="73"/>
        <v>93600</v>
      </c>
      <c r="V244" s="141">
        <f t="shared" si="73"/>
        <v>93600</v>
      </c>
      <c r="W244" s="141">
        <f t="shared" si="73"/>
        <v>93600</v>
      </c>
      <c r="X244" s="141">
        <f t="shared" si="73"/>
        <v>93600</v>
      </c>
      <c r="Y244" s="141">
        <f t="shared" si="73"/>
        <v>93600</v>
      </c>
      <c r="Z244" s="141">
        <f t="shared" si="73"/>
        <v>93600</v>
      </c>
      <c r="AA244" s="141">
        <f t="shared" si="73"/>
        <v>93600</v>
      </c>
      <c r="AB244" s="141">
        <f t="shared" si="73"/>
        <v>93600</v>
      </c>
      <c r="AC244" s="141">
        <f t="shared" si="73"/>
        <v>0</v>
      </c>
      <c r="AD244" s="141">
        <f t="shared" si="73"/>
        <v>0</v>
      </c>
      <c r="AE244" s="141">
        <f t="shared" ref="AE244:AN244" si="74">AE173</f>
        <v>0</v>
      </c>
      <c r="AF244" s="141">
        <f t="shared" si="74"/>
        <v>0</v>
      </c>
      <c r="AG244" s="141">
        <f t="shared" si="74"/>
        <v>0</v>
      </c>
      <c r="AH244" s="141">
        <f t="shared" si="74"/>
        <v>0</v>
      </c>
      <c r="AI244" s="141">
        <f t="shared" si="74"/>
        <v>0</v>
      </c>
      <c r="AJ244" s="141">
        <f t="shared" si="74"/>
        <v>0</v>
      </c>
      <c r="AK244" s="141">
        <f t="shared" si="74"/>
        <v>0</v>
      </c>
      <c r="AL244" s="141">
        <f t="shared" si="74"/>
        <v>0</v>
      </c>
      <c r="AM244" s="141">
        <f t="shared" si="74"/>
        <v>0</v>
      </c>
      <c r="AN244" s="141">
        <f t="shared" si="74"/>
        <v>0</v>
      </c>
      <c r="AO244" s="141"/>
      <c r="AP244" s="14"/>
    </row>
    <row r="245" spans="1:42" outlineLevel="1" x14ac:dyDescent="0.25">
      <c r="A245" s="12"/>
      <c r="B245" s="13"/>
      <c r="C245" s="20" t="s">
        <v>483</v>
      </c>
      <c r="D245" s="14"/>
      <c r="E245" s="15"/>
      <c r="F245" s="16"/>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4"/>
      <c r="AH245" s="14"/>
      <c r="AI245" s="14"/>
      <c r="AJ245" s="14"/>
      <c r="AK245" s="14"/>
      <c r="AL245" s="14"/>
      <c r="AM245" s="14"/>
      <c r="AN245" s="14"/>
      <c r="AO245" s="14"/>
      <c r="AP245" s="14"/>
    </row>
    <row r="246" spans="1:42" ht="14.25" customHeight="1" outlineLevel="1" x14ac:dyDescent="0.25">
      <c r="A246" s="54"/>
      <c r="B246" s="13"/>
      <c r="C246" s="14" t="s">
        <v>205</v>
      </c>
      <c r="D246" s="14"/>
      <c r="E246" s="70" t="s">
        <v>352</v>
      </c>
      <c r="F246" s="201">
        <f>Data!E455</f>
        <v>0</v>
      </c>
      <c r="G246" s="56"/>
      <c r="H246" s="56"/>
      <c r="I246" s="56">
        <f>I$244*$F$246</f>
        <v>0</v>
      </c>
      <c r="J246" s="56">
        <f t="shared" ref="J246:AC246" si="75">J$244*$F$246</f>
        <v>0</v>
      </c>
      <c r="K246" s="56">
        <f t="shared" si="75"/>
        <v>0</v>
      </c>
      <c r="L246" s="56">
        <f t="shared" si="75"/>
        <v>0</v>
      </c>
      <c r="M246" s="56">
        <f t="shared" si="75"/>
        <v>0</v>
      </c>
      <c r="N246" s="56">
        <f t="shared" si="75"/>
        <v>0</v>
      </c>
      <c r="O246" s="56">
        <f t="shared" si="75"/>
        <v>0</v>
      </c>
      <c r="P246" s="56">
        <f t="shared" si="75"/>
        <v>0</v>
      </c>
      <c r="Q246" s="56">
        <f t="shared" si="75"/>
        <v>0</v>
      </c>
      <c r="R246" s="56">
        <f t="shared" si="75"/>
        <v>0</v>
      </c>
      <c r="S246" s="56">
        <f t="shared" si="75"/>
        <v>0</v>
      </c>
      <c r="T246" s="56">
        <f t="shared" si="75"/>
        <v>0</v>
      </c>
      <c r="U246" s="56">
        <f t="shared" si="75"/>
        <v>0</v>
      </c>
      <c r="V246" s="56">
        <f t="shared" si="75"/>
        <v>0</v>
      </c>
      <c r="W246" s="56">
        <f t="shared" si="75"/>
        <v>0</v>
      </c>
      <c r="X246" s="56">
        <f t="shared" si="75"/>
        <v>0</v>
      </c>
      <c r="Y246" s="56">
        <f t="shared" si="75"/>
        <v>0</v>
      </c>
      <c r="Z246" s="56">
        <f t="shared" si="75"/>
        <v>0</v>
      </c>
      <c r="AA246" s="56">
        <f t="shared" si="75"/>
        <v>0</v>
      </c>
      <c r="AB246" s="56">
        <f t="shared" si="75"/>
        <v>0</v>
      </c>
      <c r="AC246" s="56">
        <f t="shared" si="75"/>
        <v>0</v>
      </c>
      <c r="AD246" s="56"/>
      <c r="AE246" s="56"/>
      <c r="AF246" s="56"/>
      <c r="AG246" s="56"/>
      <c r="AH246" s="56"/>
      <c r="AI246" s="56"/>
      <c r="AJ246" s="56"/>
      <c r="AK246" s="56"/>
      <c r="AL246" s="56"/>
      <c r="AM246" s="56"/>
      <c r="AN246" s="56"/>
      <c r="AO246" s="56"/>
      <c r="AP246" s="29"/>
    </row>
    <row r="247" spans="1:42" outlineLevel="1" x14ac:dyDescent="0.25">
      <c r="A247" s="54"/>
      <c r="B247" s="13"/>
      <c r="C247" s="14" t="s">
        <v>484</v>
      </c>
      <c r="D247" s="14"/>
      <c r="E247" s="70" t="s">
        <v>352</v>
      </c>
      <c r="F247" s="201">
        <f>Data!E456</f>
        <v>0.15968215015849699</v>
      </c>
      <c r="G247" s="56"/>
      <c r="H247" s="56"/>
      <c r="I247" s="56">
        <f>I$244*$F$247</f>
        <v>14946.249254835318</v>
      </c>
      <c r="J247" s="56">
        <f t="shared" ref="J247:AC247" si="76">J$244*$F$247</f>
        <v>14946.249254835318</v>
      </c>
      <c r="K247" s="56">
        <f t="shared" si="76"/>
        <v>14946.249254835318</v>
      </c>
      <c r="L247" s="56">
        <f t="shared" si="76"/>
        <v>14946.249254835318</v>
      </c>
      <c r="M247" s="56">
        <f t="shared" si="76"/>
        <v>14946.249254835318</v>
      </c>
      <c r="N247" s="56">
        <f t="shared" si="76"/>
        <v>14946.249254835318</v>
      </c>
      <c r="O247" s="56">
        <f t="shared" si="76"/>
        <v>14946.249254835318</v>
      </c>
      <c r="P247" s="56">
        <f t="shared" si="76"/>
        <v>14946.249254835318</v>
      </c>
      <c r="Q247" s="56">
        <f t="shared" si="76"/>
        <v>14946.249254835318</v>
      </c>
      <c r="R247" s="56">
        <f t="shared" si="76"/>
        <v>14946.249254835318</v>
      </c>
      <c r="S247" s="56">
        <f t="shared" si="76"/>
        <v>14946.249254835318</v>
      </c>
      <c r="T247" s="56">
        <f t="shared" si="76"/>
        <v>14946.249254835318</v>
      </c>
      <c r="U247" s="56">
        <f t="shared" si="76"/>
        <v>14946.249254835318</v>
      </c>
      <c r="V247" s="56">
        <f t="shared" si="76"/>
        <v>14946.249254835318</v>
      </c>
      <c r="W247" s="56">
        <f t="shared" si="76"/>
        <v>14946.249254835318</v>
      </c>
      <c r="X247" s="56">
        <f t="shared" si="76"/>
        <v>14946.249254835318</v>
      </c>
      <c r="Y247" s="56">
        <f t="shared" si="76"/>
        <v>14946.249254835318</v>
      </c>
      <c r="Z247" s="56">
        <f t="shared" si="76"/>
        <v>14946.249254835318</v>
      </c>
      <c r="AA247" s="56">
        <f t="shared" si="76"/>
        <v>14946.249254835318</v>
      </c>
      <c r="AB247" s="56">
        <f t="shared" si="76"/>
        <v>14946.249254835318</v>
      </c>
      <c r="AC247" s="56">
        <f t="shared" si="76"/>
        <v>0</v>
      </c>
      <c r="AD247" s="56"/>
      <c r="AE247" s="56"/>
      <c r="AF247" s="56"/>
      <c r="AG247" s="56"/>
      <c r="AH247" s="56"/>
      <c r="AI247" s="56"/>
      <c r="AJ247" s="56"/>
      <c r="AK247" s="56"/>
      <c r="AL247" s="56"/>
      <c r="AM247" s="56"/>
      <c r="AN247" s="56"/>
      <c r="AO247" s="56"/>
      <c r="AP247" s="29"/>
    </row>
    <row r="248" spans="1:42" outlineLevel="1" x14ac:dyDescent="0.25">
      <c r="A248" s="54"/>
      <c r="B248" s="13"/>
      <c r="C248" s="14" t="s">
        <v>285</v>
      </c>
      <c r="D248" s="14"/>
      <c r="E248" s="70" t="s">
        <v>352</v>
      </c>
      <c r="F248" s="201">
        <f>Data!E457</f>
        <v>0</v>
      </c>
      <c r="G248" s="56"/>
      <c r="H248" s="56"/>
      <c r="I248" s="56">
        <f>I$244*$F$248</f>
        <v>0</v>
      </c>
      <c r="J248" s="56">
        <f t="shared" ref="J248:AC248" si="77">J$244*$F$248</f>
        <v>0</v>
      </c>
      <c r="K248" s="56">
        <f t="shared" si="77"/>
        <v>0</v>
      </c>
      <c r="L248" s="56">
        <f t="shared" si="77"/>
        <v>0</v>
      </c>
      <c r="M248" s="56">
        <f t="shared" si="77"/>
        <v>0</v>
      </c>
      <c r="N248" s="56">
        <f t="shared" si="77"/>
        <v>0</v>
      </c>
      <c r="O248" s="56">
        <f t="shared" si="77"/>
        <v>0</v>
      </c>
      <c r="P248" s="56">
        <f t="shared" si="77"/>
        <v>0</v>
      </c>
      <c r="Q248" s="56">
        <f t="shared" si="77"/>
        <v>0</v>
      </c>
      <c r="R248" s="56">
        <f t="shared" si="77"/>
        <v>0</v>
      </c>
      <c r="S248" s="56">
        <f t="shared" si="77"/>
        <v>0</v>
      </c>
      <c r="T248" s="56">
        <f t="shared" si="77"/>
        <v>0</v>
      </c>
      <c r="U248" s="56">
        <f t="shared" si="77"/>
        <v>0</v>
      </c>
      <c r="V248" s="56">
        <f t="shared" si="77"/>
        <v>0</v>
      </c>
      <c r="W248" s="56">
        <f t="shared" si="77"/>
        <v>0</v>
      </c>
      <c r="X248" s="56">
        <f t="shared" si="77"/>
        <v>0</v>
      </c>
      <c r="Y248" s="56">
        <f t="shared" si="77"/>
        <v>0</v>
      </c>
      <c r="Z248" s="56">
        <f t="shared" si="77"/>
        <v>0</v>
      </c>
      <c r="AA248" s="56">
        <f t="shared" si="77"/>
        <v>0</v>
      </c>
      <c r="AB248" s="56">
        <f t="shared" si="77"/>
        <v>0</v>
      </c>
      <c r="AC248" s="56">
        <f t="shared" si="77"/>
        <v>0</v>
      </c>
      <c r="AD248" s="56"/>
      <c r="AE248" s="56"/>
      <c r="AF248" s="56"/>
      <c r="AG248" s="56"/>
      <c r="AH248" s="56"/>
      <c r="AI248" s="56"/>
      <c r="AJ248" s="56"/>
      <c r="AK248" s="56"/>
      <c r="AL248" s="56"/>
      <c r="AM248" s="56"/>
      <c r="AN248" s="56"/>
      <c r="AO248" s="56"/>
      <c r="AP248" s="29"/>
    </row>
    <row r="249" spans="1:42" outlineLevel="1" x14ac:dyDescent="0.25">
      <c r="A249" s="54"/>
      <c r="B249" s="13"/>
      <c r="C249" s="14" t="s">
        <v>220</v>
      </c>
      <c r="D249" s="14"/>
      <c r="E249" s="70" t="s">
        <v>352</v>
      </c>
      <c r="F249" s="201">
        <f>Data!E458</f>
        <v>0</v>
      </c>
      <c r="G249" s="56"/>
      <c r="H249" s="56"/>
      <c r="I249" s="56">
        <f>I$244*$F$249</f>
        <v>0</v>
      </c>
      <c r="J249" s="56">
        <f t="shared" ref="J249:AC249" si="78">J$244*$F$249</f>
        <v>0</v>
      </c>
      <c r="K249" s="56">
        <f t="shared" si="78"/>
        <v>0</v>
      </c>
      <c r="L249" s="56">
        <f t="shared" si="78"/>
        <v>0</v>
      </c>
      <c r="M249" s="56">
        <f t="shared" si="78"/>
        <v>0</v>
      </c>
      <c r="N249" s="56">
        <f t="shared" si="78"/>
        <v>0</v>
      </c>
      <c r="O249" s="56">
        <f t="shared" si="78"/>
        <v>0</v>
      </c>
      <c r="P249" s="56">
        <f t="shared" si="78"/>
        <v>0</v>
      </c>
      <c r="Q249" s="56">
        <f t="shared" si="78"/>
        <v>0</v>
      </c>
      <c r="R249" s="56">
        <f t="shared" si="78"/>
        <v>0</v>
      </c>
      <c r="S249" s="56">
        <f t="shared" si="78"/>
        <v>0</v>
      </c>
      <c r="T249" s="56">
        <f t="shared" si="78"/>
        <v>0</v>
      </c>
      <c r="U249" s="56">
        <f t="shared" si="78"/>
        <v>0</v>
      </c>
      <c r="V249" s="56">
        <f t="shared" si="78"/>
        <v>0</v>
      </c>
      <c r="W249" s="56">
        <f t="shared" si="78"/>
        <v>0</v>
      </c>
      <c r="X249" s="56">
        <f t="shared" si="78"/>
        <v>0</v>
      </c>
      <c r="Y249" s="56">
        <f t="shared" si="78"/>
        <v>0</v>
      </c>
      <c r="Z249" s="56">
        <f t="shared" si="78"/>
        <v>0</v>
      </c>
      <c r="AA249" s="56">
        <f t="shared" si="78"/>
        <v>0</v>
      </c>
      <c r="AB249" s="56">
        <f t="shared" si="78"/>
        <v>0</v>
      </c>
      <c r="AC249" s="56">
        <f t="shared" si="78"/>
        <v>0</v>
      </c>
      <c r="AD249" s="56"/>
      <c r="AE249" s="56"/>
      <c r="AF249" s="56"/>
      <c r="AG249" s="56"/>
      <c r="AH249" s="56"/>
      <c r="AI249" s="56"/>
      <c r="AJ249" s="56"/>
      <c r="AK249" s="56"/>
      <c r="AL249" s="56"/>
      <c r="AM249" s="56"/>
      <c r="AN249" s="56"/>
      <c r="AO249" s="56"/>
      <c r="AP249" s="29"/>
    </row>
    <row r="250" spans="1:42" outlineLevel="1" x14ac:dyDescent="0.25">
      <c r="A250" s="54"/>
      <c r="B250" s="13"/>
      <c r="C250" s="14" t="s">
        <v>212</v>
      </c>
      <c r="D250" s="14"/>
      <c r="E250" s="70" t="s">
        <v>352</v>
      </c>
      <c r="F250" s="201">
        <f>Data!E459</f>
        <v>0</v>
      </c>
      <c r="G250" s="56"/>
      <c r="H250" s="56"/>
      <c r="I250" s="56">
        <f>I$244*$F$250</f>
        <v>0</v>
      </c>
      <c r="J250" s="56">
        <f t="shared" ref="J250:AC250" si="79">J$244*$F$250</f>
        <v>0</v>
      </c>
      <c r="K250" s="56">
        <f t="shared" si="79"/>
        <v>0</v>
      </c>
      <c r="L250" s="56">
        <f t="shared" si="79"/>
        <v>0</v>
      </c>
      <c r="M250" s="56">
        <f t="shared" si="79"/>
        <v>0</v>
      </c>
      <c r="N250" s="56">
        <f t="shared" si="79"/>
        <v>0</v>
      </c>
      <c r="O250" s="56">
        <f t="shared" si="79"/>
        <v>0</v>
      </c>
      <c r="P250" s="56">
        <f t="shared" si="79"/>
        <v>0</v>
      </c>
      <c r="Q250" s="56">
        <f t="shared" si="79"/>
        <v>0</v>
      </c>
      <c r="R250" s="56">
        <f t="shared" si="79"/>
        <v>0</v>
      </c>
      <c r="S250" s="56">
        <f t="shared" si="79"/>
        <v>0</v>
      </c>
      <c r="T250" s="56">
        <f t="shared" si="79"/>
        <v>0</v>
      </c>
      <c r="U250" s="56">
        <f t="shared" si="79"/>
        <v>0</v>
      </c>
      <c r="V250" s="56">
        <f t="shared" si="79"/>
        <v>0</v>
      </c>
      <c r="W250" s="56">
        <f t="shared" si="79"/>
        <v>0</v>
      </c>
      <c r="X250" s="56">
        <f t="shared" si="79"/>
        <v>0</v>
      </c>
      <c r="Y250" s="56">
        <f t="shared" si="79"/>
        <v>0</v>
      </c>
      <c r="Z250" s="56">
        <f t="shared" si="79"/>
        <v>0</v>
      </c>
      <c r="AA250" s="56">
        <f t="shared" si="79"/>
        <v>0</v>
      </c>
      <c r="AB250" s="56">
        <f t="shared" si="79"/>
        <v>0</v>
      </c>
      <c r="AC250" s="56">
        <f t="shared" si="79"/>
        <v>0</v>
      </c>
      <c r="AD250" s="56"/>
      <c r="AE250" s="56"/>
      <c r="AF250" s="56"/>
      <c r="AG250" s="56"/>
      <c r="AH250" s="56"/>
      <c r="AI250" s="56"/>
      <c r="AJ250" s="56"/>
      <c r="AK250" s="56"/>
      <c r="AL250" s="56"/>
      <c r="AM250" s="56"/>
      <c r="AN250" s="56"/>
      <c r="AO250" s="56"/>
      <c r="AP250" s="29"/>
    </row>
    <row r="251" spans="1:42" outlineLevel="1" x14ac:dyDescent="0.25">
      <c r="A251" s="54"/>
      <c r="B251" s="13"/>
      <c r="C251" s="14" t="s">
        <v>485</v>
      </c>
      <c r="D251" s="14"/>
      <c r="E251" s="70" t="s">
        <v>352</v>
      </c>
      <c r="F251" s="201">
        <f>Data!E460</f>
        <v>0</v>
      </c>
      <c r="G251" s="56"/>
      <c r="H251" s="56"/>
      <c r="I251" s="56">
        <f>I$244*$F$251</f>
        <v>0</v>
      </c>
      <c r="J251" s="56">
        <f t="shared" ref="J251:AC251" si="80">J$244*$F$251</f>
        <v>0</v>
      </c>
      <c r="K251" s="56">
        <f t="shared" si="80"/>
        <v>0</v>
      </c>
      <c r="L251" s="56">
        <f t="shared" si="80"/>
        <v>0</v>
      </c>
      <c r="M251" s="56">
        <f t="shared" si="80"/>
        <v>0</v>
      </c>
      <c r="N251" s="56">
        <f t="shared" si="80"/>
        <v>0</v>
      </c>
      <c r="O251" s="56">
        <f t="shared" si="80"/>
        <v>0</v>
      </c>
      <c r="P251" s="56">
        <f t="shared" si="80"/>
        <v>0</v>
      </c>
      <c r="Q251" s="56">
        <f t="shared" si="80"/>
        <v>0</v>
      </c>
      <c r="R251" s="56">
        <f t="shared" si="80"/>
        <v>0</v>
      </c>
      <c r="S251" s="56">
        <f t="shared" si="80"/>
        <v>0</v>
      </c>
      <c r="T251" s="56">
        <f t="shared" si="80"/>
        <v>0</v>
      </c>
      <c r="U251" s="56">
        <f t="shared" si="80"/>
        <v>0</v>
      </c>
      <c r="V251" s="56">
        <f t="shared" si="80"/>
        <v>0</v>
      </c>
      <c r="W251" s="56">
        <f t="shared" si="80"/>
        <v>0</v>
      </c>
      <c r="X251" s="56">
        <f t="shared" si="80"/>
        <v>0</v>
      </c>
      <c r="Y251" s="56">
        <f t="shared" si="80"/>
        <v>0</v>
      </c>
      <c r="Z251" s="56">
        <f t="shared" si="80"/>
        <v>0</v>
      </c>
      <c r="AA251" s="56">
        <f t="shared" si="80"/>
        <v>0</v>
      </c>
      <c r="AB251" s="56">
        <f t="shared" si="80"/>
        <v>0</v>
      </c>
      <c r="AC251" s="56">
        <f t="shared" si="80"/>
        <v>0</v>
      </c>
      <c r="AD251" s="56"/>
      <c r="AE251" s="56"/>
      <c r="AF251" s="56"/>
      <c r="AG251" s="56"/>
      <c r="AH251" s="56"/>
      <c r="AI251" s="56"/>
      <c r="AJ251" s="56"/>
      <c r="AK251" s="56"/>
      <c r="AL251" s="56"/>
      <c r="AM251" s="56"/>
      <c r="AN251" s="56"/>
      <c r="AO251" s="56"/>
      <c r="AP251" s="29"/>
    </row>
    <row r="252" spans="1:42" outlineLevel="1" x14ac:dyDescent="0.25">
      <c r="A252" s="54"/>
      <c r="B252" s="13"/>
      <c r="C252" s="14" t="s">
        <v>214</v>
      </c>
      <c r="D252" s="14"/>
      <c r="E252" s="70" t="s">
        <v>352</v>
      </c>
      <c r="F252" s="201">
        <f>Data!E461/1000</f>
        <v>3.3242820000000001E-5</v>
      </c>
      <c r="G252" s="56"/>
      <c r="H252" s="56"/>
      <c r="I252" s="56">
        <f>I$244*$F$252</f>
        <v>3.1115279519999999</v>
      </c>
      <c r="J252" s="56">
        <f t="shared" ref="J252:AC252" si="81">J$244*$F$252</f>
        <v>3.1115279519999999</v>
      </c>
      <c r="K252" s="56">
        <f t="shared" si="81"/>
        <v>3.1115279519999999</v>
      </c>
      <c r="L252" s="56">
        <f t="shared" si="81"/>
        <v>3.1115279519999999</v>
      </c>
      <c r="M252" s="56">
        <f t="shared" si="81"/>
        <v>3.1115279519999999</v>
      </c>
      <c r="N252" s="56">
        <f t="shared" si="81"/>
        <v>3.1115279519999999</v>
      </c>
      <c r="O252" s="56">
        <f t="shared" si="81"/>
        <v>3.1115279519999999</v>
      </c>
      <c r="P252" s="56">
        <f t="shared" si="81"/>
        <v>3.1115279519999999</v>
      </c>
      <c r="Q252" s="56">
        <f t="shared" si="81"/>
        <v>3.1115279519999999</v>
      </c>
      <c r="R252" s="56">
        <f t="shared" si="81"/>
        <v>3.1115279519999999</v>
      </c>
      <c r="S252" s="56">
        <f t="shared" si="81"/>
        <v>3.1115279519999999</v>
      </c>
      <c r="T252" s="56">
        <f t="shared" si="81"/>
        <v>3.1115279519999999</v>
      </c>
      <c r="U252" s="56">
        <f t="shared" si="81"/>
        <v>3.1115279519999999</v>
      </c>
      <c r="V252" s="56">
        <f t="shared" si="81"/>
        <v>3.1115279519999999</v>
      </c>
      <c r="W252" s="56">
        <f t="shared" si="81"/>
        <v>3.1115279519999999</v>
      </c>
      <c r="X252" s="56">
        <f t="shared" si="81"/>
        <v>3.1115279519999999</v>
      </c>
      <c r="Y252" s="56">
        <f t="shared" si="81"/>
        <v>3.1115279519999999</v>
      </c>
      <c r="Z252" s="56">
        <f t="shared" si="81"/>
        <v>3.1115279519999999</v>
      </c>
      <c r="AA252" s="56">
        <f t="shared" si="81"/>
        <v>3.1115279519999999</v>
      </c>
      <c r="AB252" s="56">
        <f t="shared" si="81"/>
        <v>3.1115279519999999</v>
      </c>
      <c r="AC252" s="56">
        <f t="shared" si="81"/>
        <v>0</v>
      </c>
      <c r="AD252" s="56"/>
      <c r="AE252" s="56"/>
      <c r="AF252" s="56"/>
      <c r="AG252" s="56"/>
      <c r="AH252" s="56"/>
      <c r="AI252" s="56"/>
      <c r="AJ252" s="56"/>
      <c r="AK252" s="56"/>
      <c r="AL252" s="56"/>
      <c r="AM252" s="56"/>
      <c r="AN252" s="56"/>
      <c r="AO252" s="56"/>
      <c r="AP252" s="29"/>
    </row>
    <row r="253" spans="1:42" outlineLevel="1" x14ac:dyDescent="0.25">
      <c r="A253" s="12"/>
      <c r="B253" s="13"/>
      <c r="C253" s="14"/>
      <c r="D253" s="14"/>
      <c r="E253" s="15"/>
      <c r="F253" s="16"/>
      <c r="G253" s="159"/>
      <c r="H253" s="159"/>
      <c r="I253" s="56"/>
      <c r="J253" s="56"/>
      <c r="K253" s="56"/>
      <c r="L253" s="56"/>
      <c r="M253" s="56"/>
      <c r="N253" s="56"/>
      <c r="O253" s="56"/>
      <c r="P253" s="56"/>
      <c r="Q253" s="56"/>
      <c r="R253" s="56"/>
      <c r="S253" s="56"/>
      <c r="T253" s="56"/>
      <c r="U253" s="56"/>
      <c r="V253" s="56"/>
      <c r="W253" s="56"/>
      <c r="X253" s="56"/>
      <c r="Y253" s="56"/>
      <c r="Z253" s="56"/>
      <c r="AA253" s="56"/>
      <c r="AB253" s="56"/>
      <c r="AC253" s="14"/>
      <c r="AD253" s="14"/>
      <c r="AE253" s="14"/>
      <c r="AF253" s="14"/>
      <c r="AG253" s="14"/>
      <c r="AH253" s="14"/>
      <c r="AI253" s="14"/>
      <c r="AJ253" s="14"/>
      <c r="AK253" s="14"/>
      <c r="AL253" s="14"/>
      <c r="AM253" s="14"/>
      <c r="AN253" s="14"/>
      <c r="AO253" s="14"/>
      <c r="AP253" s="14"/>
    </row>
    <row r="254" spans="1:42" outlineLevel="1" x14ac:dyDescent="0.25">
      <c r="A254" s="54"/>
      <c r="B254" s="13"/>
      <c r="C254" s="14" t="s">
        <v>205</v>
      </c>
      <c r="D254" s="14"/>
      <c r="E254" s="70" t="s">
        <v>474</v>
      </c>
      <c r="F254" s="200">
        <f>Data!$E$35/1000</f>
        <v>3.4099438202247192E-3</v>
      </c>
      <c r="G254" s="56"/>
      <c r="H254" s="56"/>
      <c r="I254" s="56">
        <f>I246*$F$254</f>
        <v>0</v>
      </c>
      <c r="J254" s="56">
        <f t="shared" ref="J254:AC254" si="82">J246*$F$254</f>
        <v>0</v>
      </c>
      <c r="K254" s="56">
        <f t="shared" si="82"/>
        <v>0</v>
      </c>
      <c r="L254" s="56">
        <f t="shared" si="82"/>
        <v>0</v>
      </c>
      <c r="M254" s="56">
        <f t="shared" si="82"/>
        <v>0</v>
      </c>
      <c r="N254" s="56">
        <f t="shared" si="82"/>
        <v>0</v>
      </c>
      <c r="O254" s="56">
        <f t="shared" si="82"/>
        <v>0</v>
      </c>
      <c r="P254" s="56">
        <f t="shared" si="82"/>
        <v>0</v>
      </c>
      <c r="Q254" s="56">
        <f t="shared" si="82"/>
        <v>0</v>
      </c>
      <c r="R254" s="56">
        <f t="shared" si="82"/>
        <v>0</v>
      </c>
      <c r="S254" s="56">
        <f t="shared" si="82"/>
        <v>0</v>
      </c>
      <c r="T254" s="56">
        <f t="shared" si="82"/>
        <v>0</v>
      </c>
      <c r="U254" s="56">
        <f t="shared" si="82"/>
        <v>0</v>
      </c>
      <c r="V254" s="56">
        <f t="shared" si="82"/>
        <v>0</v>
      </c>
      <c r="W254" s="56">
        <f t="shared" si="82"/>
        <v>0</v>
      </c>
      <c r="X254" s="56">
        <f t="shared" si="82"/>
        <v>0</v>
      </c>
      <c r="Y254" s="56">
        <f t="shared" si="82"/>
        <v>0</v>
      </c>
      <c r="Z254" s="56">
        <f t="shared" si="82"/>
        <v>0</v>
      </c>
      <c r="AA254" s="56">
        <f t="shared" si="82"/>
        <v>0</v>
      </c>
      <c r="AB254" s="56">
        <f t="shared" si="82"/>
        <v>0</v>
      </c>
      <c r="AC254" s="56">
        <f t="shared" si="82"/>
        <v>0</v>
      </c>
      <c r="AD254" s="56"/>
      <c r="AE254" s="56"/>
      <c r="AF254" s="56"/>
      <c r="AG254" s="56"/>
      <c r="AH254" s="56"/>
      <c r="AI254" s="56"/>
      <c r="AJ254" s="56"/>
      <c r="AK254" s="56"/>
      <c r="AL254" s="56"/>
      <c r="AM254" s="56"/>
      <c r="AN254" s="56"/>
      <c r="AO254" s="56"/>
      <c r="AP254" s="29"/>
    </row>
    <row r="255" spans="1:42" outlineLevel="1" x14ac:dyDescent="0.25">
      <c r="A255" s="54"/>
      <c r="B255" s="13"/>
      <c r="C255" s="14" t="s">
        <v>484</v>
      </c>
      <c r="D255" s="14"/>
      <c r="E255" s="70" t="s">
        <v>474</v>
      </c>
      <c r="F255" s="200"/>
      <c r="G255" s="56"/>
      <c r="H255" s="56"/>
      <c r="I255" s="56">
        <f>I247*Data!H16/1000</f>
        <v>1449.7861777190258</v>
      </c>
      <c r="J255" s="56">
        <f>J247*Data!I16/1000</f>
        <v>1599.2486702673791</v>
      </c>
      <c r="K255" s="56">
        <f>K247*Data!J16/1000</f>
        <v>1733.764913560897</v>
      </c>
      <c r="L255" s="56">
        <f>L247*Data!K16/1000</f>
        <v>1883.2274061092501</v>
      </c>
      <c r="M255" s="56">
        <f>M247*Data!L16/1000</f>
        <v>2032.6898986576032</v>
      </c>
      <c r="N255" s="56">
        <f>N247*Data!M16/1000</f>
        <v>2182.1523912059565</v>
      </c>
      <c r="O255" s="56">
        <f>O247*Data!N16/1000</f>
        <v>2316.6686344994746</v>
      </c>
      <c r="P255" s="56">
        <f>P247*Data!O16/1000</f>
        <v>2406.3461300284862</v>
      </c>
      <c r="Q255" s="56">
        <f>Q247*Data!P16/1000</f>
        <v>2496.0236255574982</v>
      </c>
      <c r="R255" s="56">
        <f>R247*Data!Q16/1000</f>
        <v>2600.6473703413453</v>
      </c>
      <c r="S255" s="56">
        <f>S247*Data!R16/1000</f>
        <v>2690.3248658703574</v>
      </c>
      <c r="T255" s="56">
        <f>T247*Data!S16/1000</f>
        <v>2780.0023613993694</v>
      </c>
      <c r="U255" s="56">
        <f>U247*Data!T16/1000</f>
        <v>2869.679856928381</v>
      </c>
      <c r="V255" s="56">
        <f>V247*Data!U16/1000</f>
        <v>2959.3573524573931</v>
      </c>
      <c r="W255" s="56">
        <f>W247*Data!V16/1000</f>
        <v>3049.0348479864047</v>
      </c>
      <c r="X255" s="56">
        <f>X247*Data!W16/1000</f>
        <v>3138.7123435154172</v>
      </c>
      <c r="Y255" s="56">
        <f>Y247*Data!X16/1000</f>
        <v>3228.3898390444288</v>
      </c>
      <c r="Z255" s="56">
        <f>Z247*Data!Y16/1000</f>
        <v>3318.0673345734408</v>
      </c>
      <c r="AA255" s="56">
        <f>AA247*Data!Z16/1000</f>
        <v>3407.7448301024524</v>
      </c>
      <c r="AB255" s="56">
        <f>AB247*Data!AA16/1000</f>
        <v>3512.3685748862995</v>
      </c>
      <c r="AC255" s="56">
        <f>AC247*Data!AB16/1000</f>
        <v>0</v>
      </c>
      <c r="AD255" s="56"/>
      <c r="AE255" s="56"/>
      <c r="AF255" s="56"/>
      <c r="AG255" s="56"/>
      <c r="AH255" s="56"/>
      <c r="AI255" s="56"/>
      <c r="AJ255" s="56"/>
      <c r="AK255" s="56"/>
      <c r="AL255" s="56"/>
      <c r="AM255" s="56"/>
      <c r="AN255" s="56"/>
      <c r="AO255" s="56"/>
      <c r="AP255" s="29"/>
    </row>
    <row r="256" spans="1:42" outlineLevel="1" x14ac:dyDescent="0.25">
      <c r="A256" s="54"/>
      <c r="B256" s="13"/>
      <c r="C256" s="14" t="s">
        <v>285</v>
      </c>
      <c r="D256" s="14"/>
      <c r="E256" s="70" t="s">
        <v>474</v>
      </c>
      <c r="F256" s="200">
        <f>Data!$E$36/1000</f>
        <v>1.0822865168539326</v>
      </c>
      <c r="G256" s="56"/>
      <c r="H256" s="56"/>
      <c r="I256" s="56">
        <f>I248*$F$256</f>
        <v>0</v>
      </c>
      <c r="J256" s="56">
        <f t="shared" ref="J256:AC256" si="83">J248*$F$256</f>
        <v>0</v>
      </c>
      <c r="K256" s="56">
        <f t="shared" si="83"/>
        <v>0</v>
      </c>
      <c r="L256" s="56">
        <f t="shared" si="83"/>
        <v>0</v>
      </c>
      <c r="M256" s="56">
        <f t="shared" si="83"/>
        <v>0</v>
      </c>
      <c r="N256" s="56">
        <f t="shared" si="83"/>
        <v>0</v>
      </c>
      <c r="O256" s="56">
        <f t="shared" si="83"/>
        <v>0</v>
      </c>
      <c r="P256" s="56">
        <f t="shared" si="83"/>
        <v>0</v>
      </c>
      <c r="Q256" s="56">
        <f t="shared" si="83"/>
        <v>0</v>
      </c>
      <c r="R256" s="56">
        <f t="shared" si="83"/>
        <v>0</v>
      </c>
      <c r="S256" s="56">
        <f t="shared" si="83"/>
        <v>0</v>
      </c>
      <c r="T256" s="56">
        <f t="shared" si="83"/>
        <v>0</v>
      </c>
      <c r="U256" s="56">
        <f t="shared" si="83"/>
        <v>0</v>
      </c>
      <c r="V256" s="56">
        <f t="shared" si="83"/>
        <v>0</v>
      </c>
      <c r="W256" s="56">
        <f t="shared" si="83"/>
        <v>0</v>
      </c>
      <c r="X256" s="56">
        <f t="shared" si="83"/>
        <v>0</v>
      </c>
      <c r="Y256" s="56">
        <f t="shared" si="83"/>
        <v>0</v>
      </c>
      <c r="Z256" s="56">
        <f t="shared" si="83"/>
        <v>0</v>
      </c>
      <c r="AA256" s="56">
        <f t="shared" si="83"/>
        <v>0</v>
      </c>
      <c r="AB256" s="56">
        <f t="shared" si="83"/>
        <v>0</v>
      </c>
      <c r="AC256" s="56">
        <f t="shared" si="83"/>
        <v>0</v>
      </c>
      <c r="AD256" s="56"/>
      <c r="AE256" s="56"/>
      <c r="AF256" s="56"/>
      <c r="AG256" s="56"/>
      <c r="AH256" s="56"/>
      <c r="AI256" s="56"/>
      <c r="AJ256" s="56"/>
      <c r="AK256" s="56"/>
      <c r="AL256" s="56"/>
      <c r="AM256" s="56"/>
      <c r="AN256" s="56"/>
      <c r="AO256" s="56"/>
      <c r="AP256" s="29"/>
    </row>
    <row r="257" spans="1:42" outlineLevel="1" x14ac:dyDescent="0.25">
      <c r="A257" s="54"/>
      <c r="B257" s="13"/>
      <c r="C257" s="14" t="s">
        <v>220</v>
      </c>
      <c r="D257" s="14"/>
      <c r="E257" s="70" t="s">
        <v>474</v>
      </c>
      <c r="F257" s="200">
        <f>Data!$E$37/1000</f>
        <v>371.00188764044947</v>
      </c>
      <c r="G257" s="56"/>
      <c r="H257" s="56"/>
      <c r="I257" s="56">
        <f>I249*$F$257</f>
        <v>0</v>
      </c>
      <c r="J257" s="56">
        <f t="shared" ref="J257:AC257" si="84">J249*$F$257</f>
        <v>0</v>
      </c>
      <c r="K257" s="56">
        <f t="shared" si="84"/>
        <v>0</v>
      </c>
      <c r="L257" s="56">
        <f t="shared" si="84"/>
        <v>0</v>
      </c>
      <c r="M257" s="56">
        <f t="shared" si="84"/>
        <v>0</v>
      </c>
      <c r="N257" s="56">
        <f t="shared" si="84"/>
        <v>0</v>
      </c>
      <c r="O257" s="56">
        <f t="shared" si="84"/>
        <v>0</v>
      </c>
      <c r="P257" s="56">
        <f t="shared" si="84"/>
        <v>0</v>
      </c>
      <c r="Q257" s="56">
        <f t="shared" si="84"/>
        <v>0</v>
      </c>
      <c r="R257" s="56">
        <f t="shared" si="84"/>
        <v>0</v>
      </c>
      <c r="S257" s="56">
        <f t="shared" si="84"/>
        <v>0</v>
      </c>
      <c r="T257" s="56">
        <f t="shared" si="84"/>
        <v>0</v>
      </c>
      <c r="U257" s="56">
        <f t="shared" si="84"/>
        <v>0</v>
      </c>
      <c r="V257" s="56">
        <f t="shared" si="84"/>
        <v>0</v>
      </c>
      <c r="W257" s="56">
        <f t="shared" si="84"/>
        <v>0</v>
      </c>
      <c r="X257" s="56">
        <f t="shared" si="84"/>
        <v>0</v>
      </c>
      <c r="Y257" s="56">
        <f t="shared" si="84"/>
        <v>0</v>
      </c>
      <c r="Z257" s="56">
        <f t="shared" si="84"/>
        <v>0</v>
      </c>
      <c r="AA257" s="56">
        <f t="shared" si="84"/>
        <v>0</v>
      </c>
      <c r="AB257" s="56">
        <f t="shared" si="84"/>
        <v>0</v>
      </c>
      <c r="AC257" s="56">
        <f t="shared" si="84"/>
        <v>0</v>
      </c>
      <c r="AD257" s="56"/>
      <c r="AE257" s="56"/>
      <c r="AF257" s="56"/>
      <c r="AG257" s="56"/>
      <c r="AH257" s="56"/>
      <c r="AI257" s="56"/>
      <c r="AJ257" s="56"/>
      <c r="AK257" s="56"/>
      <c r="AL257" s="56"/>
      <c r="AM257" s="56"/>
      <c r="AN257" s="56"/>
      <c r="AO257" s="56"/>
      <c r="AP257" s="29"/>
    </row>
    <row r="258" spans="1:42" outlineLevel="1" x14ac:dyDescent="0.25">
      <c r="A258" s="54"/>
      <c r="B258" s="13"/>
      <c r="C258" s="14" t="s">
        <v>212</v>
      </c>
      <c r="D258" s="14"/>
      <c r="E258" s="70" t="s">
        <v>474</v>
      </c>
      <c r="F258" s="200">
        <f>Data!$E$39/1000</f>
        <v>0</v>
      </c>
      <c r="G258" s="56"/>
      <c r="H258" s="56"/>
      <c r="I258" s="56">
        <f>I250*$F$258</f>
        <v>0</v>
      </c>
      <c r="J258" s="56">
        <f t="shared" ref="J258:AC258" si="85">J250*$F$258</f>
        <v>0</v>
      </c>
      <c r="K258" s="56">
        <f t="shared" si="85"/>
        <v>0</v>
      </c>
      <c r="L258" s="56">
        <f t="shared" si="85"/>
        <v>0</v>
      </c>
      <c r="M258" s="56">
        <f t="shared" si="85"/>
        <v>0</v>
      </c>
      <c r="N258" s="56">
        <f t="shared" si="85"/>
        <v>0</v>
      </c>
      <c r="O258" s="56">
        <f t="shared" si="85"/>
        <v>0</v>
      </c>
      <c r="P258" s="56">
        <f t="shared" si="85"/>
        <v>0</v>
      </c>
      <c r="Q258" s="56">
        <f t="shared" si="85"/>
        <v>0</v>
      </c>
      <c r="R258" s="56">
        <f t="shared" si="85"/>
        <v>0</v>
      </c>
      <c r="S258" s="56">
        <f t="shared" si="85"/>
        <v>0</v>
      </c>
      <c r="T258" s="56">
        <f t="shared" si="85"/>
        <v>0</v>
      </c>
      <c r="U258" s="56">
        <f t="shared" si="85"/>
        <v>0</v>
      </c>
      <c r="V258" s="56">
        <f t="shared" si="85"/>
        <v>0</v>
      </c>
      <c r="W258" s="56">
        <f t="shared" si="85"/>
        <v>0</v>
      </c>
      <c r="X258" s="56">
        <f t="shared" si="85"/>
        <v>0</v>
      </c>
      <c r="Y258" s="56">
        <f t="shared" si="85"/>
        <v>0</v>
      </c>
      <c r="Z258" s="56">
        <f t="shared" si="85"/>
        <v>0</v>
      </c>
      <c r="AA258" s="56">
        <f t="shared" si="85"/>
        <v>0</v>
      </c>
      <c r="AB258" s="56">
        <f t="shared" si="85"/>
        <v>0</v>
      </c>
      <c r="AC258" s="56">
        <f t="shared" si="85"/>
        <v>0</v>
      </c>
      <c r="AD258" s="56"/>
      <c r="AE258" s="56"/>
      <c r="AF258" s="56"/>
      <c r="AG258" s="56"/>
      <c r="AH258" s="56"/>
      <c r="AI258" s="56"/>
      <c r="AJ258" s="56"/>
      <c r="AK258" s="56"/>
      <c r="AL258" s="56"/>
      <c r="AM258" s="56"/>
      <c r="AN258" s="56"/>
      <c r="AO258" s="56"/>
      <c r="AP258" s="29"/>
    </row>
    <row r="259" spans="1:42" outlineLevel="1" x14ac:dyDescent="0.25">
      <c r="A259" s="54"/>
      <c r="B259" s="13"/>
      <c r="C259" s="14" t="s">
        <v>485</v>
      </c>
      <c r="D259" s="14"/>
      <c r="E259" s="70" t="s">
        <v>474</v>
      </c>
      <c r="F259" s="200">
        <f>Data!$E$40/1000</f>
        <v>605.20914606741576</v>
      </c>
      <c r="G259" s="56"/>
      <c r="H259" s="56"/>
      <c r="I259" s="56">
        <f>I251*$F$259</f>
        <v>0</v>
      </c>
      <c r="J259" s="56">
        <f t="shared" ref="J259:AC259" si="86">J251*$F$259</f>
        <v>0</v>
      </c>
      <c r="K259" s="56">
        <f t="shared" si="86"/>
        <v>0</v>
      </c>
      <c r="L259" s="56">
        <f t="shared" si="86"/>
        <v>0</v>
      </c>
      <c r="M259" s="56">
        <f t="shared" si="86"/>
        <v>0</v>
      </c>
      <c r="N259" s="56">
        <f t="shared" si="86"/>
        <v>0</v>
      </c>
      <c r="O259" s="56">
        <f t="shared" si="86"/>
        <v>0</v>
      </c>
      <c r="P259" s="56">
        <f t="shared" si="86"/>
        <v>0</v>
      </c>
      <c r="Q259" s="56">
        <f t="shared" si="86"/>
        <v>0</v>
      </c>
      <c r="R259" s="56">
        <f t="shared" si="86"/>
        <v>0</v>
      </c>
      <c r="S259" s="56">
        <f t="shared" si="86"/>
        <v>0</v>
      </c>
      <c r="T259" s="56">
        <f t="shared" si="86"/>
        <v>0</v>
      </c>
      <c r="U259" s="56">
        <f t="shared" si="86"/>
        <v>0</v>
      </c>
      <c r="V259" s="56">
        <f t="shared" si="86"/>
        <v>0</v>
      </c>
      <c r="W259" s="56">
        <f t="shared" si="86"/>
        <v>0</v>
      </c>
      <c r="X259" s="56">
        <f t="shared" si="86"/>
        <v>0</v>
      </c>
      <c r="Y259" s="56">
        <f t="shared" si="86"/>
        <v>0</v>
      </c>
      <c r="Z259" s="56">
        <f t="shared" si="86"/>
        <v>0</v>
      </c>
      <c r="AA259" s="56">
        <f t="shared" si="86"/>
        <v>0</v>
      </c>
      <c r="AB259" s="56">
        <f t="shared" si="86"/>
        <v>0</v>
      </c>
      <c r="AC259" s="56">
        <f t="shared" si="86"/>
        <v>0</v>
      </c>
      <c r="AD259" s="56"/>
      <c r="AE259" s="56"/>
      <c r="AF259" s="56"/>
      <c r="AG259" s="56"/>
      <c r="AH259" s="56"/>
      <c r="AI259" s="56"/>
      <c r="AJ259" s="56"/>
      <c r="AK259" s="56"/>
      <c r="AL259" s="56"/>
      <c r="AM259" s="56"/>
      <c r="AN259" s="56"/>
      <c r="AO259" s="56"/>
      <c r="AP259" s="29"/>
    </row>
    <row r="260" spans="1:42" outlineLevel="1" x14ac:dyDescent="0.25">
      <c r="A260" s="54"/>
      <c r="B260" s="13"/>
      <c r="C260" s="14" t="s">
        <v>214</v>
      </c>
      <c r="D260" s="14"/>
      <c r="E260" s="70" t="s">
        <v>474</v>
      </c>
      <c r="F260" s="200">
        <f>Data!$E$41/1000</f>
        <v>0</v>
      </c>
      <c r="G260" s="56"/>
      <c r="H260" s="56"/>
      <c r="I260" s="56">
        <f>I252*$F$260</f>
        <v>0</v>
      </c>
      <c r="J260" s="56">
        <f t="shared" ref="J260:AC260" si="87">J252*$F$260</f>
        <v>0</v>
      </c>
      <c r="K260" s="56">
        <f t="shared" si="87"/>
        <v>0</v>
      </c>
      <c r="L260" s="56">
        <f t="shared" si="87"/>
        <v>0</v>
      </c>
      <c r="M260" s="56">
        <f t="shared" si="87"/>
        <v>0</v>
      </c>
      <c r="N260" s="56">
        <f t="shared" si="87"/>
        <v>0</v>
      </c>
      <c r="O260" s="56">
        <f t="shared" si="87"/>
        <v>0</v>
      </c>
      <c r="P260" s="56">
        <f t="shared" si="87"/>
        <v>0</v>
      </c>
      <c r="Q260" s="56">
        <f t="shared" si="87"/>
        <v>0</v>
      </c>
      <c r="R260" s="56">
        <f t="shared" si="87"/>
        <v>0</v>
      </c>
      <c r="S260" s="56">
        <f t="shared" si="87"/>
        <v>0</v>
      </c>
      <c r="T260" s="56">
        <f t="shared" si="87"/>
        <v>0</v>
      </c>
      <c r="U260" s="56">
        <f t="shared" si="87"/>
        <v>0</v>
      </c>
      <c r="V260" s="56">
        <f t="shared" si="87"/>
        <v>0</v>
      </c>
      <c r="W260" s="56">
        <f t="shared" si="87"/>
        <v>0</v>
      </c>
      <c r="X260" s="56">
        <f t="shared" si="87"/>
        <v>0</v>
      </c>
      <c r="Y260" s="56">
        <f t="shared" si="87"/>
        <v>0</v>
      </c>
      <c r="Z260" s="56">
        <f t="shared" si="87"/>
        <v>0</v>
      </c>
      <c r="AA260" s="56">
        <f t="shared" si="87"/>
        <v>0</v>
      </c>
      <c r="AB260" s="56">
        <f t="shared" si="87"/>
        <v>0</v>
      </c>
      <c r="AC260" s="56">
        <f t="shared" si="87"/>
        <v>0</v>
      </c>
      <c r="AD260" s="56"/>
      <c r="AE260" s="56"/>
      <c r="AF260" s="56"/>
      <c r="AG260" s="56"/>
      <c r="AH260" s="56"/>
      <c r="AI260" s="56"/>
      <c r="AJ260" s="56"/>
      <c r="AK260" s="56"/>
      <c r="AL260" s="56"/>
      <c r="AM260" s="56"/>
      <c r="AN260" s="56"/>
      <c r="AO260" s="56"/>
      <c r="AP260" s="29"/>
    </row>
    <row r="261" spans="1:42" outlineLevel="1" x14ac:dyDescent="0.25">
      <c r="A261" s="12"/>
      <c r="B261" s="13"/>
      <c r="C261" s="20" t="s">
        <v>536</v>
      </c>
      <c r="D261" s="14"/>
      <c r="E261" s="70" t="s">
        <v>474</v>
      </c>
      <c r="F261" s="16"/>
      <c r="G261" s="159"/>
      <c r="H261" s="185"/>
      <c r="I261" s="185">
        <f>SUM(I254:I260)</f>
        <v>1449.7861777190258</v>
      </c>
      <c r="J261" s="185">
        <f>SUM(J254:J260)</f>
        <v>1599.2486702673791</v>
      </c>
      <c r="K261" s="185">
        <f t="shared" ref="K261:AO261" si="88">SUM(K254:K260)</f>
        <v>1733.764913560897</v>
      </c>
      <c r="L261" s="185">
        <f t="shared" si="88"/>
        <v>1883.2274061092501</v>
      </c>
      <c r="M261" s="185">
        <f t="shared" si="88"/>
        <v>2032.6898986576032</v>
      </c>
      <c r="N261" s="185">
        <f t="shared" si="88"/>
        <v>2182.1523912059565</v>
      </c>
      <c r="O261" s="185">
        <f t="shared" si="88"/>
        <v>2316.6686344994746</v>
      </c>
      <c r="P261" s="185">
        <f t="shared" si="88"/>
        <v>2406.3461300284862</v>
      </c>
      <c r="Q261" s="185">
        <f t="shared" si="88"/>
        <v>2496.0236255574982</v>
      </c>
      <c r="R261" s="185">
        <f t="shared" si="88"/>
        <v>2600.6473703413453</v>
      </c>
      <c r="S261" s="185">
        <f t="shared" si="88"/>
        <v>2690.3248658703574</v>
      </c>
      <c r="T261" s="185">
        <f t="shared" si="88"/>
        <v>2780.0023613993694</v>
      </c>
      <c r="U261" s="185">
        <f t="shared" si="88"/>
        <v>2869.679856928381</v>
      </c>
      <c r="V261" s="185">
        <f t="shared" si="88"/>
        <v>2959.3573524573931</v>
      </c>
      <c r="W261" s="185">
        <f t="shared" si="88"/>
        <v>3049.0348479864047</v>
      </c>
      <c r="X261" s="185">
        <f t="shared" si="88"/>
        <v>3138.7123435154172</v>
      </c>
      <c r="Y261" s="185">
        <f t="shared" si="88"/>
        <v>3228.3898390444288</v>
      </c>
      <c r="Z261" s="185">
        <f t="shared" si="88"/>
        <v>3318.0673345734408</v>
      </c>
      <c r="AA261" s="185">
        <f t="shared" si="88"/>
        <v>3407.7448301024524</v>
      </c>
      <c r="AB261" s="185">
        <f t="shared" si="88"/>
        <v>3512.3685748862995</v>
      </c>
      <c r="AC261" s="185">
        <f t="shared" si="88"/>
        <v>0</v>
      </c>
      <c r="AD261" s="185">
        <f t="shared" si="88"/>
        <v>0</v>
      </c>
      <c r="AE261" s="185">
        <f t="shared" si="88"/>
        <v>0</v>
      </c>
      <c r="AF261" s="185">
        <f t="shared" si="88"/>
        <v>0</v>
      </c>
      <c r="AG261" s="185">
        <f t="shared" si="88"/>
        <v>0</v>
      </c>
      <c r="AH261" s="185">
        <f t="shared" si="88"/>
        <v>0</v>
      </c>
      <c r="AI261" s="185">
        <f t="shared" si="88"/>
        <v>0</v>
      </c>
      <c r="AJ261" s="185">
        <f t="shared" si="88"/>
        <v>0</v>
      </c>
      <c r="AK261" s="185">
        <f t="shared" si="88"/>
        <v>0</v>
      </c>
      <c r="AL261" s="185">
        <f t="shared" si="88"/>
        <v>0</v>
      </c>
      <c r="AM261" s="185">
        <f t="shared" si="88"/>
        <v>0</v>
      </c>
      <c r="AN261" s="185">
        <f t="shared" si="88"/>
        <v>0</v>
      </c>
      <c r="AO261" s="185">
        <f t="shared" si="88"/>
        <v>0</v>
      </c>
      <c r="AP261" s="14"/>
    </row>
    <row r="262" spans="1:42" outlineLevel="1" x14ac:dyDescent="0.25">
      <c r="A262" s="12"/>
      <c r="B262" s="13"/>
      <c r="C262" s="14"/>
      <c r="D262" s="14"/>
      <c r="E262" s="15"/>
      <c r="F262" s="16"/>
      <c r="G262" s="159"/>
      <c r="H262" s="159"/>
      <c r="I262" s="159"/>
      <c r="J262" s="159"/>
      <c r="K262" s="159"/>
      <c r="L262" s="159"/>
      <c r="M262" s="159"/>
      <c r="N262" s="159"/>
      <c r="O262" s="159"/>
      <c r="P262" s="159"/>
      <c r="Q262" s="159"/>
      <c r="R262" s="159"/>
      <c r="S262" s="159"/>
      <c r="T262" s="159"/>
      <c r="U262" s="159"/>
      <c r="V262" s="159"/>
      <c r="W262" s="159"/>
      <c r="X262" s="14"/>
      <c r="Y262" s="14"/>
      <c r="Z262" s="14"/>
      <c r="AA262" s="14"/>
      <c r="AB262" s="14"/>
      <c r="AC262" s="14"/>
      <c r="AD262" s="14"/>
      <c r="AE262" s="14"/>
      <c r="AF262" s="14"/>
      <c r="AG262" s="14"/>
      <c r="AH262" s="14"/>
      <c r="AI262" s="14"/>
      <c r="AJ262" s="14"/>
      <c r="AK262" s="14"/>
      <c r="AL262" s="14"/>
      <c r="AM262" s="14"/>
      <c r="AN262" s="14"/>
      <c r="AO262" s="14"/>
      <c r="AP262" s="14"/>
    </row>
    <row r="263" spans="1:42" outlineLevel="1" x14ac:dyDescent="0.25">
      <c r="A263" s="12"/>
      <c r="B263" s="13"/>
      <c r="C263" s="14" t="s">
        <v>523</v>
      </c>
      <c r="D263" s="14"/>
      <c r="E263" s="15" t="s">
        <v>474</v>
      </c>
      <c r="F263" s="48"/>
      <c r="G263" s="185"/>
      <c r="H263" s="185"/>
      <c r="I263" s="185">
        <f>I261*Data!H$9</f>
        <v>1394.0251708836786</v>
      </c>
      <c r="J263" s="185">
        <f>J261*Data!I$9</f>
        <v>1478.5952942560825</v>
      </c>
      <c r="K263" s="185">
        <f>K261*Data!J$9</f>
        <v>1541.3106949470309</v>
      </c>
      <c r="L263" s="185">
        <f>L261*Data!K$9</f>
        <v>1609.7906794042262</v>
      </c>
      <c r="M263" s="185">
        <f>M261*Data!L$9</f>
        <v>1670.7229273426033</v>
      </c>
      <c r="N263" s="185">
        <f>N261*Data!M$9</f>
        <v>1724.586732126839</v>
      </c>
      <c r="O263" s="185">
        <f>O261*Data!N$9</f>
        <v>1760.4777626426508</v>
      </c>
      <c r="P263" s="185">
        <f>P261*Data!O$9</f>
        <v>1758.293547056245</v>
      </c>
      <c r="Q263" s="185">
        <f>Q261*Data!P$9</f>
        <v>1753.6730910080796</v>
      </c>
      <c r="R263" s="185">
        <f>R261*Data!Q$9</f>
        <v>1756.9041791536495</v>
      </c>
      <c r="S263" s="185">
        <f>S261*Data!R$9</f>
        <v>1747.5837325798905</v>
      </c>
      <c r="T263" s="185">
        <f>T261*Data!S$9</f>
        <v>1736.3812727556601</v>
      </c>
      <c r="U263" s="185">
        <f>U261*Data!T$9</f>
        <v>1723.455357573856</v>
      </c>
      <c r="V263" s="185">
        <f>V261*Data!U$9</f>
        <v>1708.9551322096531</v>
      </c>
      <c r="W263" s="185">
        <f>W261*Data!V$9</f>
        <v>1693.0208186226164</v>
      </c>
      <c r="X263" s="185">
        <f>X261*Data!W$9</f>
        <v>1675.7841813289472</v>
      </c>
      <c r="Y263" s="185">
        <f>Y261*Data!X$9</f>
        <v>1657.3689705451125</v>
      </c>
      <c r="Z263" s="185">
        <f>Z261*Data!Y$9</f>
        <v>1637.8913437545182</v>
      </c>
      <c r="AA263" s="185">
        <f>AA261*Data!Z$9</f>
        <v>1617.4602667014472</v>
      </c>
      <c r="AB263" s="185">
        <f>AB261*Data!AA$9</f>
        <v>1602.9991678257425</v>
      </c>
      <c r="AC263" s="185">
        <f>AC261*Data!AB$9</f>
        <v>0</v>
      </c>
      <c r="AD263" s="185">
        <f>AD261*Data!AC$9</f>
        <v>0</v>
      </c>
      <c r="AE263" s="185">
        <f>AE261*Data!AD$9</f>
        <v>0</v>
      </c>
      <c r="AF263" s="185">
        <f>AF261*Data!AE$9</f>
        <v>0</v>
      </c>
      <c r="AG263" s="185">
        <f>AG261*Data!AF$9</f>
        <v>0</v>
      </c>
      <c r="AH263" s="185">
        <f>AH261*Data!AG$9</f>
        <v>0</v>
      </c>
      <c r="AI263" s="185">
        <f>AI261*Data!AH$9</f>
        <v>0</v>
      </c>
      <c r="AJ263" s="185">
        <f>AJ261*Data!AI$9</f>
        <v>0</v>
      </c>
      <c r="AK263" s="185">
        <f>AK261*Data!AJ$9</f>
        <v>0</v>
      </c>
      <c r="AL263" s="185">
        <f>AL261*Data!AK$9</f>
        <v>0</v>
      </c>
      <c r="AM263" s="185">
        <f>AM261*Data!AL$9</f>
        <v>0</v>
      </c>
      <c r="AN263" s="185">
        <f>AN261*Data!AM$9</f>
        <v>0</v>
      </c>
      <c r="AO263" s="185">
        <f>AO261*Data!AN$9</f>
        <v>0</v>
      </c>
      <c r="AP263" s="14"/>
    </row>
    <row r="264" spans="1:42" outlineLevel="1" x14ac:dyDescent="0.25">
      <c r="A264" s="12"/>
      <c r="B264" s="13"/>
      <c r="C264" s="14" t="s">
        <v>489</v>
      </c>
      <c r="D264" s="13"/>
      <c r="E264" s="15" t="s">
        <v>142</v>
      </c>
      <c r="F264" s="16"/>
      <c r="G264" s="159">
        <f>SUM(H263:AO263)</f>
        <v>33249.280322718536</v>
      </c>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row>
    <row r="265" spans="1:42" outlineLevel="1" x14ac:dyDescent="0.25">
      <c r="A265" s="12"/>
      <c r="B265" s="13"/>
      <c r="C265" s="41" t="s">
        <v>62</v>
      </c>
      <c r="D265" s="41"/>
      <c r="E265" s="15" t="s">
        <v>261</v>
      </c>
      <c r="F265" s="16"/>
      <c r="G265" s="184">
        <f>G264/(SUM(H244:AO244))</f>
        <v>1.77613676937599E-2</v>
      </c>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7"/>
    </row>
    <row r="266" spans="1:42" outlineLevel="1" x14ac:dyDescent="0.25">
      <c r="A266" s="12"/>
      <c r="B266" s="13"/>
      <c r="C266" s="14"/>
      <c r="D266" s="14"/>
      <c r="E266" s="15"/>
      <c r="F266" s="16"/>
      <c r="G266" s="14"/>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17"/>
    </row>
    <row r="267" spans="1:42" outlineLevel="1" x14ac:dyDescent="0.25">
      <c r="A267" s="12"/>
      <c r="B267" s="13"/>
      <c r="C267" s="45"/>
      <c r="D267" s="45"/>
      <c r="E267" s="15"/>
      <c r="F267" s="16"/>
      <c r="G267" s="14"/>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9"/>
    </row>
    <row r="268" spans="1:42" outlineLevel="1" x14ac:dyDescent="0.25">
      <c r="A268" s="12"/>
      <c r="B268" s="13"/>
      <c r="C268" s="37" t="s">
        <v>578</v>
      </c>
      <c r="D268" s="37"/>
      <c r="E268" s="38"/>
      <c r="F268" s="39"/>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17"/>
    </row>
    <row r="269" spans="1:42" outlineLevel="1" x14ac:dyDescent="0.25">
      <c r="A269" s="12"/>
      <c r="B269" s="13"/>
      <c r="C269" s="14"/>
      <c r="D269" s="14"/>
      <c r="E269" s="15"/>
      <c r="F269" s="16"/>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7"/>
    </row>
    <row r="270" spans="1:42" outlineLevel="1" x14ac:dyDescent="0.25">
      <c r="A270" s="12"/>
      <c r="B270" s="13"/>
      <c r="C270" s="20" t="s">
        <v>252</v>
      </c>
      <c r="D270" s="14"/>
      <c r="E270" s="15"/>
      <c r="F270" s="16"/>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row>
    <row r="271" spans="1:42" outlineLevel="1" x14ac:dyDescent="0.25">
      <c r="A271" s="12"/>
      <c r="B271" s="13"/>
      <c r="C271" t="s">
        <v>520</v>
      </c>
      <c r="D271" s="14"/>
      <c r="E271" s="15" t="s">
        <v>521</v>
      </c>
      <c r="F271" s="16"/>
      <c r="G271" s="14"/>
      <c r="H271" s="141"/>
      <c r="I271" s="141">
        <f t="shared" ref="I271:AO271" si="89">I16</f>
        <v>93600</v>
      </c>
      <c r="J271" s="141">
        <f t="shared" si="89"/>
        <v>93600</v>
      </c>
      <c r="K271" s="141">
        <f t="shared" si="89"/>
        <v>93600</v>
      </c>
      <c r="L271" s="141">
        <f t="shared" si="89"/>
        <v>93600</v>
      </c>
      <c r="M271" s="141">
        <f t="shared" si="89"/>
        <v>93600</v>
      </c>
      <c r="N271" s="141">
        <f t="shared" si="89"/>
        <v>93600</v>
      </c>
      <c r="O271" s="141">
        <f t="shared" si="89"/>
        <v>93600</v>
      </c>
      <c r="P271" s="141">
        <f t="shared" si="89"/>
        <v>93600</v>
      </c>
      <c r="Q271" s="141">
        <f t="shared" si="89"/>
        <v>93600</v>
      </c>
      <c r="R271" s="141">
        <f t="shared" si="89"/>
        <v>93600</v>
      </c>
      <c r="S271" s="141">
        <f t="shared" si="89"/>
        <v>93600</v>
      </c>
      <c r="T271" s="141">
        <f t="shared" si="89"/>
        <v>93600</v>
      </c>
      <c r="U271" s="141">
        <f t="shared" si="89"/>
        <v>0</v>
      </c>
      <c r="V271" s="141">
        <f t="shared" si="89"/>
        <v>0</v>
      </c>
      <c r="W271" s="141">
        <f t="shared" si="89"/>
        <v>0</v>
      </c>
      <c r="X271" s="141">
        <f t="shared" si="89"/>
        <v>0</v>
      </c>
      <c r="Y271" s="141">
        <f t="shared" si="89"/>
        <v>0</v>
      </c>
      <c r="Z271" s="141">
        <f t="shared" si="89"/>
        <v>0</v>
      </c>
      <c r="AA271" s="141">
        <f t="shared" si="89"/>
        <v>0</v>
      </c>
      <c r="AB271" s="141">
        <f t="shared" si="89"/>
        <v>0</v>
      </c>
      <c r="AC271" s="141">
        <f t="shared" si="89"/>
        <v>0</v>
      </c>
      <c r="AD271" s="141">
        <f t="shared" si="89"/>
        <v>0</v>
      </c>
      <c r="AE271" s="141">
        <f t="shared" si="89"/>
        <v>0</v>
      </c>
      <c r="AF271" s="141">
        <f t="shared" si="89"/>
        <v>0</v>
      </c>
      <c r="AG271" s="141">
        <f t="shared" si="89"/>
        <v>0</v>
      </c>
      <c r="AH271" s="141">
        <f t="shared" si="89"/>
        <v>0</v>
      </c>
      <c r="AI271" s="141">
        <f t="shared" si="89"/>
        <v>0</v>
      </c>
      <c r="AJ271" s="141">
        <f t="shared" si="89"/>
        <v>0</v>
      </c>
      <c r="AK271" s="141">
        <f t="shared" si="89"/>
        <v>0</v>
      </c>
      <c r="AL271" s="141">
        <f t="shared" si="89"/>
        <v>0</v>
      </c>
      <c r="AM271" s="141">
        <f t="shared" si="89"/>
        <v>0</v>
      </c>
      <c r="AN271" s="141">
        <f t="shared" si="89"/>
        <v>0</v>
      </c>
      <c r="AO271" s="141">
        <f t="shared" si="89"/>
        <v>0</v>
      </c>
      <c r="AP271" s="14"/>
    </row>
    <row r="272" spans="1:42" outlineLevel="1" x14ac:dyDescent="0.25">
      <c r="A272" s="12"/>
      <c r="B272" s="13"/>
      <c r="C272" s="14" t="s">
        <v>535</v>
      </c>
      <c r="D272" s="14"/>
      <c r="E272" s="15"/>
      <c r="F272" s="16"/>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4"/>
      <c r="AH272" s="14"/>
      <c r="AI272" s="14"/>
      <c r="AJ272" s="14"/>
      <c r="AK272" s="14"/>
      <c r="AL272" s="14"/>
      <c r="AM272" s="14"/>
      <c r="AN272" s="14"/>
      <c r="AO272" s="14"/>
      <c r="AP272" s="14"/>
    </row>
    <row r="273" spans="1:42" ht="14.25" customHeight="1" outlineLevel="1" x14ac:dyDescent="0.25">
      <c r="A273" s="54"/>
      <c r="B273" s="13"/>
      <c r="C273" s="14" t="s">
        <v>205</v>
      </c>
      <c r="D273" s="14"/>
      <c r="E273" s="70" t="s">
        <v>352</v>
      </c>
      <c r="F273" s="201">
        <f>Data!$E$413/1000</f>
        <v>4.0583752780418599E-3</v>
      </c>
      <c r="G273" s="56"/>
      <c r="H273" s="56"/>
      <c r="I273" s="56">
        <f t="shared" ref="I273:AP273" si="90">I$271*$F$273</f>
        <v>379.86392602471807</v>
      </c>
      <c r="J273" s="56">
        <f t="shared" si="90"/>
        <v>379.86392602471807</v>
      </c>
      <c r="K273" s="56">
        <f t="shared" si="90"/>
        <v>379.86392602471807</v>
      </c>
      <c r="L273" s="56">
        <f t="shared" si="90"/>
        <v>379.86392602471807</v>
      </c>
      <c r="M273" s="56">
        <f t="shared" si="90"/>
        <v>379.86392602471807</v>
      </c>
      <c r="N273" s="56">
        <f t="shared" si="90"/>
        <v>379.86392602471807</v>
      </c>
      <c r="O273" s="56">
        <f t="shared" si="90"/>
        <v>379.86392602471807</v>
      </c>
      <c r="P273" s="56">
        <f t="shared" si="90"/>
        <v>379.86392602471807</v>
      </c>
      <c r="Q273" s="56">
        <f t="shared" si="90"/>
        <v>379.86392602471807</v>
      </c>
      <c r="R273" s="56">
        <f t="shared" si="90"/>
        <v>379.86392602471807</v>
      </c>
      <c r="S273" s="56">
        <f t="shared" si="90"/>
        <v>379.86392602471807</v>
      </c>
      <c r="T273" s="56">
        <f t="shared" si="90"/>
        <v>379.86392602471807</v>
      </c>
      <c r="U273" s="56">
        <f t="shared" si="90"/>
        <v>0</v>
      </c>
      <c r="V273" s="56">
        <f t="shared" si="90"/>
        <v>0</v>
      </c>
      <c r="W273" s="56">
        <f t="shared" si="90"/>
        <v>0</v>
      </c>
      <c r="X273" s="56">
        <f t="shared" si="90"/>
        <v>0</v>
      </c>
      <c r="Y273" s="56">
        <f t="shared" si="90"/>
        <v>0</v>
      </c>
      <c r="Z273" s="56">
        <f t="shared" si="90"/>
        <v>0</v>
      </c>
      <c r="AA273" s="56">
        <f t="shared" si="90"/>
        <v>0</v>
      </c>
      <c r="AB273" s="56">
        <f t="shared" si="90"/>
        <v>0</v>
      </c>
      <c r="AC273" s="56">
        <f t="shared" si="90"/>
        <v>0</v>
      </c>
      <c r="AD273" s="56">
        <f t="shared" si="90"/>
        <v>0</v>
      </c>
      <c r="AE273" s="56">
        <f t="shared" si="90"/>
        <v>0</v>
      </c>
      <c r="AF273" s="56">
        <f t="shared" si="90"/>
        <v>0</v>
      </c>
      <c r="AG273" s="56">
        <f t="shared" si="90"/>
        <v>0</v>
      </c>
      <c r="AH273" s="56">
        <f t="shared" si="90"/>
        <v>0</v>
      </c>
      <c r="AI273" s="56">
        <f t="shared" si="90"/>
        <v>0</v>
      </c>
      <c r="AJ273" s="56">
        <f t="shared" si="90"/>
        <v>0</v>
      </c>
      <c r="AK273" s="56">
        <f t="shared" si="90"/>
        <v>0</v>
      </c>
      <c r="AL273" s="56">
        <f t="shared" si="90"/>
        <v>0</v>
      </c>
      <c r="AM273" s="56">
        <f t="shared" si="90"/>
        <v>0</v>
      </c>
      <c r="AN273" s="56">
        <f t="shared" si="90"/>
        <v>0</v>
      </c>
      <c r="AO273" s="56">
        <f t="shared" si="90"/>
        <v>0</v>
      </c>
      <c r="AP273" s="56">
        <f t="shared" si="90"/>
        <v>0</v>
      </c>
    </row>
    <row r="274" spans="1:42" outlineLevel="1" x14ac:dyDescent="0.25">
      <c r="A274" s="54"/>
      <c r="B274" s="13"/>
      <c r="C274" s="14" t="s">
        <v>484</v>
      </c>
      <c r="D274" s="14"/>
      <c r="E274" s="70" t="s">
        <v>352</v>
      </c>
      <c r="F274" s="201">
        <f>Data!$E$414/1000</f>
        <v>1.0176439575523251</v>
      </c>
      <c r="G274" s="56"/>
      <c r="H274" s="56"/>
      <c r="I274" s="56">
        <f t="shared" ref="I274:AP274" si="91">I$271*$F$274</f>
        <v>95251.474426897621</v>
      </c>
      <c r="J274" s="56">
        <f t="shared" si="91"/>
        <v>95251.474426897621</v>
      </c>
      <c r="K274" s="56">
        <f t="shared" si="91"/>
        <v>95251.474426897621</v>
      </c>
      <c r="L274" s="56">
        <f t="shared" si="91"/>
        <v>95251.474426897621</v>
      </c>
      <c r="M274" s="56">
        <f t="shared" si="91"/>
        <v>95251.474426897621</v>
      </c>
      <c r="N274" s="56">
        <f t="shared" si="91"/>
        <v>95251.474426897621</v>
      </c>
      <c r="O274" s="56">
        <f t="shared" si="91"/>
        <v>95251.474426897621</v>
      </c>
      <c r="P274" s="56">
        <f t="shared" si="91"/>
        <v>95251.474426897621</v>
      </c>
      <c r="Q274" s="56">
        <f t="shared" si="91"/>
        <v>95251.474426897621</v>
      </c>
      <c r="R274" s="56">
        <f t="shared" si="91"/>
        <v>95251.474426897621</v>
      </c>
      <c r="S274" s="56">
        <f t="shared" si="91"/>
        <v>95251.474426897621</v>
      </c>
      <c r="T274" s="56">
        <f t="shared" si="91"/>
        <v>95251.474426897621</v>
      </c>
      <c r="U274" s="56">
        <f t="shared" si="91"/>
        <v>0</v>
      </c>
      <c r="V274" s="56">
        <f t="shared" si="91"/>
        <v>0</v>
      </c>
      <c r="W274" s="56">
        <f t="shared" si="91"/>
        <v>0</v>
      </c>
      <c r="X274" s="56">
        <f t="shared" si="91"/>
        <v>0</v>
      </c>
      <c r="Y274" s="56">
        <f t="shared" si="91"/>
        <v>0</v>
      </c>
      <c r="Z274" s="56">
        <f t="shared" si="91"/>
        <v>0</v>
      </c>
      <c r="AA274" s="56">
        <f t="shared" si="91"/>
        <v>0</v>
      </c>
      <c r="AB274" s="56">
        <f t="shared" si="91"/>
        <v>0</v>
      </c>
      <c r="AC274" s="56">
        <f t="shared" si="91"/>
        <v>0</v>
      </c>
      <c r="AD274" s="56">
        <f t="shared" si="91"/>
        <v>0</v>
      </c>
      <c r="AE274" s="56">
        <f t="shared" si="91"/>
        <v>0</v>
      </c>
      <c r="AF274" s="56">
        <f t="shared" si="91"/>
        <v>0</v>
      </c>
      <c r="AG274" s="56">
        <f t="shared" si="91"/>
        <v>0</v>
      </c>
      <c r="AH274" s="56">
        <f t="shared" si="91"/>
        <v>0</v>
      </c>
      <c r="AI274" s="56">
        <f t="shared" si="91"/>
        <v>0</v>
      </c>
      <c r="AJ274" s="56">
        <f t="shared" si="91"/>
        <v>0</v>
      </c>
      <c r="AK274" s="56">
        <f t="shared" si="91"/>
        <v>0</v>
      </c>
      <c r="AL274" s="56">
        <f t="shared" si="91"/>
        <v>0</v>
      </c>
      <c r="AM274" s="56">
        <f t="shared" si="91"/>
        <v>0</v>
      </c>
      <c r="AN274" s="56">
        <f t="shared" si="91"/>
        <v>0</v>
      </c>
      <c r="AO274" s="56">
        <f t="shared" si="91"/>
        <v>0</v>
      </c>
      <c r="AP274" s="56">
        <f t="shared" si="91"/>
        <v>0</v>
      </c>
    </row>
    <row r="275" spans="1:42" outlineLevel="1" x14ac:dyDescent="0.25">
      <c r="A275" s="54"/>
      <c r="B275" s="13"/>
      <c r="C275" s="14" t="s">
        <v>285</v>
      </c>
      <c r="D275" s="14"/>
      <c r="E275" s="70" t="s">
        <v>352</v>
      </c>
      <c r="F275" s="201">
        <f>Data!$E$415/1000</f>
        <v>2.8470339849987793E-4</v>
      </c>
      <c r="G275" s="56"/>
      <c r="H275" s="56"/>
      <c r="I275" s="56">
        <f>I$271*$F$275</f>
        <v>26.648238099588575</v>
      </c>
      <c r="J275" s="56">
        <f t="shared" ref="J275:AP275" si="92">J$271*$F$275</f>
        <v>26.648238099588575</v>
      </c>
      <c r="K275" s="56">
        <f t="shared" si="92"/>
        <v>26.648238099588575</v>
      </c>
      <c r="L275" s="56">
        <f t="shared" si="92"/>
        <v>26.648238099588575</v>
      </c>
      <c r="M275" s="56">
        <f t="shared" si="92"/>
        <v>26.648238099588575</v>
      </c>
      <c r="N275" s="56">
        <f t="shared" si="92"/>
        <v>26.648238099588575</v>
      </c>
      <c r="O275" s="56">
        <f t="shared" si="92"/>
        <v>26.648238099588575</v>
      </c>
      <c r="P275" s="56">
        <f t="shared" si="92"/>
        <v>26.648238099588575</v>
      </c>
      <c r="Q275" s="56">
        <f t="shared" si="92"/>
        <v>26.648238099588575</v>
      </c>
      <c r="R275" s="56">
        <f t="shared" si="92"/>
        <v>26.648238099588575</v>
      </c>
      <c r="S275" s="56">
        <f t="shared" si="92"/>
        <v>26.648238099588575</v>
      </c>
      <c r="T275" s="56">
        <f t="shared" si="92"/>
        <v>26.648238099588575</v>
      </c>
      <c r="U275" s="56">
        <f t="shared" si="92"/>
        <v>0</v>
      </c>
      <c r="V275" s="56">
        <f t="shared" si="92"/>
        <v>0</v>
      </c>
      <c r="W275" s="56">
        <f t="shared" si="92"/>
        <v>0</v>
      </c>
      <c r="X275" s="56">
        <f t="shared" si="92"/>
        <v>0</v>
      </c>
      <c r="Y275" s="56">
        <f t="shared" si="92"/>
        <v>0</v>
      </c>
      <c r="Z275" s="56">
        <f t="shared" si="92"/>
        <v>0</v>
      </c>
      <c r="AA275" s="56">
        <f t="shared" si="92"/>
        <v>0</v>
      </c>
      <c r="AB275" s="56">
        <f t="shared" si="92"/>
        <v>0</v>
      </c>
      <c r="AC275" s="56">
        <f t="shared" si="92"/>
        <v>0</v>
      </c>
      <c r="AD275" s="56">
        <f t="shared" si="92"/>
        <v>0</v>
      </c>
      <c r="AE275" s="56">
        <f t="shared" si="92"/>
        <v>0</v>
      </c>
      <c r="AF275" s="56">
        <f t="shared" si="92"/>
        <v>0</v>
      </c>
      <c r="AG275" s="56">
        <f t="shared" si="92"/>
        <v>0</v>
      </c>
      <c r="AH275" s="56">
        <f t="shared" si="92"/>
        <v>0</v>
      </c>
      <c r="AI275" s="56">
        <f t="shared" si="92"/>
        <v>0</v>
      </c>
      <c r="AJ275" s="56">
        <f t="shared" si="92"/>
        <v>0</v>
      </c>
      <c r="AK275" s="56">
        <f t="shared" si="92"/>
        <v>0</v>
      </c>
      <c r="AL275" s="56">
        <f t="shared" si="92"/>
        <v>0</v>
      </c>
      <c r="AM275" s="56">
        <f t="shared" si="92"/>
        <v>0</v>
      </c>
      <c r="AN275" s="56">
        <f t="shared" si="92"/>
        <v>0</v>
      </c>
      <c r="AO275" s="56">
        <f t="shared" si="92"/>
        <v>0</v>
      </c>
      <c r="AP275" s="56">
        <f t="shared" si="92"/>
        <v>0</v>
      </c>
    </row>
    <row r="276" spans="1:42" outlineLevel="1" x14ac:dyDescent="0.25">
      <c r="A276" s="54"/>
      <c r="B276" s="13"/>
      <c r="C276" s="14" t="s">
        <v>220</v>
      </c>
      <c r="D276" s="14"/>
      <c r="E276" s="70" t="s">
        <v>352</v>
      </c>
      <c r="F276" s="201">
        <f>Data!$E$416/1000</f>
        <v>1.0339278110249E-2</v>
      </c>
      <c r="G276" s="56"/>
      <c r="H276" s="56"/>
      <c r="I276" s="56">
        <f>I$271*$F$276</f>
        <v>967.7564311193064</v>
      </c>
      <c r="J276" s="56">
        <f t="shared" ref="J276:AP276" si="93">J$271*$F$276</f>
        <v>967.7564311193064</v>
      </c>
      <c r="K276" s="56">
        <f t="shared" si="93"/>
        <v>967.7564311193064</v>
      </c>
      <c r="L276" s="56">
        <f t="shared" si="93"/>
        <v>967.7564311193064</v>
      </c>
      <c r="M276" s="56">
        <f t="shared" si="93"/>
        <v>967.7564311193064</v>
      </c>
      <c r="N276" s="56">
        <f t="shared" si="93"/>
        <v>967.7564311193064</v>
      </c>
      <c r="O276" s="56">
        <f t="shared" si="93"/>
        <v>967.7564311193064</v>
      </c>
      <c r="P276" s="56">
        <f t="shared" si="93"/>
        <v>967.7564311193064</v>
      </c>
      <c r="Q276" s="56">
        <f t="shared" si="93"/>
        <v>967.7564311193064</v>
      </c>
      <c r="R276" s="56">
        <f t="shared" si="93"/>
        <v>967.7564311193064</v>
      </c>
      <c r="S276" s="56">
        <f t="shared" si="93"/>
        <v>967.7564311193064</v>
      </c>
      <c r="T276" s="56">
        <f t="shared" si="93"/>
        <v>967.7564311193064</v>
      </c>
      <c r="U276" s="56">
        <f t="shared" si="93"/>
        <v>0</v>
      </c>
      <c r="V276" s="56">
        <f t="shared" si="93"/>
        <v>0</v>
      </c>
      <c r="W276" s="56">
        <f t="shared" si="93"/>
        <v>0</v>
      </c>
      <c r="X276" s="56">
        <f t="shared" si="93"/>
        <v>0</v>
      </c>
      <c r="Y276" s="56">
        <f t="shared" si="93"/>
        <v>0</v>
      </c>
      <c r="Z276" s="56">
        <f t="shared" si="93"/>
        <v>0</v>
      </c>
      <c r="AA276" s="56">
        <f t="shared" si="93"/>
        <v>0</v>
      </c>
      <c r="AB276" s="56">
        <f t="shared" si="93"/>
        <v>0</v>
      </c>
      <c r="AC276" s="56">
        <f t="shared" si="93"/>
        <v>0</v>
      </c>
      <c r="AD276" s="56">
        <f t="shared" si="93"/>
        <v>0</v>
      </c>
      <c r="AE276" s="56">
        <f t="shared" si="93"/>
        <v>0</v>
      </c>
      <c r="AF276" s="56">
        <f t="shared" si="93"/>
        <v>0</v>
      </c>
      <c r="AG276" s="56">
        <f t="shared" si="93"/>
        <v>0</v>
      </c>
      <c r="AH276" s="56">
        <f t="shared" si="93"/>
        <v>0</v>
      </c>
      <c r="AI276" s="56">
        <f t="shared" si="93"/>
        <v>0</v>
      </c>
      <c r="AJ276" s="56">
        <f t="shared" si="93"/>
        <v>0</v>
      </c>
      <c r="AK276" s="56">
        <f t="shared" si="93"/>
        <v>0</v>
      </c>
      <c r="AL276" s="56">
        <f t="shared" si="93"/>
        <v>0</v>
      </c>
      <c r="AM276" s="56">
        <f t="shared" si="93"/>
        <v>0</v>
      </c>
      <c r="AN276" s="56">
        <f t="shared" si="93"/>
        <v>0</v>
      </c>
      <c r="AO276" s="56">
        <f t="shared" si="93"/>
        <v>0</v>
      </c>
      <c r="AP276" s="56">
        <f t="shared" si="93"/>
        <v>0</v>
      </c>
    </row>
    <row r="277" spans="1:42" outlineLevel="1" x14ac:dyDescent="0.25">
      <c r="A277" s="54"/>
      <c r="B277" s="13"/>
      <c r="C277" s="14" t="s">
        <v>212</v>
      </c>
      <c r="D277" s="14"/>
      <c r="E277" s="70" t="s">
        <v>352</v>
      </c>
      <c r="F277" s="201">
        <f>Data!$E$417/1000</f>
        <v>1.0831616103370489E-3</v>
      </c>
      <c r="G277" s="56"/>
      <c r="H277" s="56"/>
      <c r="I277" s="56">
        <f>I$271*$F$277</f>
        <v>101.38392672754777</v>
      </c>
      <c r="J277" s="56">
        <f t="shared" ref="J277:AP277" si="94">J$271*$F$277</f>
        <v>101.38392672754777</v>
      </c>
      <c r="K277" s="56">
        <f t="shared" si="94"/>
        <v>101.38392672754777</v>
      </c>
      <c r="L277" s="56">
        <f t="shared" si="94"/>
        <v>101.38392672754777</v>
      </c>
      <c r="M277" s="56">
        <f t="shared" si="94"/>
        <v>101.38392672754777</v>
      </c>
      <c r="N277" s="56">
        <f t="shared" si="94"/>
        <v>101.38392672754777</v>
      </c>
      <c r="O277" s="56">
        <f t="shared" si="94"/>
        <v>101.38392672754777</v>
      </c>
      <c r="P277" s="56">
        <f t="shared" si="94"/>
        <v>101.38392672754777</v>
      </c>
      <c r="Q277" s="56">
        <f t="shared" si="94"/>
        <v>101.38392672754777</v>
      </c>
      <c r="R277" s="56">
        <f t="shared" si="94"/>
        <v>101.38392672754777</v>
      </c>
      <c r="S277" s="56">
        <f t="shared" si="94"/>
        <v>101.38392672754777</v>
      </c>
      <c r="T277" s="56">
        <f t="shared" si="94"/>
        <v>101.38392672754777</v>
      </c>
      <c r="U277" s="56">
        <f t="shared" si="94"/>
        <v>0</v>
      </c>
      <c r="V277" s="56">
        <f t="shared" si="94"/>
        <v>0</v>
      </c>
      <c r="W277" s="56">
        <f t="shared" si="94"/>
        <v>0</v>
      </c>
      <c r="X277" s="56">
        <f t="shared" si="94"/>
        <v>0</v>
      </c>
      <c r="Y277" s="56">
        <f t="shared" si="94"/>
        <v>0</v>
      </c>
      <c r="Z277" s="56">
        <f t="shared" si="94"/>
        <v>0</v>
      </c>
      <c r="AA277" s="56">
        <f t="shared" si="94"/>
        <v>0</v>
      </c>
      <c r="AB277" s="56">
        <f t="shared" si="94"/>
        <v>0</v>
      </c>
      <c r="AC277" s="56">
        <f t="shared" si="94"/>
        <v>0</v>
      </c>
      <c r="AD277" s="56">
        <f t="shared" si="94"/>
        <v>0</v>
      </c>
      <c r="AE277" s="56">
        <f t="shared" si="94"/>
        <v>0</v>
      </c>
      <c r="AF277" s="56">
        <f t="shared" si="94"/>
        <v>0</v>
      </c>
      <c r="AG277" s="56">
        <f t="shared" si="94"/>
        <v>0</v>
      </c>
      <c r="AH277" s="56">
        <f t="shared" si="94"/>
        <v>0</v>
      </c>
      <c r="AI277" s="56">
        <f t="shared" si="94"/>
        <v>0</v>
      </c>
      <c r="AJ277" s="56">
        <f t="shared" si="94"/>
        <v>0</v>
      </c>
      <c r="AK277" s="56">
        <f t="shared" si="94"/>
        <v>0</v>
      </c>
      <c r="AL277" s="56">
        <f t="shared" si="94"/>
        <v>0</v>
      </c>
      <c r="AM277" s="56">
        <f t="shared" si="94"/>
        <v>0</v>
      </c>
      <c r="AN277" s="56">
        <f t="shared" si="94"/>
        <v>0</v>
      </c>
      <c r="AO277" s="56">
        <f t="shared" si="94"/>
        <v>0</v>
      </c>
      <c r="AP277" s="56">
        <f t="shared" si="94"/>
        <v>0</v>
      </c>
    </row>
    <row r="278" spans="1:42" outlineLevel="1" x14ac:dyDescent="0.25">
      <c r="A278" s="54"/>
      <c r="B278" s="13"/>
      <c r="C278" s="14" t="s">
        <v>485</v>
      </c>
      <c r="D278" s="14"/>
      <c r="E278" s="70" t="s">
        <v>352</v>
      </c>
      <c r="F278" s="201">
        <f>Data!$E$418/1000</f>
        <v>2.3599733894197369E-4</v>
      </c>
      <c r="G278" s="56"/>
      <c r="H278" s="56"/>
      <c r="I278" s="56">
        <f>I$271*$F$278</f>
        <v>22.089350924968738</v>
      </c>
      <c r="J278" s="56">
        <f t="shared" ref="J278:AP278" si="95">J$271*$F$278</f>
        <v>22.089350924968738</v>
      </c>
      <c r="K278" s="56">
        <f t="shared" si="95"/>
        <v>22.089350924968738</v>
      </c>
      <c r="L278" s="56">
        <f t="shared" si="95"/>
        <v>22.089350924968738</v>
      </c>
      <c r="M278" s="56">
        <f t="shared" si="95"/>
        <v>22.089350924968738</v>
      </c>
      <c r="N278" s="56">
        <f t="shared" si="95"/>
        <v>22.089350924968738</v>
      </c>
      <c r="O278" s="56">
        <f t="shared" si="95"/>
        <v>22.089350924968738</v>
      </c>
      <c r="P278" s="56">
        <f t="shared" si="95"/>
        <v>22.089350924968738</v>
      </c>
      <c r="Q278" s="56">
        <f t="shared" si="95"/>
        <v>22.089350924968738</v>
      </c>
      <c r="R278" s="56">
        <f t="shared" si="95"/>
        <v>22.089350924968738</v>
      </c>
      <c r="S278" s="56">
        <f t="shared" si="95"/>
        <v>22.089350924968738</v>
      </c>
      <c r="T278" s="56">
        <f t="shared" si="95"/>
        <v>22.089350924968738</v>
      </c>
      <c r="U278" s="56">
        <f t="shared" si="95"/>
        <v>0</v>
      </c>
      <c r="V278" s="56">
        <f t="shared" si="95"/>
        <v>0</v>
      </c>
      <c r="W278" s="56">
        <f t="shared" si="95"/>
        <v>0</v>
      </c>
      <c r="X278" s="56">
        <f t="shared" si="95"/>
        <v>0</v>
      </c>
      <c r="Y278" s="56">
        <f t="shared" si="95"/>
        <v>0</v>
      </c>
      <c r="Z278" s="56">
        <f t="shared" si="95"/>
        <v>0</v>
      </c>
      <c r="AA278" s="56">
        <f t="shared" si="95"/>
        <v>0</v>
      </c>
      <c r="AB278" s="56">
        <f t="shared" si="95"/>
        <v>0</v>
      </c>
      <c r="AC278" s="56">
        <f t="shared" si="95"/>
        <v>0</v>
      </c>
      <c r="AD278" s="56">
        <f t="shared" si="95"/>
        <v>0</v>
      </c>
      <c r="AE278" s="56">
        <f t="shared" si="95"/>
        <v>0</v>
      </c>
      <c r="AF278" s="56">
        <f t="shared" si="95"/>
        <v>0</v>
      </c>
      <c r="AG278" s="56">
        <f t="shared" si="95"/>
        <v>0</v>
      </c>
      <c r="AH278" s="56">
        <f t="shared" si="95"/>
        <v>0</v>
      </c>
      <c r="AI278" s="56">
        <f t="shared" si="95"/>
        <v>0</v>
      </c>
      <c r="AJ278" s="56">
        <f t="shared" si="95"/>
        <v>0</v>
      </c>
      <c r="AK278" s="56">
        <f t="shared" si="95"/>
        <v>0</v>
      </c>
      <c r="AL278" s="56">
        <f t="shared" si="95"/>
        <v>0</v>
      </c>
      <c r="AM278" s="56">
        <f t="shared" si="95"/>
        <v>0</v>
      </c>
      <c r="AN278" s="56">
        <f t="shared" si="95"/>
        <v>0</v>
      </c>
      <c r="AO278" s="56">
        <f t="shared" si="95"/>
        <v>0</v>
      </c>
      <c r="AP278" s="56">
        <f t="shared" si="95"/>
        <v>0</v>
      </c>
    </row>
    <row r="279" spans="1:42" outlineLevel="1" x14ac:dyDescent="0.25">
      <c r="A279" s="54"/>
      <c r="B279" s="13"/>
      <c r="C279" s="14" t="s">
        <v>214</v>
      </c>
      <c r="D279" s="14"/>
      <c r="E279" s="70" t="s">
        <v>352</v>
      </c>
      <c r="F279" s="201">
        <f>Data!$E$419/1000</f>
        <v>1.7486429999999991E-5</v>
      </c>
      <c r="G279" s="56"/>
      <c r="H279" s="56"/>
      <c r="I279" s="56">
        <f>I$271*$F$279</f>
        <v>1.6367298479999992</v>
      </c>
      <c r="J279" s="56">
        <f t="shared" ref="J279:AP279" si="96">J$271*$F$279</f>
        <v>1.6367298479999992</v>
      </c>
      <c r="K279" s="56">
        <f t="shared" si="96"/>
        <v>1.6367298479999992</v>
      </c>
      <c r="L279" s="56">
        <f t="shared" si="96"/>
        <v>1.6367298479999992</v>
      </c>
      <c r="M279" s="56">
        <f t="shared" si="96"/>
        <v>1.6367298479999992</v>
      </c>
      <c r="N279" s="56">
        <f t="shared" si="96"/>
        <v>1.6367298479999992</v>
      </c>
      <c r="O279" s="56">
        <f t="shared" si="96"/>
        <v>1.6367298479999992</v>
      </c>
      <c r="P279" s="56">
        <f t="shared" si="96"/>
        <v>1.6367298479999992</v>
      </c>
      <c r="Q279" s="56">
        <f t="shared" si="96"/>
        <v>1.6367298479999992</v>
      </c>
      <c r="R279" s="56">
        <f t="shared" si="96"/>
        <v>1.6367298479999992</v>
      </c>
      <c r="S279" s="56">
        <f t="shared" si="96"/>
        <v>1.6367298479999992</v>
      </c>
      <c r="T279" s="56">
        <f t="shared" si="96"/>
        <v>1.6367298479999992</v>
      </c>
      <c r="U279" s="56">
        <f t="shared" si="96"/>
        <v>0</v>
      </c>
      <c r="V279" s="56">
        <f t="shared" si="96"/>
        <v>0</v>
      </c>
      <c r="W279" s="56">
        <f t="shared" si="96"/>
        <v>0</v>
      </c>
      <c r="X279" s="56">
        <f t="shared" si="96"/>
        <v>0</v>
      </c>
      <c r="Y279" s="56">
        <f t="shared" si="96"/>
        <v>0</v>
      </c>
      <c r="Z279" s="56">
        <f t="shared" si="96"/>
        <v>0</v>
      </c>
      <c r="AA279" s="56">
        <f t="shared" si="96"/>
        <v>0</v>
      </c>
      <c r="AB279" s="56">
        <f t="shared" si="96"/>
        <v>0</v>
      </c>
      <c r="AC279" s="56">
        <f t="shared" si="96"/>
        <v>0</v>
      </c>
      <c r="AD279" s="56">
        <f t="shared" si="96"/>
        <v>0</v>
      </c>
      <c r="AE279" s="56">
        <f t="shared" si="96"/>
        <v>0</v>
      </c>
      <c r="AF279" s="56">
        <f t="shared" si="96"/>
        <v>0</v>
      </c>
      <c r="AG279" s="56">
        <f t="shared" si="96"/>
        <v>0</v>
      </c>
      <c r="AH279" s="56">
        <f t="shared" si="96"/>
        <v>0</v>
      </c>
      <c r="AI279" s="56">
        <f t="shared" si="96"/>
        <v>0</v>
      </c>
      <c r="AJ279" s="56">
        <f t="shared" si="96"/>
        <v>0</v>
      </c>
      <c r="AK279" s="56">
        <f t="shared" si="96"/>
        <v>0</v>
      </c>
      <c r="AL279" s="56">
        <f t="shared" si="96"/>
        <v>0</v>
      </c>
      <c r="AM279" s="56">
        <f t="shared" si="96"/>
        <v>0</v>
      </c>
      <c r="AN279" s="56">
        <f t="shared" si="96"/>
        <v>0</v>
      </c>
      <c r="AO279" s="56">
        <f t="shared" si="96"/>
        <v>0</v>
      </c>
      <c r="AP279" s="56">
        <f t="shared" si="96"/>
        <v>0</v>
      </c>
    </row>
    <row r="280" spans="1:42" outlineLevel="1" x14ac:dyDescent="0.25">
      <c r="A280" s="12"/>
      <c r="B280" s="13"/>
      <c r="C280" s="14"/>
      <c r="D280" s="14"/>
      <c r="E280" s="15"/>
      <c r="F280" s="16"/>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row>
    <row r="281" spans="1:42" outlineLevel="1" x14ac:dyDescent="0.25">
      <c r="A281" s="54"/>
      <c r="B281" s="13"/>
      <c r="C281" s="14" t="s">
        <v>205</v>
      </c>
      <c r="D281" s="14"/>
      <c r="E281" s="70" t="s">
        <v>474</v>
      </c>
      <c r="F281" s="200">
        <f>Data!$E$35/1000</f>
        <v>3.4099438202247192E-3</v>
      </c>
      <c r="G281" s="56"/>
      <c r="H281" s="56"/>
      <c r="I281" s="56">
        <f>I$273*$F$281</f>
        <v>1.2953146470742873</v>
      </c>
      <c r="J281" s="56">
        <f t="shared" ref="J281:AP281" si="97">J$273*$F$281</f>
        <v>1.2953146470742873</v>
      </c>
      <c r="K281" s="56">
        <f t="shared" si="97"/>
        <v>1.2953146470742873</v>
      </c>
      <c r="L281" s="56">
        <f t="shared" si="97"/>
        <v>1.2953146470742873</v>
      </c>
      <c r="M281" s="56">
        <f t="shared" si="97"/>
        <v>1.2953146470742873</v>
      </c>
      <c r="N281" s="56">
        <f t="shared" si="97"/>
        <v>1.2953146470742873</v>
      </c>
      <c r="O281" s="56">
        <f t="shared" si="97"/>
        <v>1.2953146470742873</v>
      </c>
      <c r="P281" s="56">
        <f t="shared" si="97"/>
        <v>1.2953146470742873</v>
      </c>
      <c r="Q281" s="56">
        <f t="shared" si="97"/>
        <v>1.2953146470742873</v>
      </c>
      <c r="R281" s="56">
        <f t="shared" si="97"/>
        <v>1.2953146470742873</v>
      </c>
      <c r="S281" s="56">
        <f t="shared" si="97"/>
        <v>1.2953146470742873</v>
      </c>
      <c r="T281" s="56">
        <f t="shared" si="97"/>
        <v>1.2953146470742873</v>
      </c>
      <c r="U281" s="56">
        <f t="shared" si="97"/>
        <v>0</v>
      </c>
      <c r="V281" s="56">
        <f t="shared" si="97"/>
        <v>0</v>
      </c>
      <c r="W281" s="56">
        <f t="shared" si="97"/>
        <v>0</v>
      </c>
      <c r="X281" s="56">
        <f t="shared" si="97"/>
        <v>0</v>
      </c>
      <c r="Y281" s="56">
        <f t="shared" si="97"/>
        <v>0</v>
      </c>
      <c r="Z281" s="56">
        <f t="shared" si="97"/>
        <v>0</v>
      </c>
      <c r="AA281" s="56">
        <f t="shared" si="97"/>
        <v>0</v>
      </c>
      <c r="AB281" s="56">
        <f t="shared" si="97"/>
        <v>0</v>
      </c>
      <c r="AC281" s="56">
        <f t="shared" si="97"/>
        <v>0</v>
      </c>
      <c r="AD281" s="56">
        <f t="shared" si="97"/>
        <v>0</v>
      </c>
      <c r="AE281" s="56">
        <f t="shared" si="97"/>
        <v>0</v>
      </c>
      <c r="AF281" s="56">
        <f t="shared" si="97"/>
        <v>0</v>
      </c>
      <c r="AG281" s="56">
        <f t="shared" si="97"/>
        <v>0</v>
      </c>
      <c r="AH281" s="56">
        <f t="shared" si="97"/>
        <v>0</v>
      </c>
      <c r="AI281" s="56">
        <f t="shared" si="97"/>
        <v>0</v>
      </c>
      <c r="AJ281" s="56">
        <f t="shared" si="97"/>
        <v>0</v>
      </c>
      <c r="AK281" s="56">
        <f t="shared" si="97"/>
        <v>0</v>
      </c>
      <c r="AL281" s="56">
        <f t="shared" si="97"/>
        <v>0</v>
      </c>
      <c r="AM281" s="56">
        <f t="shared" si="97"/>
        <v>0</v>
      </c>
      <c r="AN281" s="56">
        <f t="shared" si="97"/>
        <v>0</v>
      </c>
      <c r="AO281" s="56">
        <f t="shared" si="97"/>
        <v>0</v>
      </c>
      <c r="AP281" s="56">
        <f t="shared" si="97"/>
        <v>0</v>
      </c>
    </row>
    <row r="282" spans="1:42" outlineLevel="1" x14ac:dyDescent="0.25">
      <c r="A282" s="54"/>
      <c r="B282" s="13"/>
      <c r="C282" s="14" t="s">
        <v>484</v>
      </c>
      <c r="D282" s="14"/>
      <c r="E282" s="70" t="s">
        <v>474</v>
      </c>
      <c r="F282" s="200"/>
      <c r="G282" s="56"/>
      <c r="H282" s="56"/>
      <c r="I282" s="56">
        <f>I274*Data!H$16/1000</f>
        <v>9239.3930194090699</v>
      </c>
      <c r="J282" s="56">
        <f>J274*Data!I$16/1000</f>
        <v>10191.907763678046</v>
      </c>
      <c r="K282" s="56">
        <f>K274*Data!J$16/1000</f>
        <v>11049.171033520124</v>
      </c>
      <c r="L282" s="56">
        <f>L274*Data!K$16/1000</f>
        <v>12001.685777789102</v>
      </c>
      <c r="M282" s="56">
        <f>M274*Data!L$16/1000</f>
        <v>12954.200522058078</v>
      </c>
      <c r="N282" s="56">
        <f>N274*Data!M$16/1000</f>
        <v>13906.715266327054</v>
      </c>
      <c r="O282" s="56">
        <f>O274*Data!N$16/1000</f>
        <v>14763.97853616913</v>
      </c>
      <c r="P282" s="56">
        <f>P274*Data!O$16/1000</f>
        <v>15335.487382730518</v>
      </c>
      <c r="Q282" s="56">
        <f>Q274*Data!P$16/1000</f>
        <v>15906.996229291903</v>
      </c>
      <c r="R282" s="56">
        <f>R274*Data!Q$16/1000</f>
        <v>16573.756550280184</v>
      </c>
      <c r="S282" s="56">
        <f>S274*Data!R$16/1000</f>
        <v>17145.265396841573</v>
      </c>
      <c r="T282" s="56">
        <f>T274*Data!S$16/1000</f>
        <v>17716.774243402957</v>
      </c>
      <c r="U282" s="56">
        <f>U274*Data!T$16/1000</f>
        <v>0</v>
      </c>
      <c r="V282" s="56">
        <f>V274*Data!U$16/1000</f>
        <v>0</v>
      </c>
      <c r="W282" s="56">
        <f>W274*Data!V$16/1000</f>
        <v>0</v>
      </c>
      <c r="X282" s="56">
        <f>X274*Data!W$16/1000</f>
        <v>0</v>
      </c>
      <c r="Y282" s="56">
        <f>Y274*Data!X$16/1000</f>
        <v>0</v>
      </c>
      <c r="Z282" s="56">
        <f>Z274*Data!Y$16/1000</f>
        <v>0</v>
      </c>
      <c r="AA282" s="56">
        <f>AA274*Data!Z$16/1000</f>
        <v>0</v>
      </c>
      <c r="AB282" s="56">
        <f>AB274*Data!AA$16/1000</f>
        <v>0</v>
      </c>
      <c r="AC282" s="56">
        <f>AC274*Data!AB$16/1000</f>
        <v>0</v>
      </c>
      <c r="AD282" s="56">
        <f>AD274*Data!AC$16/1000</f>
        <v>0</v>
      </c>
      <c r="AE282" s="56">
        <f>AE274*Data!AD$16/1000</f>
        <v>0</v>
      </c>
      <c r="AF282" s="56">
        <f>AF274*Data!AE$16/1000</f>
        <v>0</v>
      </c>
      <c r="AG282" s="56">
        <f>AG274*Data!AF$16/1000</f>
        <v>0</v>
      </c>
      <c r="AH282" s="56">
        <f>AH274*Data!AG$16/1000</f>
        <v>0</v>
      </c>
      <c r="AI282" s="56">
        <f>AI274*Data!AH$16/1000</f>
        <v>0</v>
      </c>
      <c r="AJ282" s="56">
        <f>AJ274*Data!AI$16/1000</f>
        <v>0</v>
      </c>
      <c r="AK282" s="56">
        <f>AK274*Data!AJ$16/1000</f>
        <v>0</v>
      </c>
      <c r="AL282" s="56">
        <f>AL274*Data!AK$16/1000</f>
        <v>0</v>
      </c>
      <c r="AM282" s="56">
        <f>AM274*Data!AL$16/1000</f>
        <v>0</v>
      </c>
      <c r="AN282" s="56">
        <f>AN274*Data!AM$16/1000</f>
        <v>0</v>
      </c>
      <c r="AO282" s="56">
        <f>AO274*Data!AN$16/1000</f>
        <v>0</v>
      </c>
      <c r="AP282" s="56">
        <f>AP274*Data!AO$16/1000</f>
        <v>0</v>
      </c>
    </row>
    <row r="283" spans="1:42" outlineLevel="1" x14ac:dyDescent="0.25">
      <c r="A283" s="54"/>
      <c r="B283" s="13"/>
      <c r="C283" s="14" t="s">
        <v>285</v>
      </c>
      <c r="D283" s="14"/>
      <c r="E283" s="70" t="s">
        <v>474</v>
      </c>
      <c r="F283" s="200">
        <f>Data!$E$36/1000</f>
        <v>1.0822865168539326</v>
      </c>
      <c r="G283" s="56"/>
      <c r="H283" s="56"/>
      <c r="I283" s="56">
        <f>I$275*$F$283</f>
        <v>28.84102879309798</v>
      </c>
      <c r="J283" s="56">
        <f t="shared" ref="J283:AP283" si="98">J$275*$F$283</f>
        <v>28.84102879309798</v>
      </c>
      <c r="K283" s="56">
        <f t="shared" si="98"/>
        <v>28.84102879309798</v>
      </c>
      <c r="L283" s="56">
        <f t="shared" si="98"/>
        <v>28.84102879309798</v>
      </c>
      <c r="M283" s="56">
        <f t="shared" si="98"/>
        <v>28.84102879309798</v>
      </c>
      <c r="N283" s="56">
        <f t="shared" si="98"/>
        <v>28.84102879309798</v>
      </c>
      <c r="O283" s="56">
        <f t="shared" si="98"/>
        <v>28.84102879309798</v>
      </c>
      <c r="P283" s="56">
        <f t="shared" si="98"/>
        <v>28.84102879309798</v>
      </c>
      <c r="Q283" s="56">
        <f t="shared" si="98"/>
        <v>28.84102879309798</v>
      </c>
      <c r="R283" s="56">
        <f t="shared" si="98"/>
        <v>28.84102879309798</v>
      </c>
      <c r="S283" s="56">
        <f t="shared" si="98"/>
        <v>28.84102879309798</v>
      </c>
      <c r="T283" s="56">
        <f t="shared" si="98"/>
        <v>28.84102879309798</v>
      </c>
      <c r="U283" s="56">
        <f t="shared" si="98"/>
        <v>0</v>
      </c>
      <c r="V283" s="56">
        <f t="shared" si="98"/>
        <v>0</v>
      </c>
      <c r="W283" s="56">
        <f t="shared" si="98"/>
        <v>0</v>
      </c>
      <c r="X283" s="56">
        <f t="shared" si="98"/>
        <v>0</v>
      </c>
      <c r="Y283" s="56">
        <f t="shared" si="98"/>
        <v>0</v>
      </c>
      <c r="Z283" s="56">
        <f t="shared" si="98"/>
        <v>0</v>
      </c>
      <c r="AA283" s="56">
        <f t="shared" si="98"/>
        <v>0</v>
      </c>
      <c r="AB283" s="56">
        <f t="shared" si="98"/>
        <v>0</v>
      </c>
      <c r="AC283" s="56">
        <f t="shared" si="98"/>
        <v>0</v>
      </c>
      <c r="AD283" s="56">
        <f t="shared" si="98"/>
        <v>0</v>
      </c>
      <c r="AE283" s="56">
        <f t="shared" si="98"/>
        <v>0</v>
      </c>
      <c r="AF283" s="56">
        <f t="shared" si="98"/>
        <v>0</v>
      </c>
      <c r="AG283" s="56">
        <f t="shared" si="98"/>
        <v>0</v>
      </c>
      <c r="AH283" s="56">
        <f t="shared" si="98"/>
        <v>0</v>
      </c>
      <c r="AI283" s="56">
        <f t="shared" si="98"/>
        <v>0</v>
      </c>
      <c r="AJ283" s="56">
        <f t="shared" si="98"/>
        <v>0</v>
      </c>
      <c r="AK283" s="56">
        <f t="shared" si="98"/>
        <v>0</v>
      </c>
      <c r="AL283" s="56">
        <f t="shared" si="98"/>
        <v>0</v>
      </c>
      <c r="AM283" s="56">
        <f t="shared" si="98"/>
        <v>0</v>
      </c>
      <c r="AN283" s="56">
        <f t="shared" si="98"/>
        <v>0</v>
      </c>
      <c r="AO283" s="56">
        <f t="shared" si="98"/>
        <v>0</v>
      </c>
      <c r="AP283" s="56">
        <f t="shared" si="98"/>
        <v>0</v>
      </c>
    </row>
    <row r="284" spans="1:42" outlineLevel="1" x14ac:dyDescent="0.25">
      <c r="A284" s="54"/>
      <c r="B284" s="13"/>
      <c r="C284" s="14" t="s">
        <v>220</v>
      </c>
      <c r="D284" s="14"/>
      <c r="E284" s="70" t="s">
        <v>474</v>
      </c>
      <c r="F284" s="200">
        <f>Data!$E$37/1000</f>
        <v>371.00188764044947</v>
      </c>
      <c r="G284" s="56"/>
      <c r="H284" s="56"/>
      <c r="I284" s="56">
        <f>I$276*$F$284</f>
        <v>359039.46272144729</v>
      </c>
      <c r="J284" s="56">
        <f t="shared" ref="J284:AP284" si="99">J$276*$F$284</f>
        <v>359039.46272144729</v>
      </c>
      <c r="K284" s="56">
        <f t="shared" si="99"/>
        <v>359039.46272144729</v>
      </c>
      <c r="L284" s="56">
        <f t="shared" si="99"/>
        <v>359039.46272144729</v>
      </c>
      <c r="M284" s="56">
        <f t="shared" si="99"/>
        <v>359039.46272144729</v>
      </c>
      <c r="N284" s="56">
        <f t="shared" si="99"/>
        <v>359039.46272144729</v>
      </c>
      <c r="O284" s="56">
        <f t="shared" si="99"/>
        <v>359039.46272144729</v>
      </c>
      <c r="P284" s="56">
        <f t="shared" si="99"/>
        <v>359039.46272144729</v>
      </c>
      <c r="Q284" s="56">
        <f t="shared" si="99"/>
        <v>359039.46272144729</v>
      </c>
      <c r="R284" s="56">
        <f t="shared" si="99"/>
        <v>359039.46272144729</v>
      </c>
      <c r="S284" s="56">
        <f t="shared" si="99"/>
        <v>359039.46272144729</v>
      </c>
      <c r="T284" s="56">
        <f t="shared" si="99"/>
        <v>359039.46272144729</v>
      </c>
      <c r="U284" s="56">
        <f t="shared" si="99"/>
        <v>0</v>
      </c>
      <c r="V284" s="56">
        <f t="shared" si="99"/>
        <v>0</v>
      </c>
      <c r="W284" s="56">
        <f t="shared" si="99"/>
        <v>0</v>
      </c>
      <c r="X284" s="56">
        <f t="shared" si="99"/>
        <v>0</v>
      </c>
      <c r="Y284" s="56">
        <f t="shared" si="99"/>
        <v>0</v>
      </c>
      <c r="Z284" s="56">
        <f t="shared" si="99"/>
        <v>0</v>
      </c>
      <c r="AA284" s="56">
        <f t="shared" si="99"/>
        <v>0</v>
      </c>
      <c r="AB284" s="56">
        <f t="shared" si="99"/>
        <v>0</v>
      </c>
      <c r="AC284" s="56">
        <f t="shared" si="99"/>
        <v>0</v>
      </c>
      <c r="AD284" s="56">
        <f t="shared" si="99"/>
        <v>0</v>
      </c>
      <c r="AE284" s="56">
        <f t="shared" si="99"/>
        <v>0</v>
      </c>
      <c r="AF284" s="56">
        <f t="shared" si="99"/>
        <v>0</v>
      </c>
      <c r="AG284" s="56">
        <f t="shared" si="99"/>
        <v>0</v>
      </c>
      <c r="AH284" s="56">
        <f t="shared" si="99"/>
        <v>0</v>
      </c>
      <c r="AI284" s="56">
        <f t="shared" si="99"/>
        <v>0</v>
      </c>
      <c r="AJ284" s="56">
        <f t="shared" si="99"/>
        <v>0</v>
      </c>
      <c r="AK284" s="56">
        <f t="shared" si="99"/>
        <v>0</v>
      </c>
      <c r="AL284" s="56">
        <f t="shared" si="99"/>
        <v>0</v>
      </c>
      <c r="AM284" s="56">
        <f t="shared" si="99"/>
        <v>0</v>
      </c>
      <c r="AN284" s="56">
        <f t="shared" si="99"/>
        <v>0</v>
      </c>
      <c r="AO284" s="56">
        <f t="shared" si="99"/>
        <v>0</v>
      </c>
      <c r="AP284" s="56">
        <f t="shared" si="99"/>
        <v>0</v>
      </c>
    </row>
    <row r="285" spans="1:42" outlineLevel="1" x14ac:dyDescent="0.25">
      <c r="A285" s="54"/>
      <c r="B285" s="13"/>
      <c r="C285" s="14" t="s">
        <v>212</v>
      </c>
      <c r="D285" s="14"/>
      <c r="E285" s="70" t="s">
        <v>474</v>
      </c>
      <c r="F285" s="200">
        <f>Data!$E$39/1000</f>
        <v>0</v>
      </c>
      <c r="G285" s="56"/>
      <c r="H285" s="56"/>
      <c r="I285" s="56">
        <f>I$277*$F$285</f>
        <v>0</v>
      </c>
      <c r="J285" s="56">
        <f t="shared" ref="J285:AP285" si="100">J$277*$F$285</f>
        <v>0</v>
      </c>
      <c r="K285" s="56">
        <f t="shared" si="100"/>
        <v>0</v>
      </c>
      <c r="L285" s="56">
        <f t="shared" si="100"/>
        <v>0</v>
      </c>
      <c r="M285" s="56">
        <f t="shared" si="100"/>
        <v>0</v>
      </c>
      <c r="N285" s="56">
        <f t="shared" si="100"/>
        <v>0</v>
      </c>
      <c r="O285" s="56">
        <f t="shared" si="100"/>
        <v>0</v>
      </c>
      <c r="P285" s="56">
        <f t="shared" si="100"/>
        <v>0</v>
      </c>
      <c r="Q285" s="56">
        <f t="shared" si="100"/>
        <v>0</v>
      </c>
      <c r="R285" s="56">
        <f t="shared" si="100"/>
        <v>0</v>
      </c>
      <c r="S285" s="56">
        <f t="shared" si="100"/>
        <v>0</v>
      </c>
      <c r="T285" s="56">
        <f t="shared" si="100"/>
        <v>0</v>
      </c>
      <c r="U285" s="56">
        <f t="shared" si="100"/>
        <v>0</v>
      </c>
      <c r="V285" s="56">
        <f t="shared" si="100"/>
        <v>0</v>
      </c>
      <c r="W285" s="56">
        <f t="shared" si="100"/>
        <v>0</v>
      </c>
      <c r="X285" s="56">
        <f t="shared" si="100"/>
        <v>0</v>
      </c>
      <c r="Y285" s="56">
        <f t="shared" si="100"/>
        <v>0</v>
      </c>
      <c r="Z285" s="56">
        <f t="shared" si="100"/>
        <v>0</v>
      </c>
      <c r="AA285" s="56">
        <f t="shared" si="100"/>
        <v>0</v>
      </c>
      <c r="AB285" s="56">
        <f t="shared" si="100"/>
        <v>0</v>
      </c>
      <c r="AC285" s="56">
        <f t="shared" si="100"/>
        <v>0</v>
      </c>
      <c r="AD285" s="56">
        <f t="shared" si="100"/>
        <v>0</v>
      </c>
      <c r="AE285" s="56">
        <f t="shared" si="100"/>
        <v>0</v>
      </c>
      <c r="AF285" s="56">
        <f t="shared" si="100"/>
        <v>0</v>
      </c>
      <c r="AG285" s="56">
        <f t="shared" si="100"/>
        <v>0</v>
      </c>
      <c r="AH285" s="56">
        <f t="shared" si="100"/>
        <v>0</v>
      </c>
      <c r="AI285" s="56">
        <f t="shared" si="100"/>
        <v>0</v>
      </c>
      <c r="AJ285" s="56">
        <f t="shared" si="100"/>
        <v>0</v>
      </c>
      <c r="AK285" s="56">
        <f t="shared" si="100"/>
        <v>0</v>
      </c>
      <c r="AL285" s="56">
        <f t="shared" si="100"/>
        <v>0</v>
      </c>
      <c r="AM285" s="56">
        <f t="shared" si="100"/>
        <v>0</v>
      </c>
      <c r="AN285" s="56">
        <f t="shared" si="100"/>
        <v>0</v>
      </c>
      <c r="AO285" s="56">
        <f t="shared" si="100"/>
        <v>0</v>
      </c>
      <c r="AP285" s="56">
        <f t="shared" si="100"/>
        <v>0</v>
      </c>
    </row>
    <row r="286" spans="1:42" outlineLevel="1" x14ac:dyDescent="0.25">
      <c r="A286" s="54"/>
      <c r="B286" s="13"/>
      <c r="C286" s="14" t="s">
        <v>485</v>
      </c>
      <c r="D286" s="14"/>
      <c r="E286" s="70" t="s">
        <v>474</v>
      </c>
      <c r="F286" s="200">
        <f>Data!$E$40/1000</f>
        <v>605.20914606741576</v>
      </c>
      <c r="G286" s="56"/>
      <c r="H286" s="56"/>
      <c r="I286" s="56">
        <f>I$278*$F$286</f>
        <v>13368.677210483811</v>
      </c>
      <c r="J286" s="56">
        <f t="shared" ref="J286:AP286" si="101">J$278*$F$286</f>
        <v>13368.677210483811</v>
      </c>
      <c r="K286" s="56">
        <f t="shared" si="101"/>
        <v>13368.677210483811</v>
      </c>
      <c r="L286" s="56">
        <f t="shared" si="101"/>
        <v>13368.677210483811</v>
      </c>
      <c r="M286" s="56">
        <f t="shared" si="101"/>
        <v>13368.677210483811</v>
      </c>
      <c r="N286" s="56">
        <f t="shared" si="101"/>
        <v>13368.677210483811</v>
      </c>
      <c r="O286" s="56">
        <f t="shared" si="101"/>
        <v>13368.677210483811</v>
      </c>
      <c r="P286" s="56">
        <f t="shared" si="101"/>
        <v>13368.677210483811</v>
      </c>
      <c r="Q286" s="56">
        <f t="shared" si="101"/>
        <v>13368.677210483811</v>
      </c>
      <c r="R286" s="56">
        <f t="shared" si="101"/>
        <v>13368.677210483811</v>
      </c>
      <c r="S286" s="56">
        <f t="shared" si="101"/>
        <v>13368.677210483811</v>
      </c>
      <c r="T286" s="56">
        <f t="shared" si="101"/>
        <v>13368.677210483811</v>
      </c>
      <c r="U286" s="56">
        <f t="shared" si="101"/>
        <v>0</v>
      </c>
      <c r="V286" s="56">
        <f t="shared" si="101"/>
        <v>0</v>
      </c>
      <c r="W286" s="56">
        <f t="shared" si="101"/>
        <v>0</v>
      </c>
      <c r="X286" s="56">
        <f t="shared" si="101"/>
        <v>0</v>
      </c>
      <c r="Y286" s="56">
        <f t="shared" si="101"/>
        <v>0</v>
      </c>
      <c r="Z286" s="56">
        <f t="shared" si="101"/>
        <v>0</v>
      </c>
      <c r="AA286" s="56">
        <f t="shared" si="101"/>
        <v>0</v>
      </c>
      <c r="AB286" s="56">
        <f t="shared" si="101"/>
        <v>0</v>
      </c>
      <c r="AC286" s="56">
        <f t="shared" si="101"/>
        <v>0</v>
      </c>
      <c r="AD286" s="56">
        <f t="shared" si="101"/>
        <v>0</v>
      </c>
      <c r="AE286" s="56">
        <f t="shared" si="101"/>
        <v>0</v>
      </c>
      <c r="AF286" s="56">
        <f t="shared" si="101"/>
        <v>0</v>
      </c>
      <c r="AG286" s="56">
        <f t="shared" si="101"/>
        <v>0</v>
      </c>
      <c r="AH286" s="56">
        <f t="shared" si="101"/>
        <v>0</v>
      </c>
      <c r="AI286" s="56">
        <f t="shared" si="101"/>
        <v>0</v>
      </c>
      <c r="AJ286" s="56">
        <f t="shared" si="101"/>
        <v>0</v>
      </c>
      <c r="AK286" s="56">
        <f t="shared" si="101"/>
        <v>0</v>
      </c>
      <c r="AL286" s="56">
        <f t="shared" si="101"/>
        <v>0</v>
      </c>
      <c r="AM286" s="56">
        <f t="shared" si="101"/>
        <v>0</v>
      </c>
      <c r="AN286" s="56">
        <f t="shared" si="101"/>
        <v>0</v>
      </c>
      <c r="AO286" s="56">
        <f t="shared" si="101"/>
        <v>0</v>
      </c>
      <c r="AP286" s="56">
        <f t="shared" si="101"/>
        <v>0</v>
      </c>
    </row>
    <row r="287" spans="1:42" outlineLevel="1" x14ac:dyDescent="0.25">
      <c r="A287" s="54"/>
      <c r="B287" s="13"/>
      <c r="C287" s="14" t="s">
        <v>214</v>
      </c>
      <c r="D287" s="14"/>
      <c r="E287" s="70" t="s">
        <v>474</v>
      </c>
      <c r="F287" s="200">
        <f>Data!$E$41/1000</f>
        <v>0</v>
      </c>
      <c r="G287" s="56"/>
      <c r="H287" s="56"/>
      <c r="I287" s="56">
        <f>I$279*$F$287</f>
        <v>0</v>
      </c>
      <c r="J287" s="56">
        <f t="shared" ref="J287:AP287" si="102">J$279*$F$287</f>
        <v>0</v>
      </c>
      <c r="K287" s="56">
        <f t="shared" si="102"/>
        <v>0</v>
      </c>
      <c r="L287" s="56">
        <f t="shared" si="102"/>
        <v>0</v>
      </c>
      <c r="M287" s="56">
        <f t="shared" si="102"/>
        <v>0</v>
      </c>
      <c r="N287" s="56">
        <f t="shared" si="102"/>
        <v>0</v>
      </c>
      <c r="O287" s="56">
        <f t="shared" si="102"/>
        <v>0</v>
      </c>
      <c r="P287" s="56">
        <f t="shared" si="102"/>
        <v>0</v>
      </c>
      <c r="Q287" s="56">
        <f t="shared" si="102"/>
        <v>0</v>
      </c>
      <c r="R287" s="56">
        <f t="shared" si="102"/>
        <v>0</v>
      </c>
      <c r="S287" s="56">
        <f t="shared" si="102"/>
        <v>0</v>
      </c>
      <c r="T287" s="56">
        <f t="shared" si="102"/>
        <v>0</v>
      </c>
      <c r="U287" s="56">
        <f t="shared" si="102"/>
        <v>0</v>
      </c>
      <c r="V287" s="56">
        <f t="shared" si="102"/>
        <v>0</v>
      </c>
      <c r="W287" s="56">
        <f t="shared" si="102"/>
        <v>0</v>
      </c>
      <c r="X287" s="56">
        <f t="shared" si="102"/>
        <v>0</v>
      </c>
      <c r="Y287" s="56">
        <f t="shared" si="102"/>
        <v>0</v>
      </c>
      <c r="Z287" s="56">
        <f t="shared" si="102"/>
        <v>0</v>
      </c>
      <c r="AA287" s="56">
        <f t="shared" si="102"/>
        <v>0</v>
      </c>
      <c r="AB287" s="56">
        <f t="shared" si="102"/>
        <v>0</v>
      </c>
      <c r="AC287" s="56">
        <f t="shared" si="102"/>
        <v>0</v>
      </c>
      <c r="AD287" s="56">
        <f t="shared" si="102"/>
        <v>0</v>
      </c>
      <c r="AE287" s="56">
        <f t="shared" si="102"/>
        <v>0</v>
      </c>
      <c r="AF287" s="56">
        <f t="shared" si="102"/>
        <v>0</v>
      </c>
      <c r="AG287" s="56">
        <f t="shared" si="102"/>
        <v>0</v>
      </c>
      <c r="AH287" s="56">
        <f t="shared" si="102"/>
        <v>0</v>
      </c>
      <c r="AI287" s="56">
        <f t="shared" si="102"/>
        <v>0</v>
      </c>
      <c r="AJ287" s="56">
        <f t="shared" si="102"/>
        <v>0</v>
      </c>
      <c r="AK287" s="56">
        <f t="shared" si="102"/>
        <v>0</v>
      </c>
      <c r="AL287" s="56">
        <f t="shared" si="102"/>
        <v>0</v>
      </c>
      <c r="AM287" s="56">
        <f t="shared" si="102"/>
        <v>0</v>
      </c>
      <c r="AN287" s="56">
        <f t="shared" si="102"/>
        <v>0</v>
      </c>
      <c r="AO287" s="56">
        <f t="shared" si="102"/>
        <v>0</v>
      </c>
      <c r="AP287" s="56">
        <f t="shared" si="102"/>
        <v>0</v>
      </c>
    </row>
    <row r="288" spans="1:42" ht="13.5" customHeight="1" outlineLevel="1" x14ac:dyDescent="0.25">
      <c r="A288" s="12"/>
      <c r="B288" s="13"/>
      <c r="C288" s="20" t="s">
        <v>536</v>
      </c>
      <c r="D288" s="14"/>
      <c r="E288" s="70" t="s">
        <v>474</v>
      </c>
      <c r="F288" s="16"/>
      <c r="G288" s="159"/>
      <c r="H288" s="185"/>
      <c r="I288" s="185">
        <f>SUM(I281:I287)</f>
        <v>381677.66929478035</v>
      </c>
      <c r="J288" s="185">
        <f t="shared" ref="J288:AP288" si="103">SUM(J281:J287)</f>
        <v>382630.18403904932</v>
      </c>
      <c r="K288" s="185">
        <f t="shared" si="103"/>
        <v>383487.44730889139</v>
      </c>
      <c r="L288" s="185">
        <f t="shared" si="103"/>
        <v>384439.96205316036</v>
      </c>
      <c r="M288" s="185">
        <f t="shared" si="103"/>
        <v>385392.47679742938</v>
      </c>
      <c r="N288" s="185">
        <f t="shared" si="103"/>
        <v>386344.99154169834</v>
      </c>
      <c r="O288" s="185">
        <f t="shared" si="103"/>
        <v>387202.25481154042</v>
      </c>
      <c r="P288" s="185">
        <f t="shared" si="103"/>
        <v>387773.76365810179</v>
      </c>
      <c r="Q288" s="185">
        <f t="shared" si="103"/>
        <v>388345.27250466315</v>
      </c>
      <c r="R288" s="185">
        <f t="shared" si="103"/>
        <v>389012.03282565146</v>
      </c>
      <c r="S288" s="185">
        <f t="shared" si="103"/>
        <v>389583.54167221283</v>
      </c>
      <c r="T288" s="185">
        <f t="shared" si="103"/>
        <v>390155.05051877425</v>
      </c>
      <c r="U288" s="185">
        <f t="shared" si="103"/>
        <v>0</v>
      </c>
      <c r="V288" s="185">
        <f t="shared" si="103"/>
        <v>0</v>
      </c>
      <c r="W288" s="185">
        <f t="shared" si="103"/>
        <v>0</v>
      </c>
      <c r="X288" s="185">
        <f t="shared" si="103"/>
        <v>0</v>
      </c>
      <c r="Y288" s="185">
        <f t="shared" si="103"/>
        <v>0</v>
      </c>
      <c r="Z288" s="185">
        <f t="shared" si="103"/>
        <v>0</v>
      </c>
      <c r="AA288" s="185">
        <f t="shared" si="103"/>
        <v>0</v>
      </c>
      <c r="AB288" s="185">
        <f t="shared" si="103"/>
        <v>0</v>
      </c>
      <c r="AC288" s="185">
        <f t="shared" si="103"/>
        <v>0</v>
      </c>
      <c r="AD288" s="185">
        <f t="shared" si="103"/>
        <v>0</v>
      </c>
      <c r="AE288" s="185">
        <f t="shared" si="103"/>
        <v>0</v>
      </c>
      <c r="AF288" s="185">
        <f t="shared" si="103"/>
        <v>0</v>
      </c>
      <c r="AG288" s="185">
        <f t="shared" si="103"/>
        <v>0</v>
      </c>
      <c r="AH288" s="185">
        <f t="shared" si="103"/>
        <v>0</v>
      </c>
      <c r="AI288" s="185">
        <f t="shared" si="103"/>
        <v>0</v>
      </c>
      <c r="AJ288" s="185">
        <f t="shared" si="103"/>
        <v>0</v>
      </c>
      <c r="AK288" s="185">
        <f t="shared" si="103"/>
        <v>0</v>
      </c>
      <c r="AL288" s="185">
        <f t="shared" si="103"/>
        <v>0</v>
      </c>
      <c r="AM288" s="185">
        <f t="shared" si="103"/>
        <v>0</v>
      </c>
      <c r="AN288" s="185">
        <f t="shared" si="103"/>
        <v>0</v>
      </c>
      <c r="AO288" s="185">
        <f t="shared" si="103"/>
        <v>0</v>
      </c>
      <c r="AP288" s="185">
        <f t="shared" si="103"/>
        <v>0</v>
      </c>
    </row>
    <row r="289" spans="1:42" outlineLevel="1" x14ac:dyDescent="0.25">
      <c r="A289" s="12"/>
      <c r="B289" s="13"/>
      <c r="C289" s="14"/>
      <c r="D289" s="14"/>
      <c r="E289" s="15"/>
      <c r="F289" s="16"/>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row>
    <row r="290" spans="1:42" outlineLevel="1" x14ac:dyDescent="0.25">
      <c r="A290" s="12"/>
      <c r="B290" s="13"/>
      <c r="C290" s="14" t="s">
        <v>487</v>
      </c>
      <c r="D290" s="14"/>
      <c r="E290" s="15" t="s">
        <v>474</v>
      </c>
      <c r="F290" s="48"/>
      <c r="G290" s="185"/>
      <c r="H290" s="185"/>
      <c r="I290" s="185">
        <f>I288*Data!H$9</f>
        <v>366997.75893728877</v>
      </c>
      <c r="J290" s="185">
        <f>J288*Data!I$9</f>
        <v>353763.11394142872</v>
      </c>
      <c r="K290" s="185">
        <f>K288*Data!J$9</f>
        <v>340918.94425360876</v>
      </c>
      <c r="L290" s="185">
        <f>L288*Data!K$9</f>
        <v>328620.89076235017</v>
      </c>
      <c r="M290" s="185">
        <f>M288*Data!L$9</f>
        <v>316764.52342093165</v>
      </c>
      <c r="N290" s="185">
        <f>N288*Data!M$9</f>
        <v>305334.0587584945</v>
      </c>
      <c r="O290" s="185">
        <f>O288*Data!N$9</f>
        <v>294241.89074329392</v>
      </c>
      <c r="P290" s="185">
        <f>P288*Data!O$9</f>
        <v>283342.49086172919</v>
      </c>
      <c r="Q290" s="185">
        <f>Q288*Data!P$9</f>
        <v>272846.23728652264</v>
      </c>
      <c r="R290" s="185">
        <f>R288*Data!Q$9</f>
        <v>262802.59061909548</v>
      </c>
      <c r="S290" s="185">
        <f>S288*Data!R$9</f>
        <v>253066.03992115322</v>
      </c>
      <c r="T290" s="185">
        <f>T288*Data!S$9</f>
        <v>243689.69343278767</v>
      </c>
      <c r="U290" s="185">
        <f>U288*Data!T$9</f>
        <v>0</v>
      </c>
      <c r="V290" s="185">
        <f>V288*Data!U$9</f>
        <v>0</v>
      </c>
      <c r="W290" s="185">
        <f>W288*Data!V$9</f>
        <v>0</v>
      </c>
      <c r="X290" s="185">
        <f>X288*Data!W$9</f>
        <v>0</v>
      </c>
      <c r="Y290" s="185">
        <f>Y288*Data!X$9</f>
        <v>0</v>
      </c>
      <c r="Z290" s="185">
        <f>Z288*Data!Y$9</f>
        <v>0</v>
      </c>
      <c r="AA290" s="185">
        <f>AA288*Data!Z$9</f>
        <v>0</v>
      </c>
      <c r="AB290" s="185">
        <f>AB288*Data!AA$9</f>
        <v>0</v>
      </c>
      <c r="AC290" s="185">
        <f>AC288*Data!AB$9</f>
        <v>0</v>
      </c>
      <c r="AD290" s="185">
        <f>AD288*Data!AC$9</f>
        <v>0</v>
      </c>
      <c r="AE290" s="185">
        <f>AE288*Data!AD$9</f>
        <v>0</v>
      </c>
      <c r="AF290" s="185">
        <f>AF288*Data!AE$9</f>
        <v>0</v>
      </c>
      <c r="AG290" s="185">
        <f>AG288*Data!AF$9</f>
        <v>0</v>
      </c>
      <c r="AH290" s="185">
        <f>AH288*Data!AG$9</f>
        <v>0</v>
      </c>
      <c r="AI290" s="185">
        <f>AI288*Data!AH$9</f>
        <v>0</v>
      </c>
      <c r="AJ290" s="185">
        <f>AJ288*Data!AI$9</f>
        <v>0</v>
      </c>
      <c r="AK290" s="185">
        <f>AK288*Data!AJ$9</f>
        <v>0</v>
      </c>
      <c r="AL290" s="185">
        <f>AL288*Data!AK$9</f>
        <v>0</v>
      </c>
      <c r="AM290" s="185">
        <f>AM288*Data!AL$9</f>
        <v>0</v>
      </c>
      <c r="AN290" s="185">
        <f>AN288*Data!AM$9</f>
        <v>0</v>
      </c>
      <c r="AO290" s="185">
        <f>AO288*Data!AN$9</f>
        <v>0</v>
      </c>
      <c r="AP290" s="185">
        <f>AP288*Data!AO$9</f>
        <v>0</v>
      </c>
    </row>
    <row r="291" spans="1:42" outlineLevel="1" x14ac:dyDescent="0.25">
      <c r="A291" s="12"/>
      <c r="B291" s="13"/>
      <c r="C291" s="14" t="s">
        <v>488</v>
      </c>
      <c r="D291" s="13"/>
      <c r="E291" s="15" t="s">
        <v>142</v>
      </c>
      <c r="F291" s="16"/>
      <c r="G291" s="159">
        <f>SUM(H290:AP290)</f>
        <v>3622388.2329386845</v>
      </c>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row>
    <row r="292" spans="1:42" outlineLevel="1" x14ac:dyDescent="0.25">
      <c r="A292" s="12"/>
      <c r="B292" s="13"/>
      <c r="C292" s="20" t="s">
        <v>488</v>
      </c>
      <c r="D292" s="19"/>
      <c r="E292" s="15" t="s">
        <v>261</v>
      </c>
      <c r="F292" s="16"/>
      <c r="G292" s="183">
        <f>G291/(SUM(H271:AE271))</f>
        <v>3.2250607486989713</v>
      </c>
      <c r="H292" s="14"/>
      <c r="I292" s="159"/>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row>
    <row r="293" spans="1:42" outlineLevel="1" x14ac:dyDescent="0.25">
      <c r="A293" s="12"/>
      <c r="B293" s="13"/>
      <c r="C293" s="20"/>
      <c r="D293" s="19"/>
      <c r="E293" s="15"/>
      <c r="F293" s="16"/>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row>
    <row r="294" spans="1:42" ht="18.75" outlineLevel="1" x14ac:dyDescent="0.3">
      <c r="A294" s="12"/>
      <c r="B294" s="13"/>
      <c r="C294" s="226" t="str">
        <f>C174</f>
        <v>TCO 2: Immediate Diesel to BEB Bus Replacement</v>
      </c>
      <c r="D294" s="225"/>
      <c r="E294" s="15" t="s">
        <v>261</v>
      </c>
      <c r="F294" s="16"/>
      <c r="G294" s="224">
        <f>G231+G265+G241-G292</f>
        <v>-2.154553846862298</v>
      </c>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row>
    <row r="295" spans="1:42" outlineLevel="1" x14ac:dyDescent="0.25">
      <c r="A295" s="12"/>
      <c r="B295" s="13"/>
      <c r="C295" s="187"/>
      <c r="D295" s="19"/>
      <c r="E295" s="15"/>
      <c r="F295" s="16"/>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row>
    <row r="296" spans="1:42" outlineLevel="1" x14ac:dyDescent="0.25">
      <c r="A296" s="12"/>
      <c r="B296" s="13"/>
      <c r="C296" s="24" t="s">
        <v>525</v>
      </c>
      <c r="D296" s="24"/>
      <c r="E296" s="25"/>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7"/>
    </row>
    <row r="297" spans="1:42" outlineLevel="1" x14ac:dyDescent="0.25">
      <c r="A297" s="12"/>
      <c r="B297" s="13"/>
      <c r="C297" s="13"/>
      <c r="D297" s="14"/>
      <c r="E297" s="15"/>
      <c r="F297" s="16"/>
      <c r="G297" s="14"/>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17"/>
    </row>
    <row r="298" spans="1:42" outlineLevel="1" x14ac:dyDescent="0.25">
      <c r="A298" s="12"/>
      <c r="B298" s="13"/>
      <c r="C298" s="37" t="s">
        <v>537</v>
      </c>
      <c r="D298" s="37"/>
      <c r="E298" s="38"/>
      <c r="F298" s="39"/>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17"/>
    </row>
    <row r="299" spans="1:42" outlineLevel="1" x14ac:dyDescent="0.25">
      <c r="A299" s="12"/>
      <c r="B299" s="13"/>
      <c r="C299" s="96" t="s">
        <v>526</v>
      </c>
      <c r="D299" s="14"/>
      <c r="E299" s="15" t="s">
        <v>142</v>
      </c>
      <c r="F299" s="16"/>
      <c r="G299" s="141">
        <f>G230</f>
        <v>1952436.0366279755</v>
      </c>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17"/>
    </row>
    <row r="300" spans="1:42" outlineLevel="1" x14ac:dyDescent="0.25">
      <c r="A300" s="12"/>
      <c r="B300" s="13"/>
      <c r="C300" s="96" t="s">
        <v>527</v>
      </c>
      <c r="D300" s="14"/>
      <c r="E300" s="15" t="s">
        <v>474</v>
      </c>
      <c r="F300" s="16"/>
      <c r="G300" s="151">
        <f>G299/Data!$E$337</f>
        <v>97621.80183139877</v>
      </c>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17"/>
    </row>
    <row r="301" spans="1:42" outlineLevel="1" x14ac:dyDescent="0.25">
      <c r="A301" s="12"/>
      <c r="B301" s="13"/>
      <c r="C301" s="96" t="s">
        <v>528</v>
      </c>
      <c r="D301" s="14"/>
      <c r="E301" s="15" t="s">
        <v>529</v>
      </c>
      <c r="F301" s="16"/>
      <c r="G301" s="151">
        <f>SUM(I247:AC247)</f>
        <v>298924.98509670619</v>
      </c>
      <c r="H301" s="14"/>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17"/>
    </row>
    <row r="302" spans="1:42" outlineLevel="1" x14ac:dyDescent="0.25">
      <c r="A302" s="12"/>
      <c r="B302" s="13"/>
      <c r="C302" s="96" t="s">
        <v>530</v>
      </c>
      <c r="D302" s="14"/>
      <c r="E302" s="15" t="s">
        <v>531</v>
      </c>
      <c r="F302" s="16"/>
      <c r="G302" s="151">
        <f>G301/Data!$E$337</f>
        <v>14946.249254835309</v>
      </c>
      <c r="H302" s="14"/>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17"/>
    </row>
    <row r="303" spans="1:42" outlineLevel="1" x14ac:dyDescent="0.25">
      <c r="A303" s="12"/>
      <c r="B303" s="13"/>
      <c r="C303" s="96" t="s">
        <v>579</v>
      </c>
      <c r="D303" s="14"/>
      <c r="E303" s="15" t="s">
        <v>531</v>
      </c>
      <c r="F303" s="16"/>
      <c r="G303" s="151">
        <f>SUM(I274:AB274)/Dashboard!$I$31</f>
        <v>95251.474426897606</v>
      </c>
      <c r="H303" s="14"/>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17"/>
    </row>
    <row r="304" spans="1:42" outlineLevel="1" x14ac:dyDescent="0.25">
      <c r="A304" s="12"/>
      <c r="B304" s="13"/>
      <c r="C304" s="14"/>
      <c r="D304" s="14"/>
      <c r="E304" s="15"/>
      <c r="F304" s="16"/>
      <c r="G304" s="14"/>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29"/>
    </row>
    <row r="305" spans="1:42" outlineLevel="1" x14ac:dyDescent="0.25">
      <c r="A305" s="12"/>
      <c r="B305" s="13"/>
      <c r="C305" s="37" t="s">
        <v>538</v>
      </c>
      <c r="D305" s="37"/>
      <c r="E305" s="38"/>
      <c r="F305" s="39"/>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17"/>
    </row>
    <row r="306" spans="1:42" outlineLevel="1" x14ac:dyDescent="0.25">
      <c r="A306" s="12"/>
      <c r="B306" s="13"/>
      <c r="C306" s="14" t="s">
        <v>580</v>
      </c>
      <c r="D306" s="14"/>
      <c r="E306" s="15" t="s">
        <v>142</v>
      </c>
      <c r="F306" s="16"/>
      <c r="G306" s="177">
        <f>G300-'Diesel (BAU)'!$G$91</f>
        <v>-58033.405393048568</v>
      </c>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17"/>
    </row>
    <row r="307" spans="1:42" outlineLevel="1" x14ac:dyDescent="0.25">
      <c r="A307" s="12"/>
      <c r="B307" s="13"/>
      <c r="C307" s="14" t="s">
        <v>540</v>
      </c>
      <c r="D307" s="44"/>
      <c r="E307" s="15" t="s">
        <v>529</v>
      </c>
      <c r="F307" s="16"/>
      <c r="G307" s="177">
        <f>'Diesel (BAU)'!$G$93-G302+G303</f>
        <v>175556.69959895994</v>
      </c>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17"/>
    </row>
    <row r="308" spans="1:42" ht="18.75" outlineLevel="1" x14ac:dyDescent="0.3">
      <c r="A308" s="12"/>
      <c r="B308" s="13"/>
      <c r="C308" s="221" t="s">
        <v>542</v>
      </c>
      <c r="D308" s="45"/>
      <c r="E308" s="15"/>
      <c r="F308" s="16"/>
      <c r="G308" s="220">
        <f>G306/G307</f>
        <v>-0.3305678765072454</v>
      </c>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29"/>
    </row>
    <row r="309" spans="1:42" outlineLevel="1" x14ac:dyDescent="0.25">
      <c r="A309" s="12"/>
      <c r="C309" s="13"/>
      <c r="D309" s="45"/>
      <c r="E309" s="15"/>
      <c r="F309" s="16"/>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29"/>
    </row>
    <row r="310" spans="1:42" outlineLevel="1" x14ac:dyDescent="0.25">
      <c r="A310" s="12"/>
      <c r="B310" s="13"/>
      <c r="C310" s="41"/>
      <c r="D310" s="41"/>
      <c r="E310" s="15"/>
      <c r="F310" s="16"/>
      <c r="G310" s="14"/>
      <c r="H310" s="141"/>
      <c r="I310" s="141"/>
      <c r="J310" s="141"/>
      <c r="K310" s="141"/>
      <c r="L310" s="141"/>
      <c r="M310" s="141"/>
      <c r="N310" s="141"/>
      <c r="O310" s="141"/>
      <c r="P310" s="141"/>
      <c r="Q310" s="141"/>
      <c r="R310" s="141"/>
      <c r="S310" s="141"/>
      <c r="T310" s="141"/>
      <c r="U310" s="141"/>
      <c r="V310" s="141"/>
      <c r="W310" s="141"/>
      <c r="X310" s="141"/>
      <c r="Y310" s="141"/>
      <c r="Z310" s="141"/>
      <c r="AA310" s="141"/>
      <c r="AB310" s="141"/>
      <c r="AC310" s="14"/>
      <c r="AD310" s="14"/>
      <c r="AE310" s="14"/>
      <c r="AF310" s="14"/>
      <c r="AG310" s="14"/>
      <c r="AH310" s="14"/>
      <c r="AI310" s="14"/>
      <c r="AJ310" s="14"/>
      <c r="AK310" s="14"/>
      <c r="AL310" s="14"/>
      <c r="AM310" s="14"/>
      <c r="AN310" s="14"/>
      <c r="AO310" s="14"/>
      <c r="AP310" s="17"/>
    </row>
    <row r="311" spans="1:42" x14ac:dyDescent="0.25">
      <c r="A311" s="261"/>
      <c r="B311" s="261"/>
      <c r="C311" s="261" t="s">
        <v>581</v>
      </c>
      <c r="D311" s="261"/>
      <c r="E311" s="262"/>
      <c r="F311" s="263"/>
      <c r="G311" s="263"/>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3"/>
      <c r="AD311" s="263"/>
      <c r="AE311" s="263"/>
      <c r="AF311" s="263"/>
      <c r="AG311" s="263"/>
      <c r="AH311" s="263"/>
      <c r="AI311" s="263"/>
      <c r="AJ311" s="263"/>
      <c r="AK311" s="263"/>
      <c r="AL311" s="263"/>
      <c r="AM311" s="263"/>
      <c r="AN311" s="263"/>
      <c r="AO311" s="263"/>
      <c r="AP311" s="265"/>
    </row>
    <row r="312" spans="1:42" outlineLevel="1" x14ac:dyDescent="0.25">
      <c r="A312" s="12"/>
      <c r="B312" s="13"/>
      <c r="C312" s="14"/>
      <c r="D312" s="14"/>
      <c r="E312" s="15"/>
      <c r="F312" s="16"/>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7"/>
    </row>
    <row r="313" spans="1:42" outlineLevel="1" x14ac:dyDescent="0.25">
      <c r="A313" s="12"/>
      <c r="B313" s="13"/>
      <c r="C313" s="14" t="s">
        <v>582</v>
      </c>
      <c r="D313" s="14"/>
      <c r="E313" s="15" t="s">
        <v>112</v>
      </c>
      <c r="F313" s="16"/>
      <c r="G313" s="159">
        <f>SUM($I$21:$AB$21)</f>
        <v>1872000</v>
      </c>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row>
    <row r="314" spans="1:42" outlineLevel="1" x14ac:dyDescent="0.25">
      <c r="A314" s="12"/>
      <c r="B314" s="13"/>
      <c r="C314" s="14" t="s">
        <v>583</v>
      </c>
      <c r="D314" s="14"/>
      <c r="E314" s="15" t="s">
        <v>112</v>
      </c>
      <c r="F314" s="16"/>
      <c r="G314" s="141">
        <f>Route!$H$35</f>
        <v>37440</v>
      </c>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row>
    <row r="315" spans="1:42" outlineLevel="1" x14ac:dyDescent="0.25">
      <c r="A315" s="12"/>
      <c r="B315" s="13"/>
      <c r="C315" s="20" t="s">
        <v>584</v>
      </c>
      <c r="D315" s="20"/>
      <c r="E315" s="21" t="s">
        <v>112</v>
      </c>
      <c r="F315" s="48"/>
      <c r="G315" s="378">
        <f>SUM(G313:G314)</f>
        <v>1909440</v>
      </c>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row>
    <row r="316" spans="1:42" outlineLevel="1" x14ac:dyDescent="0.25">
      <c r="A316" s="12"/>
      <c r="B316" s="13"/>
      <c r="C316" s="14"/>
      <c r="D316" s="14"/>
      <c r="E316" s="15"/>
      <c r="F316" s="16"/>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row>
    <row r="317" spans="1:42" outlineLevel="1" x14ac:dyDescent="0.25">
      <c r="A317" s="12"/>
      <c r="B317" s="13"/>
      <c r="C317" s="14" t="s">
        <v>585</v>
      </c>
      <c r="D317" s="19"/>
      <c r="E317" s="15" t="s">
        <v>142</v>
      </c>
      <c r="F317" s="16"/>
      <c r="G317" s="150">
        <f>G230</f>
        <v>1952436.0366279755</v>
      </c>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row>
    <row r="318" spans="1:42" outlineLevel="1" x14ac:dyDescent="0.25">
      <c r="A318" s="12"/>
      <c r="B318" s="13"/>
      <c r="C318" s="14" t="s">
        <v>586</v>
      </c>
      <c r="D318" s="19"/>
      <c r="E318" s="15" t="s">
        <v>142</v>
      </c>
      <c r="F318" s="16"/>
      <c r="G318" s="150">
        <f>Route!$G$61</f>
        <v>32852.076245401164</v>
      </c>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row>
    <row r="319" spans="1:42" outlineLevel="1" x14ac:dyDescent="0.25">
      <c r="A319" s="12"/>
      <c r="B319" s="13"/>
      <c r="C319" s="14" t="s">
        <v>587</v>
      </c>
      <c r="D319" s="19"/>
      <c r="E319" s="15" t="s">
        <v>588</v>
      </c>
      <c r="F319" s="16"/>
      <c r="G319" s="376">
        <f>SUM(G317:G318)</f>
        <v>1985288.1128733766</v>
      </c>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row>
    <row r="320" spans="1:42" outlineLevel="1" x14ac:dyDescent="0.25">
      <c r="A320" s="12"/>
      <c r="B320" s="13"/>
      <c r="C320" s="20" t="s">
        <v>587</v>
      </c>
      <c r="D320" s="19"/>
      <c r="E320" s="15" t="s">
        <v>261</v>
      </c>
      <c r="F320" s="16"/>
      <c r="G320" s="376">
        <f>G319/G315</f>
        <v>1.0397227003065697</v>
      </c>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row>
    <row r="321" spans="1:42" outlineLevel="1" x14ac:dyDescent="0.25">
      <c r="A321" s="12"/>
      <c r="B321" s="13"/>
      <c r="C321" s="20"/>
      <c r="D321" s="19"/>
      <c r="E321" s="15"/>
      <c r="F321" s="16"/>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row>
    <row r="322" spans="1:42" outlineLevel="1" x14ac:dyDescent="0.25">
      <c r="A322" s="12"/>
      <c r="B322" s="13"/>
      <c r="C322" s="14" t="s">
        <v>589</v>
      </c>
      <c r="D322" s="19"/>
      <c r="E322" s="15" t="s">
        <v>142</v>
      </c>
      <c r="F322" s="16"/>
      <c r="G322" s="56">
        <f>G240+G264</f>
        <v>51552.883610276775</v>
      </c>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row>
    <row r="323" spans="1:42" outlineLevel="1" x14ac:dyDescent="0.25">
      <c r="A323" s="12"/>
      <c r="B323" s="13"/>
      <c r="C323" s="14" t="s">
        <v>590</v>
      </c>
      <c r="D323" s="19"/>
      <c r="E323" s="15" t="s">
        <v>142</v>
      </c>
      <c r="F323" s="16"/>
      <c r="G323" s="150">
        <f>Route!$G$119</f>
        <v>100696.94441250921</v>
      </c>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row>
    <row r="324" spans="1:42" outlineLevel="1" x14ac:dyDescent="0.25">
      <c r="A324" s="12"/>
      <c r="B324" s="13"/>
      <c r="C324" s="20" t="s">
        <v>591</v>
      </c>
      <c r="D324" s="19"/>
      <c r="E324" s="15" t="s">
        <v>588</v>
      </c>
      <c r="F324" s="16"/>
      <c r="G324" s="376">
        <f>SUM(G322:G323)</f>
        <v>152249.82802278598</v>
      </c>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row>
    <row r="325" spans="1:42" outlineLevel="1" x14ac:dyDescent="0.25">
      <c r="A325" s="12"/>
      <c r="B325" s="13"/>
      <c r="C325" s="20" t="s">
        <v>592</v>
      </c>
      <c r="D325" s="19"/>
      <c r="E325" s="15" t="s">
        <v>261</v>
      </c>
      <c r="F325" s="16"/>
      <c r="G325" s="376">
        <f>G324/G315</f>
        <v>7.9735329742116001E-2</v>
      </c>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row>
    <row r="326" spans="1:42" outlineLevel="1" x14ac:dyDescent="0.25">
      <c r="A326" s="12"/>
      <c r="B326" s="13"/>
      <c r="C326" s="20" t="s">
        <v>593</v>
      </c>
      <c r="D326" s="19"/>
      <c r="E326" s="15"/>
      <c r="F326" s="16"/>
      <c r="G326" s="377"/>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row>
    <row r="327" spans="1:42" outlineLevel="1" x14ac:dyDescent="0.25">
      <c r="A327" s="12"/>
      <c r="B327" s="13"/>
      <c r="C327" s="20"/>
      <c r="D327" s="19"/>
      <c r="E327" s="15"/>
      <c r="F327" s="16"/>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row>
    <row r="328" spans="1:42" ht="18.75" outlineLevel="1" x14ac:dyDescent="0.3">
      <c r="A328" s="12"/>
      <c r="B328" s="13"/>
      <c r="C328" s="226" t="str">
        <f>C311</f>
        <v>TCO 3: Immediate Diesel to BEB Bus Replacement with Diesel bus used for Mode Shift</v>
      </c>
      <c r="D328" s="226"/>
      <c r="E328" s="15" t="s">
        <v>261</v>
      </c>
      <c r="F328" s="16"/>
      <c r="G328" s="224">
        <f>G320+G325</f>
        <v>1.1194580300486856</v>
      </c>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row>
    <row r="329" spans="1:42" x14ac:dyDescent="0.25">
      <c r="A329" s="12"/>
      <c r="B329" s="13"/>
      <c r="C329" s="14"/>
      <c r="D329" s="14"/>
      <c r="E329" s="15"/>
      <c r="F329" s="16"/>
      <c r="G329" s="14"/>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17"/>
    </row>
    <row r="330" spans="1:42" x14ac:dyDescent="0.25">
      <c r="A330" s="89"/>
      <c r="B330" s="89"/>
      <c r="C330" s="90" t="s">
        <v>173</v>
      </c>
      <c r="D330" s="91"/>
      <c r="E330" s="92"/>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3"/>
    </row>
    <row r="331" spans="1:42" x14ac:dyDescent="0.25">
      <c r="A331" s="23"/>
      <c r="B331" s="23"/>
      <c r="C331" s="24" t="s">
        <v>543</v>
      </c>
      <c r="D331" s="24"/>
      <c r="E331" s="25"/>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7"/>
    </row>
    <row r="332" spans="1:42" x14ac:dyDescent="0.25">
      <c r="A332" s="13"/>
      <c r="B332" s="13"/>
      <c r="C332" s="30"/>
      <c r="D332" s="30"/>
      <c r="E332" s="31"/>
      <c r="F332" s="16"/>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3"/>
    </row>
    <row r="333" spans="1:42" x14ac:dyDescent="0.25">
      <c r="A333" s="12"/>
      <c r="B333" s="13"/>
      <c r="C333" s="37" t="s">
        <v>506</v>
      </c>
      <c r="D333" s="37"/>
      <c r="E333" s="38"/>
      <c r="F333" s="39"/>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17"/>
    </row>
    <row r="334" spans="1:42" x14ac:dyDescent="0.25">
      <c r="A334" s="12"/>
      <c r="B334" s="13"/>
      <c r="C334" s="136" t="s">
        <v>507</v>
      </c>
      <c r="D334" s="41"/>
      <c r="E334" s="15" t="s">
        <v>465</v>
      </c>
      <c r="F334" s="16"/>
      <c r="G334" s="14"/>
      <c r="H334" s="141"/>
      <c r="I334" s="141">
        <f>Route!I18</f>
        <v>51480</v>
      </c>
      <c r="J334" s="141">
        <f>Route!J18</f>
        <v>51480</v>
      </c>
      <c r="K334" s="141">
        <f>Route!K18</f>
        <v>51480</v>
      </c>
      <c r="L334" s="141">
        <f>Route!L18</f>
        <v>51480</v>
      </c>
      <c r="M334" s="141">
        <f>Route!M18</f>
        <v>51480</v>
      </c>
      <c r="N334" s="141">
        <f>Route!N18</f>
        <v>51480</v>
      </c>
      <c r="O334" s="141">
        <f>Route!O18</f>
        <v>51480</v>
      </c>
      <c r="P334" s="141">
        <f>Route!P18</f>
        <v>51480</v>
      </c>
      <c r="Q334" s="141">
        <f>Route!Q18</f>
        <v>51480</v>
      </c>
      <c r="R334" s="141">
        <f>Route!R18</f>
        <v>51480</v>
      </c>
      <c r="S334" s="141">
        <f>Route!S18</f>
        <v>51480</v>
      </c>
      <c r="T334" s="141">
        <f>Route!T18</f>
        <v>51480</v>
      </c>
      <c r="U334" s="141">
        <f>Route!U18</f>
        <v>51480</v>
      </c>
      <c r="V334" s="141">
        <f>Route!V18</f>
        <v>51480</v>
      </c>
      <c r="W334" s="141">
        <f>Route!W18</f>
        <v>51480</v>
      </c>
      <c r="X334" s="141">
        <f>Route!X18</f>
        <v>51480</v>
      </c>
      <c r="Y334" s="141">
        <f>Route!Y18</f>
        <v>51480</v>
      </c>
      <c r="Z334" s="141">
        <f>Route!Z18</f>
        <v>51480</v>
      </c>
      <c r="AA334" s="141">
        <f>Route!AA18</f>
        <v>51480</v>
      </c>
      <c r="AB334" s="141">
        <f>Route!AB18</f>
        <v>51480</v>
      </c>
      <c r="AC334" s="141">
        <f>Route!AC18</f>
        <v>51480</v>
      </c>
      <c r="AD334" s="141">
        <f>Route!AD18</f>
        <v>51480</v>
      </c>
      <c r="AE334" s="141">
        <f>Route!AE18</f>
        <v>51480</v>
      </c>
      <c r="AF334" s="141">
        <f>Route!AF18</f>
        <v>51480</v>
      </c>
      <c r="AG334" s="141">
        <f>Route!AG18</f>
        <v>51480</v>
      </c>
      <c r="AH334" s="141">
        <f>Route!AH18</f>
        <v>51480</v>
      </c>
      <c r="AI334" s="141">
        <f>Route!AI18</f>
        <v>51480</v>
      </c>
      <c r="AJ334" s="141">
        <f>Route!AJ18</f>
        <v>51480</v>
      </c>
      <c r="AK334" s="141">
        <f>Route!AK18</f>
        <v>51480</v>
      </c>
      <c r="AL334" s="141">
        <f>Route!AL18</f>
        <v>51480</v>
      </c>
      <c r="AM334" s="141">
        <f>Route!AM18</f>
        <v>51480</v>
      </c>
      <c r="AN334" s="141">
        <f>Route!AN18</f>
        <v>51480</v>
      </c>
      <c r="AO334" s="141"/>
      <c r="AP334" s="17"/>
    </row>
    <row r="335" spans="1:42" x14ac:dyDescent="0.25">
      <c r="A335" s="12"/>
      <c r="B335" s="13"/>
      <c r="C335" s="136" t="s">
        <v>340</v>
      </c>
      <c r="D335" s="41"/>
      <c r="E335" s="15" t="s">
        <v>116</v>
      </c>
      <c r="F335" s="174">
        <v>0.02</v>
      </c>
      <c r="G335" s="14"/>
      <c r="H335" s="159"/>
      <c r="I335" s="159">
        <f>IF(COUNT($I$3:I3)&gt;(Dashboard!$I$31),BEB!$F$335*1,0)</f>
        <v>0</v>
      </c>
      <c r="J335" s="159">
        <f>IF(COUNT($I$3:J3)&gt;(Dashboard!$I$31),BEB!$F$335*1,0)</f>
        <v>0</v>
      </c>
      <c r="K335" s="159">
        <f>IF(COUNT($I$3:K3)&gt;(Dashboard!$I$31),BEB!$F$335*1,0)</f>
        <v>0</v>
      </c>
      <c r="L335" s="159">
        <f>IF(COUNT($I$3:L3)&gt;(Dashboard!$I$31),BEB!$F$335*1,0)</f>
        <v>0</v>
      </c>
      <c r="M335" s="159">
        <f>IF(COUNT($I$3:M3)&gt;(Dashboard!$I$31),BEB!$F$335*1,0)</f>
        <v>0</v>
      </c>
      <c r="N335" s="159">
        <f>IF(COUNT($I$3:N3)&gt;(Dashboard!$I$31),BEB!$F$335*1,0)</f>
        <v>0</v>
      </c>
      <c r="O335" s="159">
        <f>IF(COUNT($I$3:O3)&gt;(Dashboard!$I$31),BEB!$F$335*1,0)</f>
        <v>0</v>
      </c>
      <c r="P335" s="159">
        <f>IF(COUNT($I$3:P3)&gt;(Dashboard!$I$31),BEB!$F$335*1,0)</f>
        <v>0</v>
      </c>
      <c r="Q335" s="159">
        <f>IF(COUNT($I$3:Q3)&gt;(Dashboard!$I$31),BEB!$F$335*1,0)</f>
        <v>0</v>
      </c>
      <c r="R335" s="159">
        <f>IF(COUNT($I$3:R3)&gt;(Dashboard!$I$31),BEB!$F$335*1,0)</f>
        <v>0</v>
      </c>
      <c r="S335" s="159">
        <f>IF(COUNT($I$3:S3)&gt;(Dashboard!$I$31),BEB!$F$335*1,0)</f>
        <v>0</v>
      </c>
      <c r="T335" s="159">
        <f>IF(COUNT($I$3:T3)&gt;(Dashboard!$I$31),BEB!$F$335*1,0)</f>
        <v>0</v>
      </c>
      <c r="U335" s="159">
        <f>IF(COUNT($I$3:U3)&gt;(Dashboard!$I$31),BEB!$F$335*1,0)</f>
        <v>0.02</v>
      </c>
      <c r="V335" s="159">
        <f>IF(COUNT($I$3:V3)&gt;(Dashboard!$I$31),BEB!$F$335*1,0)</f>
        <v>0.02</v>
      </c>
      <c r="W335" s="159">
        <f>IF(COUNT($I$3:W3)&gt;(Dashboard!$I$31),BEB!$F$335*1,0)</f>
        <v>0.02</v>
      </c>
      <c r="X335" s="159">
        <f>IF(COUNT($I$3:X3)&gt;(Dashboard!$I$31),BEB!$F$335*1,0)</f>
        <v>0.02</v>
      </c>
      <c r="Y335" s="159">
        <f>IF(COUNT($I$3:Y3)&gt;(Dashboard!$I$31),BEB!$F$335*1,0)</f>
        <v>0.02</v>
      </c>
      <c r="Z335" s="159">
        <f>IF(COUNT($I$3:Z3)&gt;(Dashboard!$I$31),BEB!$F$335*1,0)</f>
        <v>0.02</v>
      </c>
      <c r="AA335" s="159">
        <f>IF(COUNT($I$3:AA3)&gt;(Dashboard!$I$31),BEB!$F$335*1,0)</f>
        <v>0.02</v>
      </c>
      <c r="AB335" s="159">
        <f>IF(COUNT($I$3:AB3)&gt;(Dashboard!$I$31),BEB!$F$335*1,0)</f>
        <v>0.02</v>
      </c>
      <c r="AC335" s="159">
        <f>IF(COUNT($I$3:AC3)&gt;(Dashboard!$I$31),BEB!$F$335*1,0)</f>
        <v>0.02</v>
      </c>
      <c r="AD335" s="159">
        <f>IF(COUNT($I$3:AD3)&gt;(Dashboard!$I$31),BEB!$F$335*1,0)</f>
        <v>0.02</v>
      </c>
      <c r="AE335" s="159">
        <f>IF(COUNT($I$3:AE3)&gt;(Dashboard!$I$31),BEB!$F$335*1,0)</f>
        <v>0.02</v>
      </c>
      <c r="AF335" s="159">
        <f>IF(COUNT($I$3:AF3)&gt;(Dashboard!$I$31),BEB!$F$335*1,0)</f>
        <v>0.02</v>
      </c>
      <c r="AG335" s="159">
        <f>IF(COUNT($I$3:AG3)&gt;(Dashboard!$I$31),BEB!$F$335*1,0)</f>
        <v>0.02</v>
      </c>
      <c r="AH335" s="159">
        <f>IF(COUNT($I$3:AH3)&gt;(Dashboard!$I$31),BEB!$F$335*1,0)</f>
        <v>0.02</v>
      </c>
      <c r="AI335" s="159">
        <f>IF(COUNT($I$3:AI3)&gt;(Dashboard!$I$31),BEB!$F$335*1,0)</f>
        <v>0.02</v>
      </c>
      <c r="AJ335" s="159">
        <f>IF(COUNT($I$3:AJ3)&gt;(Dashboard!$I$31),BEB!$F$335*1,0)</f>
        <v>0.02</v>
      </c>
      <c r="AK335" s="159">
        <f>IF(COUNT($I$3:AK3)&gt;(Dashboard!$I$31),BEB!$F$335*1,0)</f>
        <v>0.02</v>
      </c>
      <c r="AL335" s="159">
        <f>IF(COUNT($I$3:AL3)&gt;(Dashboard!$I$31),BEB!$F$335*1,0)</f>
        <v>0.02</v>
      </c>
      <c r="AM335" s="159">
        <f>IF(COUNT($I$3:AM3)&gt;(Dashboard!$I$31),BEB!$F$335*1,0)</f>
        <v>0.02</v>
      </c>
      <c r="AN335" s="159">
        <f>IF(COUNT($I$3:AN3)&gt;(Dashboard!$I$31),BEB!$F$335*1,0)</f>
        <v>0.02</v>
      </c>
      <c r="AO335" s="14"/>
      <c r="AP335" s="17"/>
    </row>
    <row r="336" spans="1:42" x14ac:dyDescent="0.25">
      <c r="A336" s="12"/>
      <c r="B336" s="13"/>
      <c r="C336" s="41"/>
      <c r="D336" s="41"/>
      <c r="E336" s="15"/>
      <c r="F336" s="190"/>
      <c r="G336" s="14"/>
      <c r="H336" s="159"/>
      <c r="I336" s="203"/>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4"/>
      <c r="AP336" s="17"/>
    </row>
    <row r="337" spans="1:42" x14ac:dyDescent="0.25">
      <c r="A337" s="12"/>
      <c r="B337" s="13"/>
      <c r="C337" s="41"/>
      <c r="D337" s="41"/>
      <c r="E337" s="15"/>
      <c r="F337" s="190"/>
      <c r="G337" s="14"/>
      <c r="H337" s="159"/>
      <c r="I337" s="56">
        <f>(1-SUM(I$335:$I335))</f>
        <v>1</v>
      </c>
      <c r="J337" s="56">
        <f>(1-SUM($I$335:J335))</f>
        <v>1</v>
      </c>
      <c r="K337" s="56">
        <f>(1-SUM($I$335:K335))</f>
        <v>1</v>
      </c>
      <c r="L337" s="56">
        <f>(1-SUM($I$335:L335))</f>
        <v>1</v>
      </c>
      <c r="M337" s="56">
        <f>(1-SUM($I$335:M335))</f>
        <v>1</v>
      </c>
      <c r="N337" s="56">
        <f>(1-SUM($I$335:N335))</f>
        <v>1</v>
      </c>
      <c r="O337" s="56">
        <f>(1-SUM($I$335:O335))</f>
        <v>1</v>
      </c>
      <c r="P337" s="56">
        <f>(1-SUM($I$335:P335))</f>
        <v>1</v>
      </c>
      <c r="Q337" s="56">
        <f>(1-SUM($I$335:Q335))</f>
        <v>1</v>
      </c>
      <c r="R337" s="56">
        <f>(1-SUM($I$335:R335))</f>
        <v>1</v>
      </c>
      <c r="S337" s="56">
        <f>(1-SUM($I$335:S335))</f>
        <v>1</v>
      </c>
      <c r="T337" s="56">
        <f>(1-SUM($I$335:T335))</f>
        <v>1</v>
      </c>
      <c r="U337" s="56">
        <f>(1-SUM($I$335:U335))</f>
        <v>0.98</v>
      </c>
      <c r="V337" s="56">
        <f>(1-SUM($I$335:V335))</f>
        <v>0.96</v>
      </c>
      <c r="W337" s="56">
        <f>(1-SUM($I$335:W335))</f>
        <v>0.94</v>
      </c>
      <c r="X337" s="56">
        <f>(1-SUM($I$335:X335))</f>
        <v>0.92</v>
      </c>
      <c r="Y337" s="56">
        <f>(1-SUM($I$335:Y335))</f>
        <v>0.9</v>
      </c>
      <c r="Z337" s="56">
        <f>(1-SUM($I$335:Z335))</f>
        <v>0.88</v>
      </c>
      <c r="AA337" s="56">
        <f>(1-SUM($I$335:AA335))</f>
        <v>0.86</v>
      </c>
      <c r="AB337" s="56">
        <f>(1-SUM($I$335:AB335))</f>
        <v>0.84</v>
      </c>
      <c r="AC337" s="56">
        <f>(1-SUM($I$335:AC335))</f>
        <v>0.82000000000000006</v>
      </c>
      <c r="AD337" s="56">
        <f>(1-SUM($I$335:AD335))</f>
        <v>0.8</v>
      </c>
      <c r="AE337" s="56">
        <f>(1-SUM($I$335:AE335))</f>
        <v>0.78</v>
      </c>
      <c r="AF337" s="56">
        <f>(1-SUM($I$335:AF335))</f>
        <v>0.76</v>
      </c>
      <c r="AG337" s="56">
        <f>(1-SUM($I$335:AG335))</f>
        <v>0.74</v>
      </c>
      <c r="AH337" s="56">
        <f>(1-SUM($I$335:AH335))</f>
        <v>0.72</v>
      </c>
      <c r="AI337" s="56">
        <f>(1-SUM($I$335:AI335))</f>
        <v>0.7</v>
      </c>
      <c r="AJ337" s="56">
        <f>(1-SUM($I$335:AJ335))</f>
        <v>0.67999999999999994</v>
      </c>
      <c r="AK337" s="56">
        <f>(1-SUM($I$335:AK335))</f>
        <v>0.65999999999999992</v>
      </c>
      <c r="AL337" s="56">
        <f>(1-SUM($I$335:AL335))</f>
        <v>0.6399999999999999</v>
      </c>
      <c r="AM337" s="56">
        <f>(1-SUM($I$335:AM335))</f>
        <v>0.61999999999999988</v>
      </c>
      <c r="AN337" s="56">
        <f>(1-SUM($I$335:AN335))</f>
        <v>0.59999999999999987</v>
      </c>
      <c r="AO337" s="14"/>
      <c r="AP337" s="17"/>
    </row>
    <row r="338" spans="1:42" x14ac:dyDescent="0.25">
      <c r="A338" s="12"/>
      <c r="B338" s="13"/>
      <c r="C338" s="195" t="str">
        <f>C354</f>
        <v>TCO 1: End-of-Life Diesel Bus Replacement with BEB</v>
      </c>
      <c r="D338" s="195"/>
      <c r="E338" s="192"/>
      <c r="F338" s="16"/>
      <c r="G338" s="191"/>
      <c r="H338" s="196"/>
      <c r="I338" s="196"/>
      <c r="J338" s="196"/>
      <c r="K338" s="196"/>
      <c r="L338" s="196"/>
      <c r="M338" s="196"/>
      <c r="N338" s="196"/>
      <c r="O338" s="196"/>
      <c r="P338" s="196"/>
      <c r="Q338" s="196"/>
      <c r="R338" s="196"/>
      <c r="S338" s="196"/>
      <c r="T338" s="196"/>
      <c r="U338" s="196"/>
      <c r="V338" s="196"/>
      <c r="W338" s="196"/>
      <c r="X338" s="196"/>
      <c r="Y338" s="196"/>
      <c r="Z338" s="196"/>
      <c r="AA338" s="196"/>
      <c r="AB338" s="196"/>
      <c r="AC338" s="191"/>
      <c r="AD338" s="191"/>
      <c r="AE338" s="191"/>
      <c r="AF338" s="191"/>
      <c r="AG338" s="191"/>
      <c r="AH338" s="191"/>
      <c r="AI338" s="191"/>
      <c r="AJ338" s="191"/>
      <c r="AK338" s="191"/>
      <c r="AL338" s="191"/>
      <c r="AM338" s="191"/>
      <c r="AN338" s="191"/>
      <c r="AO338" s="191"/>
      <c r="AP338" s="197"/>
    </row>
    <row r="339" spans="1:42" x14ac:dyDescent="0.25">
      <c r="A339" s="12"/>
      <c r="B339" s="13"/>
      <c r="C339" s="136" t="s">
        <v>252</v>
      </c>
      <c r="D339" s="41"/>
      <c r="E339" s="15" t="s">
        <v>556</v>
      </c>
      <c r="F339" s="16"/>
      <c r="G339" s="14"/>
      <c r="H339" s="159"/>
      <c r="I339" s="159">
        <f>IF(COUNT($I$3:I3)&lt;=Dashboard!$I$31,BEB!I334*1,0)</f>
        <v>51480</v>
      </c>
      <c r="J339" s="159">
        <f>IF(COUNT($I$3:J3)&lt;=Dashboard!$I$31,BEB!J334*1,0)</f>
        <v>51480</v>
      </c>
      <c r="K339" s="159">
        <f>IF(COUNT($I$3:K3)&lt;=Dashboard!$I$31,BEB!K334*1,0)</f>
        <v>51480</v>
      </c>
      <c r="L339" s="159">
        <f>IF(COUNT($I$3:L3)&lt;=Dashboard!$I$31,BEB!L334*1,0)</f>
        <v>51480</v>
      </c>
      <c r="M339" s="159">
        <f>IF(COUNT($I$3:M3)&lt;=Dashboard!$I$31,BEB!M334*1,0)</f>
        <v>51480</v>
      </c>
      <c r="N339" s="159">
        <f>IF(COUNT($I$3:N3)&lt;=Dashboard!$I$31,BEB!N334*1,0)</f>
        <v>51480</v>
      </c>
      <c r="O339" s="159">
        <f>IF(COUNT($I$3:O3)&lt;=Dashboard!$I$31,BEB!O334*1,0)</f>
        <v>51480</v>
      </c>
      <c r="P339" s="159">
        <f>IF(COUNT($I$3:P3)&lt;=Dashboard!$I$31,BEB!P334*1,0)</f>
        <v>51480</v>
      </c>
      <c r="Q339" s="159">
        <f>IF(COUNT($I$3:Q3)&lt;=Dashboard!$I$31,BEB!Q334*1,0)</f>
        <v>51480</v>
      </c>
      <c r="R339" s="159">
        <f>IF(COUNT($I$3:R3)&lt;=Dashboard!$I$31,BEB!R334*1,0)</f>
        <v>51480</v>
      </c>
      <c r="S339" s="159">
        <f>IF(COUNT($I$3:S3)&lt;=Dashboard!$I$31,BEB!S334*1,0)</f>
        <v>51480</v>
      </c>
      <c r="T339" s="159">
        <f>IF(COUNT($I$3:T3)&lt;=Dashboard!$I$31,BEB!T334*1,0)</f>
        <v>51480</v>
      </c>
      <c r="U339" s="159">
        <f>IF(COUNT($I$3:U3)&lt;=Dashboard!$I$31,BEB!U334*1,0)</f>
        <v>0</v>
      </c>
      <c r="V339" s="159">
        <f>IF(COUNT($I$3:V3)&lt;=Dashboard!$I$31,BEB!V334*1,0)</f>
        <v>0</v>
      </c>
      <c r="W339" s="159">
        <f>IF(COUNT($I$3:W3)&lt;=Dashboard!$I$31,BEB!W334*1,0)</f>
        <v>0</v>
      </c>
      <c r="X339" s="159">
        <f>IF(COUNT($I$3:X3)&lt;=Dashboard!$I$31,BEB!X334*1,0)</f>
        <v>0</v>
      </c>
      <c r="Y339" s="159">
        <f>IF(COUNT($I$3:Y3)&lt;=Dashboard!$I$31,BEB!Y334*1,0)</f>
        <v>0</v>
      </c>
      <c r="Z339" s="159">
        <f>IF(COUNT($I$3:Z3)&lt;=Dashboard!$I$31,BEB!Z334*1,0)</f>
        <v>0</v>
      </c>
      <c r="AA339" s="159">
        <f>IF(COUNT($I$3:AA3)&lt;=Dashboard!$I$31,BEB!AA334*1,0)</f>
        <v>0</v>
      </c>
      <c r="AB339" s="159">
        <f>IF(COUNT($I$3:AB3)&lt;=Dashboard!$I$31,BEB!AB334*1,0)</f>
        <v>0</v>
      </c>
      <c r="AC339" s="159">
        <f>IF(COUNT($I$3:AC3)&lt;=Dashboard!$I$31,BEB!AC334*1,0)</f>
        <v>0</v>
      </c>
      <c r="AD339" s="159">
        <f>IF(COUNT($I$3:AD3)&lt;=Dashboard!$I$31,BEB!AD334*1,0)</f>
        <v>0</v>
      </c>
      <c r="AE339" s="159">
        <f>IF(COUNT($I$3:AE3)&lt;=Dashboard!$I$31,BEB!AE334*1,0)</f>
        <v>0</v>
      </c>
      <c r="AF339" s="159">
        <f>IF(COUNT($I$3:AF3)&lt;=Dashboard!$I$31,BEB!AF334*1,0)</f>
        <v>0</v>
      </c>
      <c r="AG339" s="159">
        <f>IF(COUNT($I$3:AG3)&lt;=Dashboard!$I$31,BEB!AG334*1,0)</f>
        <v>0</v>
      </c>
      <c r="AH339" s="159">
        <f>IF(COUNT($I$3:AH3)&lt;=Dashboard!$I$31,BEB!AH334*1,0)</f>
        <v>0</v>
      </c>
      <c r="AI339" s="159">
        <f>IF(COUNT($I$3:AI3)&lt;=Dashboard!$I$31,BEB!AI334*1,0)</f>
        <v>0</v>
      </c>
      <c r="AJ339" s="159">
        <f>IF(COUNT($I$3:AJ3)&lt;=Dashboard!$I$31,BEB!AJ334*1,0)</f>
        <v>0</v>
      </c>
      <c r="AK339" s="159">
        <f>IF(COUNT($I$3:AK3)&lt;=Dashboard!$I$31,BEB!AK334*1,0)</f>
        <v>0</v>
      </c>
      <c r="AL339" s="159">
        <f>IF(COUNT($I$3:AL3)&lt;=Dashboard!$I$31,BEB!AL334*1,0)</f>
        <v>0</v>
      </c>
      <c r="AM339" s="159">
        <f>IF(COUNT($I$3:AM3)&lt;=Dashboard!$I$31,BEB!AM334*1,0)</f>
        <v>0</v>
      </c>
      <c r="AN339" s="159">
        <f>IF(COUNT($I$3:AN3)&lt;=Dashboard!$I$31,BEB!AN334*1,0)</f>
        <v>0</v>
      </c>
      <c r="AO339" s="159"/>
      <c r="AP339" s="17"/>
    </row>
    <row r="340" spans="1:42" x14ac:dyDescent="0.25">
      <c r="A340" s="12"/>
      <c r="B340" s="13"/>
      <c r="C340" s="136" t="s">
        <v>28</v>
      </c>
      <c r="D340" s="41"/>
      <c r="E340" s="15" t="s">
        <v>556</v>
      </c>
      <c r="F340" s="16"/>
      <c r="G340" s="14"/>
      <c r="H340" s="159"/>
      <c r="I340" s="159">
        <f>IF(COUNT($I$3:I3)&gt;Dashboard!$I$31,BEB!I334*1,0)</f>
        <v>0</v>
      </c>
      <c r="J340" s="159">
        <f>IF(COUNT($I$3:J3)&gt;Dashboard!$I$31,BEB!J334*1,0)</f>
        <v>0</v>
      </c>
      <c r="K340" s="159">
        <f>IF(COUNT($I$3:K3)&gt;Dashboard!$I$31,BEB!K334*1,0)</f>
        <v>0</v>
      </c>
      <c r="L340" s="159">
        <f>IF(COUNT($I$3:L3)&gt;Dashboard!$I$31,BEB!L334*1,0)</f>
        <v>0</v>
      </c>
      <c r="M340" s="159">
        <f>IF(COUNT($I$3:M3)&gt;Dashboard!$I$31,BEB!M334*1,0)</f>
        <v>0</v>
      </c>
      <c r="N340" s="159">
        <f>IF(COUNT($I$3:N3)&gt;Dashboard!$I$31,BEB!N334*1,0)</f>
        <v>0</v>
      </c>
      <c r="O340" s="159">
        <f>IF(COUNT($I$3:O3)&gt;Dashboard!$I$31,BEB!O334*1,0)</f>
        <v>0</v>
      </c>
      <c r="P340" s="159">
        <f>IF(COUNT($I$3:P3)&gt;Dashboard!$I$31,BEB!P334*1,0)</f>
        <v>0</v>
      </c>
      <c r="Q340" s="159">
        <f>IF(COUNT($I$3:Q3)&gt;Dashboard!$I$31,BEB!Q334*1,0)</f>
        <v>0</v>
      </c>
      <c r="R340" s="159">
        <f>IF(COUNT($I$3:R3)&gt;Dashboard!$I$31,BEB!R334*1,0)</f>
        <v>0</v>
      </c>
      <c r="S340" s="159">
        <f>IF(COUNT($I$3:S3)&gt;Dashboard!$I$31,BEB!S334*1,0)</f>
        <v>0</v>
      </c>
      <c r="T340" s="159">
        <f>IF(COUNT($I$3:T3)&gt;Dashboard!$I$31,BEB!T334*1,0)</f>
        <v>0</v>
      </c>
      <c r="U340" s="159">
        <f>IF(COUNT($I$3:U3)&gt;Dashboard!$I$31,BEB!U334*1,0)</f>
        <v>51480</v>
      </c>
      <c r="V340" s="159">
        <f>IF(COUNT($I$3:V3)&gt;Dashboard!$I$31,BEB!V334*1,0)</f>
        <v>51480</v>
      </c>
      <c r="W340" s="159">
        <f>IF(COUNT($I$3:W3)&gt;Dashboard!$I$31,BEB!W334*1,0)</f>
        <v>51480</v>
      </c>
      <c r="X340" s="159">
        <f>IF(COUNT($I$3:X3)&gt;Dashboard!$I$31,BEB!X334*1,0)</f>
        <v>51480</v>
      </c>
      <c r="Y340" s="159">
        <f>IF(COUNT($I$3:Y3)&gt;Dashboard!$I$31,BEB!Y334*1,0)</f>
        <v>51480</v>
      </c>
      <c r="Z340" s="159">
        <f>IF(COUNT($I$3:Z3)&gt;Dashboard!$I$31,BEB!Z334*1,0)</f>
        <v>51480</v>
      </c>
      <c r="AA340" s="159">
        <f>IF(COUNT($I$3:AA3)&gt;Dashboard!$I$31,BEB!AA334*1,0)</f>
        <v>51480</v>
      </c>
      <c r="AB340" s="159">
        <f>IF(COUNT($I$3:AB3)&gt;Dashboard!$I$31,BEB!AB334*1,0)</f>
        <v>51480</v>
      </c>
      <c r="AC340" s="159">
        <f>IF(COUNT($I$3:AC3)&gt;Dashboard!$I$31,BEB!AC334*1,0)</f>
        <v>51480</v>
      </c>
      <c r="AD340" s="159">
        <f>IF(COUNT($I$3:AD3)&gt;Dashboard!$I$31,BEB!AD334*1,0)</f>
        <v>51480</v>
      </c>
      <c r="AE340" s="159">
        <f>IF(COUNT($I$3:AE3)&gt;Dashboard!$I$31,BEB!AE334*1,0)</f>
        <v>51480</v>
      </c>
      <c r="AF340" s="159">
        <f>IF(COUNT($I$3:AF3)&gt;Dashboard!$I$31,BEB!AF334*1,0)</f>
        <v>51480</v>
      </c>
      <c r="AG340" s="159">
        <f>IF(COUNT($I$3:AG3)&gt;Dashboard!$I$31,BEB!AG334*1,0)</f>
        <v>51480</v>
      </c>
      <c r="AH340" s="159">
        <f>IF(COUNT($I$3:AH3)&gt;Dashboard!$I$31,BEB!AH334*1,0)</f>
        <v>51480</v>
      </c>
      <c r="AI340" s="159">
        <f>IF(COUNT($I$3:AI3)&gt;Dashboard!$I$31,BEB!AI334*1,0)</f>
        <v>51480</v>
      </c>
      <c r="AJ340" s="159">
        <f>IF(COUNT($I$3:AJ3)&gt;Dashboard!$I$31,BEB!AJ334*1,0)</f>
        <v>51480</v>
      </c>
      <c r="AK340" s="159">
        <f>IF(COUNT($I$3:AK3)&gt;Dashboard!$I$31,BEB!AK334*1,0)</f>
        <v>51480</v>
      </c>
      <c r="AL340" s="159">
        <f>IF(COUNT($I$3:AL3)&gt;Dashboard!$I$31,BEB!AL334*1,0)</f>
        <v>51480</v>
      </c>
      <c r="AM340" s="159">
        <f>IF(COUNT($I$3:AM3)&gt;Dashboard!$I$31,BEB!AM334*1,0)</f>
        <v>51480</v>
      </c>
      <c r="AN340" s="159">
        <f>IF(COUNT($I$3:AN3)&gt;Dashboard!$I$31,BEB!AN334*1,0)</f>
        <v>51480</v>
      </c>
      <c r="AO340" s="159"/>
      <c r="AP340" s="17"/>
    </row>
    <row r="341" spans="1:42" x14ac:dyDescent="0.25">
      <c r="A341" s="12"/>
      <c r="B341" s="13"/>
      <c r="C341" s="136" t="s">
        <v>557</v>
      </c>
      <c r="D341" s="41"/>
      <c r="E341" s="15" t="s">
        <v>556</v>
      </c>
      <c r="F341" s="16"/>
      <c r="G341" s="14"/>
      <c r="H341" s="159"/>
      <c r="I341" s="159">
        <f>IF(I337&gt;(1-(Data!$E$337+1)*Data!$E$351),I340,0)</f>
        <v>0</v>
      </c>
      <c r="J341" s="159">
        <f>IF(J337&gt;(1-(Data!$E$337+1)*Data!$E$351),J340,0)</f>
        <v>0</v>
      </c>
      <c r="K341" s="159">
        <f>IF(K337&gt;(1-(Data!$E$337+1)*Data!$E$351),K340,0)</f>
        <v>0</v>
      </c>
      <c r="L341" s="159">
        <f>IF(L337&gt;(1-(Data!$E$337+1)*Data!$E$351),L340,0)</f>
        <v>0</v>
      </c>
      <c r="M341" s="159">
        <f>IF(M337&gt;(1-(Data!$E$337+1)*Data!$E$351),M340,0)</f>
        <v>0</v>
      </c>
      <c r="N341" s="159">
        <f>IF(N337&gt;(1-(Data!$E$337+1)*Data!$E$351),N340,0)</f>
        <v>0</v>
      </c>
      <c r="O341" s="159">
        <f>IF(O337&gt;(1-(Data!$E$337+1)*Data!$E$351),O340,0)</f>
        <v>0</v>
      </c>
      <c r="P341" s="159">
        <f>IF(P337&gt;(1-(Data!$E$337+1)*Data!$E$351),P340,0)</f>
        <v>0</v>
      </c>
      <c r="Q341" s="159">
        <f>IF(Q337&gt;(1-(Data!$E$337+1)*Data!$E$351),Q340,0)</f>
        <v>0</v>
      </c>
      <c r="R341" s="159">
        <f>IF(R337&gt;(1-(Data!$E$337+1)*Data!$E$351),R340,0)</f>
        <v>0</v>
      </c>
      <c r="S341" s="159">
        <f>IF(S337&gt;(1-(Data!$E$337+1)*Data!$E$351),S340,0)</f>
        <v>0</v>
      </c>
      <c r="T341" s="159">
        <f>IF(T337&gt;(1-(Data!$E$337+1)*Data!$E$351),T340,0)</f>
        <v>0</v>
      </c>
      <c r="U341" s="159">
        <f>IF(U337&gt;(1-(Data!$E$337+1)*Data!$E$351),U340,0)</f>
        <v>51480</v>
      </c>
      <c r="V341" s="159">
        <f>IF(V337&gt;(1-(Data!$E$337+1)*Data!$E$351),V340,0)</f>
        <v>51480</v>
      </c>
      <c r="W341" s="159">
        <f>IF(W337&gt;(1-(Data!$E$337+1)*Data!$E$351),W340,0)</f>
        <v>51480</v>
      </c>
      <c r="X341" s="159">
        <f>IF(X337&gt;(1-(Data!$E$337+1)*Data!$E$351),X340,0)</f>
        <v>51480</v>
      </c>
      <c r="Y341" s="159">
        <f>IF(Y337&gt;(1-(Data!$E$337+1)*Data!$E$351),Y340,0)</f>
        <v>51480</v>
      </c>
      <c r="Z341" s="159">
        <f>IF(Z337&gt;(1-(Data!$E$337+1)*Data!$E$351),Z340,0)</f>
        <v>51480</v>
      </c>
      <c r="AA341" s="159">
        <f>IF(AA337&gt;(1-(Data!$E$337+1)*Data!$E$351),AA340,0)</f>
        <v>51480</v>
      </c>
      <c r="AB341" s="159">
        <f>IF(AB337&gt;(1-(Data!$E$337+1)*Data!$E$351),AB340,0)</f>
        <v>51480</v>
      </c>
      <c r="AC341" s="159">
        <f>IF(AC337&gt;(1-(Data!$E$337+1)*Data!$E$351),AC340,0)</f>
        <v>51480</v>
      </c>
      <c r="AD341" s="159">
        <f>IF(AD337&gt;(1-(Data!$E$337+1)*Data!$E$351),AD340,0)</f>
        <v>51480</v>
      </c>
      <c r="AE341" s="159">
        <f>IF(AE337&gt;(1-(Data!$E$337+1)*Data!$E$351),AE340,0)</f>
        <v>51480</v>
      </c>
      <c r="AF341" s="159">
        <f>IF(AF337&gt;(1-(Data!$E$337+1)*Data!$E$351),AF340,0)</f>
        <v>51480</v>
      </c>
      <c r="AG341" s="159">
        <f>IF(AG337&gt;(1-(Data!$E$337+1)*Data!$E$351),AG340,0)</f>
        <v>51480</v>
      </c>
      <c r="AH341" s="159">
        <f>IF(AH337&gt;(1-(Data!$E$337+1)*Data!$E$351),AH340,0)</f>
        <v>51480</v>
      </c>
      <c r="AI341" s="159">
        <f>IF(AI337&gt;(1-(Data!$E$337+1)*Data!$E$351),AI340,0)</f>
        <v>51480</v>
      </c>
      <c r="AJ341" s="159">
        <f>IF(AJ337&gt;(1-(Data!$E$337+1)*Data!$E$351),AJ340,0)</f>
        <v>51480</v>
      </c>
      <c r="AK341" s="159">
        <f>IF(AK337&gt;(1-(Data!$E$337+1)*Data!$E$351),AK340,0)</f>
        <v>51480</v>
      </c>
      <c r="AL341" s="159">
        <f>IF(AL337&gt;(1-(Data!$E$337+1)*Data!$E$351),AL340,0)</f>
        <v>51480</v>
      </c>
      <c r="AM341" s="159">
        <f>IF(AM337&gt;(1-(Data!$E$337+1)*Data!$E$351),AM340,0)</f>
        <v>51480</v>
      </c>
      <c r="AN341" s="159">
        <f>IF(AN337&gt;(1-(Data!$E$337+1)*Data!$E$351),AN340,0)</f>
        <v>51480</v>
      </c>
      <c r="AO341" s="159"/>
      <c r="AP341" s="17"/>
    </row>
    <row r="342" spans="1:42" x14ac:dyDescent="0.25">
      <c r="A342" s="12"/>
      <c r="B342" s="13"/>
      <c r="C342" s="136"/>
      <c r="D342" s="41"/>
      <c r="E342" s="15"/>
      <c r="F342" s="16"/>
      <c r="G342" s="14"/>
      <c r="H342" s="141"/>
      <c r="I342" s="14"/>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7"/>
    </row>
    <row r="343" spans="1:42" x14ac:dyDescent="0.25">
      <c r="A343" s="12"/>
      <c r="B343" s="13"/>
      <c r="C343" s="195" t="str">
        <f>C495</f>
        <v>TCO 2: Immediate Diesel to BEB Bus Replacement</v>
      </c>
      <c r="D343" s="195"/>
      <c r="E343" s="192"/>
      <c r="F343" s="16"/>
      <c r="G343" s="191"/>
      <c r="H343" s="196"/>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c r="AM343" s="198"/>
      <c r="AN343" s="198"/>
      <c r="AO343" s="198"/>
      <c r="AP343" s="197"/>
    </row>
    <row r="344" spans="1:42" x14ac:dyDescent="0.25">
      <c r="A344" s="12"/>
      <c r="B344" s="13"/>
      <c r="C344" t="s">
        <v>28</v>
      </c>
      <c r="D344" s="41"/>
      <c r="E344" s="15"/>
      <c r="F344" s="16"/>
      <c r="G344" s="14"/>
      <c r="H344" s="141"/>
      <c r="I344" s="159">
        <f>I334</f>
        <v>51480</v>
      </c>
      <c r="J344" s="159">
        <f t="shared" ref="J344:S344" si="104">J334</f>
        <v>51480</v>
      </c>
      <c r="K344" s="159">
        <f t="shared" si="104"/>
        <v>51480</v>
      </c>
      <c r="L344" s="159">
        <f t="shared" si="104"/>
        <v>51480</v>
      </c>
      <c r="M344" s="159">
        <f t="shared" si="104"/>
        <v>51480</v>
      </c>
      <c r="N344" s="159">
        <f t="shared" si="104"/>
        <v>51480</v>
      </c>
      <c r="O344" s="159">
        <f t="shared" si="104"/>
        <v>51480</v>
      </c>
      <c r="P344" s="159">
        <f t="shared" si="104"/>
        <v>51480</v>
      </c>
      <c r="Q344" s="159">
        <f t="shared" si="104"/>
        <v>51480</v>
      </c>
      <c r="R344" s="159">
        <f t="shared" si="104"/>
        <v>51480</v>
      </c>
      <c r="S344" s="159">
        <f t="shared" si="104"/>
        <v>51480</v>
      </c>
      <c r="T344" s="159">
        <f>T334</f>
        <v>51480</v>
      </c>
      <c r="U344" s="159">
        <f t="shared" ref="U344:AB344" si="105">U334</f>
        <v>51480</v>
      </c>
      <c r="V344" s="159">
        <f t="shared" si="105"/>
        <v>51480</v>
      </c>
      <c r="W344" s="159">
        <f t="shared" si="105"/>
        <v>51480</v>
      </c>
      <c r="X344" s="159">
        <f t="shared" si="105"/>
        <v>51480</v>
      </c>
      <c r="Y344" s="159">
        <f t="shared" si="105"/>
        <v>51480</v>
      </c>
      <c r="Z344" s="159">
        <f t="shared" si="105"/>
        <v>51480</v>
      </c>
      <c r="AA344" s="159">
        <f t="shared" si="105"/>
        <v>51480</v>
      </c>
      <c r="AB344" s="159">
        <f t="shared" si="105"/>
        <v>51480</v>
      </c>
      <c r="AC344" s="14"/>
      <c r="AD344" s="14"/>
      <c r="AE344" s="14"/>
      <c r="AF344" s="14"/>
      <c r="AG344" s="14"/>
      <c r="AH344" s="14"/>
      <c r="AI344" s="14"/>
      <c r="AJ344" s="14"/>
      <c r="AK344" s="14"/>
      <c r="AL344" s="14"/>
      <c r="AM344" s="14"/>
      <c r="AN344" s="14"/>
      <c r="AO344" s="14"/>
      <c r="AP344" s="17"/>
    </row>
    <row r="345" spans="1:42" x14ac:dyDescent="0.25">
      <c r="A345" s="12"/>
      <c r="B345" s="13"/>
      <c r="C345" s="41"/>
      <c r="D345" s="41"/>
      <c r="E345" s="15"/>
      <c r="F345" s="16"/>
      <c r="G345" s="14"/>
      <c r="H345" s="141"/>
      <c r="I345" s="141"/>
      <c r="J345" s="151"/>
      <c r="K345" s="151"/>
      <c r="L345" s="151"/>
      <c r="M345" s="151"/>
      <c r="N345" s="151"/>
      <c r="O345" s="151"/>
      <c r="P345" s="151"/>
      <c r="Q345" s="151"/>
      <c r="R345" s="151"/>
      <c r="S345" s="151"/>
      <c r="T345" s="151"/>
      <c r="U345" s="141"/>
      <c r="V345" s="141"/>
      <c r="W345" s="141"/>
      <c r="X345" s="141"/>
      <c r="Y345" s="141"/>
      <c r="Z345" s="141"/>
      <c r="AA345" s="141"/>
      <c r="AB345" s="141"/>
      <c r="AC345" s="14"/>
      <c r="AD345" s="14"/>
      <c r="AE345" s="14"/>
      <c r="AF345" s="14"/>
      <c r="AG345" s="14"/>
      <c r="AH345" s="14"/>
      <c r="AI345" s="14"/>
      <c r="AJ345" s="14"/>
      <c r="AK345" s="14"/>
      <c r="AL345" s="14"/>
      <c r="AM345" s="14"/>
      <c r="AN345" s="14"/>
      <c r="AO345" s="14"/>
      <c r="AP345" s="17"/>
    </row>
    <row r="346" spans="1:42" x14ac:dyDescent="0.25">
      <c r="A346" s="12"/>
      <c r="B346" s="13"/>
      <c r="C346" s="136"/>
      <c r="D346" s="41"/>
      <c r="E346" s="15"/>
      <c r="F346" s="16"/>
      <c r="G346" s="14"/>
      <c r="H346" s="141"/>
      <c r="I346" s="141"/>
      <c r="J346" s="141"/>
      <c r="K346" s="141"/>
      <c r="L346" s="141"/>
      <c r="M346" s="141"/>
      <c r="N346" s="141"/>
      <c r="O346" s="141"/>
      <c r="P346" s="141"/>
      <c r="Q346" s="141"/>
      <c r="R346" s="141"/>
      <c r="S346" s="141"/>
      <c r="T346" s="141"/>
      <c r="U346" s="141"/>
      <c r="V346" s="141"/>
      <c r="W346" s="141"/>
      <c r="X346" s="141"/>
      <c r="Y346" s="141"/>
      <c r="Z346" s="141"/>
      <c r="AA346" s="141"/>
      <c r="AB346" s="141"/>
      <c r="AC346" s="14"/>
      <c r="AD346" s="14"/>
      <c r="AE346" s="14"/>
      <c r="AF346" s="14"/>
      <c r="AG346" s="14"/>
      <c r="AH346" s="14"/>
      <c r="AI346" s="14"/>
      <c r="AJ346" s="14"/>
      <c r="AK346" s="14"/>
      <c r="AL346" s="14"/>
      <c r="AM346" s="14"/>
      <c r="AN346" s="14"/>
      <c r="AO346" s="14"/>
      <c r="AP346" s="17"/>
    </row>
    <row r="347" spans="1:42" x14ac:dyDescent="0.25">
      <c r="A347" s="12"/>
      <c r="B347" s="13"/>
      <c r="C347" s="37" t="s">
        <v>302</v>
      </c>
      <c r="D347" s="37"/>
      <c r="E347" s="38"/>
      <c r="F347" s="39"/>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17"/>
    </row>
    <row r="348" spans="1:42" x14ac:dyDescent="0.25">
      <c r="A348" s="12"/>
      <c r="B348" s="13"/>
      <c r="C348" s="136" t="s">
        <v>544</v>
      </c>
      <c r="D348" s="41"/>
      <c r="E348" s="15"/>
      <c r="F348" s="16"/>
      <c r="G348" s="14"/>
      <c r="H348" s="141"/>
      <c r="I348" s="141"/>
      <c r="J348" s="141"/>
      <c r="K348" s="141"/>
      <c r="L348" s="141"/>
      <c r="M348" s="141"/>
      <c r="N348" s="141"/>
      <c r="O348" s="141"/>
      <c r="P348" s="141"/>
      <c r="Q348" s="141"/>
      <c r="R348" s="141"/>
      <c r="S348" s="141"/>
      <c r="T348" s="141"/>
      <c r="U348" s="141"/>
      <c r="V348" s="141"/>
      <c r="W348" s="141"/>
      <c r="X348" s="141"/>
      <c r="Y348" s="141"/>
      <c r="Z348" s="141"/>
      <c r="AA348" s="141"/>
      <c r="AB348" s="141"/>
      <c r="AC348" s="14"/>
      <c r="AD348" s="14"/>
      <c r="AE348" s="14"/>
      <c r="AF348" s="14"/>
      <c r="AG348" s="14"/>
      <c r="AH348" s="14"/>
      <c r="AI348" s="14"/>
      <c r="AJ348" s="14"/>
      <c r="AK348" s="14"/>
      <c r="AL348" s="14"/>
      <c r="AM348" s="14"/>
      <c r="AN348" s="14"/>
      <c r="AO348" s="14"/>
      <c r="AP348" s="17"/>
    </row>
    <row r="349" spans="1:42" x14ac:dyDescent="0.25">
      <c r="A349" s="12"/>
      <c r="B349" s="13"/>
      <c r="C349" s="96" t="s">
        <v>120</v>
      </c>
      <c r="D349" s="41"/>
      <c r="E349" s="15"/>
      <c r="F349" s="16"/>
      <c r="G349" s="14"/>
      <c r="H349" s="150">
        <f>Data!$E$309</f>
        <v>156000</v>
      </c>
      <c r="I349" s="159">
        <f>H$349*(1-Data!$E$312)</f>
        <v>150025.20000000001</v>
      </c>
      <c r="J349" s="159">
        <f>I$349*(1-Data!$E$312)</f>
        <v>144279.23484000002</v>
      </c>
      <c r="K349" s="159">
        <f>J$349*(1-Data!$E$312)</f>
        <v>138753.34014562803</v>
      </c>
      <c r="L349" s="159">
        <f>K$349*(1-Data!$E$312)</f>
        <v>133439.08721805047</v>
      </c>
      <c r="M349" s="159">
        <f>L$349*(1-Data!$E$312)</f>
        <v>128328.37017759914</v>
      </c>
      <c r="N349" s="159">
        <f>M$349*(1-Data!$E$312)</f>
        <v>123413.39359979708</v>
      </c>
      <c r="O349" s="159">
        <f>N$349*(1-Data!$E$312)</f>
        <v>118686.66062492486</v>
      </c>
      <c r="P349" s="159">
        <f>O$349*(1-Data!$E$312)</f>
        <v>114140.96152299024</v>
      </c>
      <c r="Q349" s="159">
        <f>P$349*(1-Data!$E$312)</f>
        <v>109769.36269665971</v>
      </c>
      <c r="R349" s="159">
        <f>Q$349*(1-Data!$E$312)</f>
        <v>105565.19610537765</v>
      </c>
      <c r="S349" s="159">
        <f>R$349*(1-Data!$E$312)</f>
        <v>101522.04909454168</v>
      </c>
      <c r="T349" s="159">
        <f>S$349*(1-Data!$E$312)</f>
        <v>97633.754614220743</v>
      </c>
      <c r="U349" s="159">
        <f>T$349*(1-Data!$E$312)</f>
        <v>93894.381812496082</v>
      </c>
      <c r="V349" s="159">
        <f>U$349*(1-Data!$E$312)</f>
        <v>90298.226989077477</v>
      </c>
      <c r="W349" s="159">
        <f>V$349*(1-Data!$E$312)</f>
        <v>86839.804895395806</v>
      </c>
      <c r="X349" s="159">
        <f>W$349*(1-Data!$E$312)</f>
        <v>83513.840367902143</v>
      </c>
      <c r="Y349" s="159">
        <f>X$349*(1-Data!$E$312)</f>
        <v>80315.260281811497</v>
      </c>
      <c r="Z349" s="159">
        <f>Y$349*(1-Data!$E$312)</f>
        <v>77239.185813018121</v>
      </c>
      <c r="AA349" s="159">
        <f>Z$349*(1-Data!$E$312)</f>
        <v>74280.92499637953</v>
      </c>
      <c r="AB349" s="159">
        <f>AA$349*(1-Data!$E$312)</f>
        <v>71435.965569018197</v>
      </c>
      <c r="AC349" s="159">
        <f>AB$349*(1-Data!$E$312)</f>
        <v>68699.968087724803</v>
      </c>
      <c r="AD349" s="159">
        <f>AC$349*(1-Data!$E$312)</f>
        <v>66068.759309964938</v>
      </c>
      <c r="AE349" s="159">
        <f>AD$349*(1-Data!$E$312)</f>
        <v>63538.325828393281</v>
      </c>
      <c r="AF349" s="159">
        <f>AE$349*(1-Data!$E$312)</f>
        <v>61104.807949165821</v>
      </c>
      <c r="AG349" s="159">
        <f>AF$349*(1-Data!$E$312)</f>
        <v>58764.493804712773</v>
      </c>
      <c r="AH349" s="159">
        <f>AG$349*(1-Data!$E$312)</f>
        <v>56513.813691992276</v>
      </c>
      <c r="AI349" s="159">
        <f>AH$349*(1-Data!$E$312)</f>
        <v>54349.334627588971</v>
      </c>
      <c r="AJ349" s="159">
        <f>AI$349*(1-Data!$E$312)</f>
        <v>52267.755111352315</v>
      </c>
      <c r="AK349" s="159">
        <f>AJ$349*(1-Data!$E$312)</f>
        <v>50265.900090587522</v>
      </c>
      <c r="AL349" s="159">
        <f>AK$349*(1-Data!$E$312)</f>
        <v>48340.71611711802</v>
      </c>
      <c r="AM349" s="159">
        <f>AL$349*(1-Data!$E$312)</f>
        <v>46489.266689832402</v>
      </c>
      <c r="AN349" s="159">
        <f>AM$349*(1-Data!$E$312)</f>
        <v>44708.72777561182</v>
      </c>
      <c r="AO349" s="159">
        <f>AN$349*(1-Data!$E$312)</f>
        <v>42996.383501805889</v>
      </c>
      <c r="AP349" s="17"/>
    </row>
    <row r="350" spans="1:42" x14ac:dyDescent="0.25">
      <c r="A350" s="12"/>
      <c r="B350" s="13"/>
      <c r="C350" s="96" t="s">
        <v>124</v>
      </c>
      <c r="D350" s="41"/>
      <c r="E350" s="15"/>
      <c r="F350" s="16"/>
      <c r="G350" s="14"/>
      <c r="H350" s="150">
        <f>Data!$E$310</f>
        <v>180000</v>
      </c>
      <c r="I350" s="159">
        <f>H$350*(1-Data!$E$312)</f>
        <v>173106</v>
      </c>
      <c r="J350" s="159">
        <f>I$350*(1-Data!$E$312)</f>
        <v>166476.04019999999</v>
      </c>
      <c r="K350" s="159">
        <f>J$350*(1-Data!$E$312)</f>
        <v>160100.00786034</v>
      </c>
      <c r="L350" s="159">
        <f>K$350*(1-Data!$E$312)</f>
        <v>153968.17755928898</v>
      </c>
      <c r="M350" s="159">
        <f>L$350*(1-Data!$E$312)</f>
        <v>148071.19635876821</v>
      </c>
      <c r="N350" s="159">
        <f>M$350*(1-Data!$E$312)</f>
        <v>142400.0695382274</v>
      </c>
      <c r="O350" s="159">
        <f>N$350*(1-Data!$E$312)</f>
        <v>136946.14687491328</v>
      </c>
      <c r="P350" s="159">
        <f>O$350*(1-Data!$E$312)</f>
        <v>131701.10944960409</v>
      </c>
      <c r="Q350" s="159">
        <f>P$350*(1-Data!$E$312)</f>
        <v>126656.95695768425</v>
      </c>
      <c r="R350" s="159">
        <f>Q$350*(1-Data!$E$312)</f>
        <v>121805.99550620494</v>
      </c>
      <c r="S350" s="159">
        <f>R$350*(1-Data!$E$312)</f>
        <v>117140.82587831729</v>
      </c>
      <c r="T350" s="159">
        <f>S$350*(1-Data!$E$312)</f>
        <v>112654.33224717774</v>
      </c>
      <c r="U350" s="159">
        <f>T$350*(1-Data!$E$312)</f>
        <v>108339.67132211082</v>
      </c>
      <c r="V350" s="159">
        <f>U$350*(1-Data!$E$312)</f>
        <v>104190.26191047397</v>
      </c>
      <c r="W350" s="159">
        <f>V$350*(1-Data!$E$312)</f>
        <v>100199.77487930281</v>
      </c>
      <c r="X350" s="159">
        <f>W$350*(1-Data!$E$312)</f>
        <v>96362.123501425522</v>
      </c>
      <c r="Y350" s="159">
        <f>X$350*(1-Data!$E$312)</f>
        <v>92671.454171320918</v>
      </c>
      <c r="Z350" s="159">
        <f>Y$350*(1-Data!$E$312)</f>
        <v>89122.137476559321</v>
      </c>
      <c r="AA350" s="159">
        <f>Z$350*(1-Data!$E$312)</f>
        <v>85708.759611207104</v>
      </c>
      <c r="AB350" s="159">
        <f>AA$350*(1-Data!$E$312)</f>
        <v>82426.114118097874</v>
      </c>
      <c r="AC350" s="159">
        <f>AB$350*(1-Data!$E$312)</f>
        <v>79269.193947374719</v>
      </c>
      <c r="AD350" s="159">
        <f>AC$350*(1-Data!$E$312)</f>
        <v>76233.183819190264</v>
      </c>
      <c r="AE350" s="159">
        <f>AD$350*(1-Data!$E$312)</f>
        <v>73313.452878915283</v>
      </c>
      <c r="AF350" s="159">
        <f>AE$350*(1-Data!$E$312)</f>
        <v>70505.547633652823</v>
      </c>
      <c r="AG350" s="159">
        <f>AF$350*(1-Data!$E$312)</f>
        <v>67805.185159283923</v>
      </c>
      <c r="AH350" s="159">
        <f>AG$350*(1-Data!$E$312)</f>
        <v>65208.246567683345</v>
      </c>
      <c r="AI350" s="159">
        <f>AH$350*(1-Data!$E$312)</f>
        <v>62710.770724141075</v>
      </c>
      <c r="AJ350" s="159">
        <f>AI$350*(1-Data!$E$312)</f>
        <v>60308.948205406472</v>
      </c>
      <c r="AK350" s="159">
        <f>AJ$350*(1-Data!$E$312)</f>
        <v>57999.115489139404</v>
      </c>
      <c r="AL350" s="159">
        <f>AK$350*(1-Data!$E$312)</f>
        <v>55777.749365905365</v>
      </c>
      <c r="AM350" s="159">
        <f>AL$350*(1-Data!$E$312)</f>
        <v>53641.461565191188</v>
      </c>
      <c r="AN350" s="159">
        <f>AM$350*(1-Data!$E$312)</f>
        <v>51586.993587244368</v>
      </c>
      <c r="AO350" s="159">
        <f>AN$350*(1-Data!$E$312)</f>
        <v>49611.211732852906</v>
      </c>
      <c r="AP350" s="17"/>
    </row>
    <row r="351" spans="1:42" x14ac:dyDescent="0.25">
      <c r="A351" s="12"/>
      <c r="B351" s="13"/>
      <c r="C351" s="96" t="s">
        <v>126</v>
      </c>
      <c r="D351" s="41"/>
      <c r="E351" s="15"/>
      <c r="F351" s="16"/>
      <c r="G351" s="14"/>
      <c r="H351" s="150">
        <f>Data!$E$311</f>
        <v>235000</v>
      </c>
      <c r="I351" s="159">
        <f>H$351*(1-Data!$E$312)</f>
        <v>225999.5</v>
      </c>
      <c r="J351" s="159">
        <f>I$351*(1-Data!$E$312)</f>
        <v>217343.71914999999</v>
      </c>
      <c r="K351" s="159">
        <f>J$351*(1-Data!$E$312)</f>
        <v>209019.454706555</v>
      </c>
      <c r="L351" s="159">
        <f>K$351*(1-Data!$E$312)</f>
        <v>201014.00959129393</v>
      </c>
      <c r="M351" s="159">
        <f>L$351*(1-Data!$E$312)</f>
        <v>193315.17302394737</v>
      </c>
      <c r="N351" s="159">
        <f>M$351*(1-Data!$E$312)</f>
        <v>185911.20189713017</v>
      </c>
      <c r="O351" s="159">
        <f>N$351*(1-Data!$E$312)</f>
        <v>178790.80286447008</v>
      </c>
      <c r="P351" s="159">
        <f>O$351*(1-Data!$E$312)</f>
        <v>171943.11511476088</v>
      </c>
      <c r="Q351" s="159">
        <f>P$351*(1-Data!$E$312)</f>
        <v>165357.69380586554</v>
      </c>
      <c r="R351" s="159">
        <f>Q$351*(1-Data!$E$312)</f>
        <v>159024.49413310087</v>
      </c>
      <c r="S351" s="159">
        <f>R$351*(1-Data!$E$312)</f>
        <v>152933.85600780312</v>
      </c>
      <c r="T351" s="159">
        <f>S$351*(1-Data!$E$312)</f>
        <v>147076.48932270426</v>
      </c>
      <c r="U351" s="159">
        <f>T$351*(1-Data!$E$312)</f>
        <v>141443.45978164469</v>
      </c>
      <c r="V351" s="159">
        <f>U$351*(1-Data!$E$312)</f>
        <v>136026.17527200771</v>
      </c>
      <c r="W351" s="159">
        <f>V$351*(1-Data!$E$312)</f>
        <v>130816.37275908981</v>
      </c>
      <c r="X351" s="159">
        <f>W$351*(1-Data!$E$312)</f>
        <v>125806.10568241666</v>
      </c>
      <c r="Y351" s="159">
        <f>X$351*(1-Data!$E$312)</f>
        <v>120987.7318347801</v>
      </c>
      <c r="Z351" s="159">
        <f>Y$351*(1-Data!$E$312)</f>
        <v>116353.90170550803</v>
      </c>
      <c r="AA351" s="159">
        <f>Z$351*(1-Data!$E$312)</f>
        <v>111897.54727018707</v>
      </c>
      <c r="AB351" s="159">
        <f>AA$351*(1-Data!$E$312)</f>
        <v>107611.87120973891</v>
      </c>
      <c r="AC351" s="159">
        <f>AB$351*(1-Data!$E$312)</f>
        <v>103490.3365424059</v>
      </c>
      <c r="AD351" s="159">
        <f>AC$351*(1-Data!$E$312)</f>
        <v>99526.656652831749</v>
      </c>
      <c r="AE351" s="159">
        <f>AD$351*(1-Data!$E$312)</f>
        <v>95714.78570302829</v>
      </c>
      <c r="AF351" s="159">
        <f>AE$351*(1-Data!$E$312)</f>
        <v>92048.909410602311</v>
      </c>
      <c r="AG351" s="159">
        <f>AF$351*(1-Data!$E$312)</f>
        <v>88523.436180176242</v>
      </c>
      <c r="AH351" s="159">
        <f>AG$351*(1-Data!$E$312)</f>
        <v>85132.988574475487</v>
      </c>
      <c r="AI351" s="159">
        <f>AH$351*(1-Data!$E$312)</f>
        <v>81872.395112073078</v>
      </c>
      <c r="AJ351" s="159">
        <f>AI$351*(1-Data!$E$312)</f>
        <v>78736.682379280683</v>
      </c>
      <c r="AK351" s="159">
        <f>AJ$351*(1-Data!$E$312)</f>
        <v>75721.067444154236</v>
      </c>
      <c r="AL351" s="159">
        <f>AK$351*(1-Data!$E$312)</f>
        <v>72820.950561043122</v>
      </c>
      <c r="AM351" s="159">
        <f>AL$351*(1-Data!$E$312)</f>
        <v>70031.908154555174</v>
      </c>
      <c r="AN351" s="159">
        <f>AM$351*(1-Data!$E$312)</f>
        <v>67349.686072235709</v>
      </c>
      <c r="AO351" s="159">
        <f>AN$351*(1-Data!$E$312)</f>
        <v>64770.193095669078</v>
      </c>
      <c r="AP351" s="17"/>
    </row>
    <row r="352" spans="1:42" x14ac:dyDescent="0.25">
      <c r="A352" s="12"/>
      <c r="B352" s="13"/>
      <c r="C352" s="41"/>
      <c r="D352" s="41"/>
      <c r="E352" s="15"/>
      <c r="F352" s="16"/>
      <c r="G352" s="14"/>
      <c r="H352" s="141"/>
      <c r="I352" s="141"/>
      <c r="J352" s="141"/>
      <c r="K352" s="141"/>
      <c r="L352" s="141"/>
      <c r="M352" s="141"/>
      <c r="N352" s="141"/>
      <c r="O352" s="141"/>
      <c r="P352" s="141"/>
      <c r="Q352" s="141"/>
      <c r="R352" s="141"/>
      <c r="S352" s="141"/>
      <c r="T352" s="141"/>
      <c r="U352" s="141"/>
      <c r="V352" s="141"/>
      <c r="W352" s="141"/>
      <c r="X352" s="141"/>
      <c r="Y352" s="141"/>
      <c r="Z352" s="141"/>
      <c r="AA352" s="141"/>
      <c r="AB352" s="141"/>
      <c r="AC352" s="14"/>
      <c r="AD352" s="14"/>
      <c r="AE352" s="14"/>
      <c r="AF352" s="14"/>
      <c r="AG352" s="14"/>
      <c r="AH352" s="14"/>
      <c r="AI352" s="14"/>
      <c r="AJ352" s="14"/>
      <c r="AK352" s="14"/>
      <c r="AL352" s="14"/>
      <c r="AM352" s="14"/>
      <c r="AN352" s="14"/>
      <c r="AO352" s="14"/>
      <c r="AP352" s="17"/>
    </row>
    <row r="353" spans="1:42" x14ac:dyDescent="0.25">
      <c r="A353" s="23"/>
      <c r="B353" s="23"/>
      <c r="C353" s="24" t="s">
        <v>505</v>
      </c>
      <c r="D353" s="24"/>
      <c r="E353" s="25"/>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7"/>
    </row>
    <row r="354" spans="1:42" x14ac:dyDescent="0.25">
      <c r="A354" s="261"/>
      <c r="B354" s="261"/>
      <c r="C354" s="261" t="s">
        <v>558</v>
      </c>
      <c r="D354" s="261"/>
      <c r="E354" s="262"/>
      <c r="F354" s="263"/>
      <c r="G354" s="263"/>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3"/>
      <c r="AD354" s="263"/>
      <c r="AE354" s="263"/>
      <c r="AF354" s="263"/>
      <c r="AG354" s="263"/>
      <c r="AH354" s="263"/>
      <c r="AI354" s="263"/>
      <c r="AJ354" s="263"/>
      <c r="AK354" s="263"/>
      <c r="AL354" s="263"/>
      <c r="AM354" s="263"/>
      <c r="AN354" s="263"/>
      <c r="AO354" s="263"/>
      <c r="AP354" s="265"/>
    </row>
    <row r="355" spans="1:42" outlineLevel="1" x14ac:dyDescent="0.25">
      <c r="A355" s="12"/>
      <c r="B355" s="13"/>
      <c r="C355" s="41"/>
      <c r="D355" s="41"/>
      <c r="E355" s="15"/>
      <c r="F355" s="16"/>
      <c r="G355" s="14"/>
      <c r="H355" s="141"/>
      <c r="I355" s="141"/>
      <c r="J355" s="141"/>
      <c r="K355" s="141"/>
      <c r="L355" s="141"/>
      <c r="M355" s="141"/>
      <c r="N355" s="141"/>
      <c r="O355" s="141"/>
      <c r="P355" s="141"/>
      <c r="Q355" s="141"/>
      <c r="R355" s="141"/>
      <c r="S355" s="141"/>
      <c r="T355" s="141"/>
      <c r="U355" s="141"/>
      <c r="V355" s="141"/>
      <c r="W355" s="141"/>
      <c r="X355" s="141"/>
      <c r="Y355" s="141"/>
      <c r="Z355" s="141"/>
      <c r="AA355" s="141"/>
      <c r="AB355" s="141"/>
      <c r="AC355" s="14"/>
      <c r="AD355" s="14"/>
      <c r="AE355" s="14"/>
      <c r="AF355" s="14"/>
      <c r="AG355" s="14"/>
      <c r="AH355" s="14"/>
      <c r="AI355" s="14"/>
      <c r="AJ355" s="14"/>
      <c r="AK355" s="14"/>
      <c r="AL355" s="14"/>
      <c r="AM355" s="14"/>
      <c r="AN355" s="14"/>
      <c r="AO355" s="14"/>
      <c r="AP355" s="17"/>
    </row>
    <row r="356" spans="1:42" outlineLevel="1" x14ac:dyDescent="0.25">
      <c r="A356" s="12"/>
      <c r="B356" s="13"/>
      <c r="C356" s="37" t="s">
        <v>508</v>
      </c>
      <c r="D356" s="37"/>
      <c r="E356" s="38"/>
      <c r="F356" s="39"/>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17"/>
    </row>
    <row r="357" spans="1:42" outlineLevel="1" x14ac:dyDescent="0.25">
      <c r="A357" s="12"/>
      <c r="B357" s="13"/>
      <c r="C357" s="95" t="s">
        <v>559</v>
      </c>
      <c r="D357" s="14"/>
      <c r="E357" s="15"/>
      <c r="F357" s="16"/>
      <c r="G357" s="14"/>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29"/>
    </row>
    <row r="358" spans="1:42" outlineLevel="1" x14ac:dyDescent="0.25">
      <c r="A358" s="12"/>
      <c r="B358" s="13"/>
      <c r="C358" s="96" t="s">
        <v>120</v>
      </c>
      <c r="D358" s="14"/>
      <c r="E358" s="15" t="s">
        <v>142</v>
      </c>
      <c r="F358" s="158" t="str">
        <f>Dashboard!$I$53</f>
        <v>3 Axle rigid</v>
      </c>
      <c r="G358" s="14"/>
      <c r="H358" s="151">
        <f>IF(COUNT($H$3:H$3)=(Dashboard!$I$31+1),IF($F$358=$C$358,Data!$E$302,0),0)</f>
        <v>0</v>
      </c>
      <c r="I358" s="151">
        <f>IF(COUNT($H$3:I$3)=(Dashboard!$I$31+1),IF($F$358=$C$358,Data!$E$302,0),0)</f>
        <v>0</v>
      </c>
      <c r="J358" s="151">
        <f>IF(COUNT($H$3:J$3)=(Dashboard!$I$31+1),IF($F$358=$C$358,Data!$E$302,0),0)</f>
        <v>0</v>
      </c>
      <c r="K358" s="151">
        <f>IF(COUNT($H$3:K$3)=(Dashboard!$I$31+1),IF($F$358=$C$358,Data!$E$302,0),0)</f>
        <v>0</v>
      </c>
      <c r="L358" s="151">
        <f>IF(COUNT($H$3:L$3)=(Dashboard!$I$31+1),IF($F$358=$C$358,Data!$E$302,0),0)</f>
        <v>0</v>
      </c>
      <c r="M358" s="151">
        <f>IF(COUNT($H$3:M$3)=(Dashboard!$I$31+1),IF($F$358=$C$358,Data!$E$302,0),0)</f>
        <v>0</v>
      </c>
      <c r="N358" s="151">
        <f>IF(COUNT($H$3:N$3)=(Dashboard!$I$31+1),IF($F$358=$C$358,Data!$E$302,0),0)</f>
        <v>0</v>
      </c>
      <c r="O358" s="151">
        <f>IF(COUNT($H$3:O$3)=(Dashboard!$I$31+1),IF($F$358=$C$358,Data!$E$302,0),0)</f>
        <v>0</v>
      </c>
      <c r="P358" s="151">
        <f>IF(COUNT($H$3:P$3)=(Dashboard!$I$31+1),IF($F$358=$C$358,Data!$E$302,0),0)</f>
        <v>0</v>
      </c>
      <c r="Q358" s="151">
        <f>IF(COUNT($H$3:Q$3)=(Dashboard!$I$31+1),IF($F$358=$C$358,Data!$E$302,0),0)</f>
        <v>0</v>
      </c>
      <c r="R358" s="151">
        <f>IF(COUNT($H$3:R$3)=(Dashboard!$I$31+1),IF($F$358=$C$358,Data!$E$302,0),0)</f>
        <v>0</v>
      </c>
      <c r="S358" s="151">
        <f>IF(COUNT($H$3:S$3)=(Dashboard!$I$31+1),IF($F$358=$C$358,Data!$E$302,0),0)</f>
        <v>0</v>
      </c>
      <c r="T358" s="151">
        <f>IF(COUNT($H$3:T$3)=(Dashboard!$I$31+1),IF($F$358=$C$358,Data!$E$302,0),0)</f>
        <v>0</v>
      </c>
      <c r="U358" s="151">
        <f>IF(COUNT($H$3:U$3)=(Dashboard!$I$31+1),IF($F$358=$C$358,Data!$E$302,0),0)</f>
        <v>0</v>
      </c>
      <c r="V358" s="151">
        <f>IF(COUNT($H$3:V$3)=(Dashboard!$I$31+1),IF($F$358=$C$358,Data!$E$302,0),0)</f>
        <v>0</v>
      </c>
      <c r="W358" s="151">
        <f>IF(COUNT($H$3:W$3)=(Dashboard!$I$31+1),IF($F$358=$C$358,Data!$E$302,0),0)</f>
        <v>0</v>
      </c>
      <c r="X358" s="151">
        <f>IF(COUNT($H$3:X$3)=(Dashboard!$I$31+1),IF($F$358=$C$358,Data!$E$302,0),0)</f>
        <v>0</v>
      </c>
      <c r="Y358" s="151">
        <f>IF(COUNT($H$3:Y$3)=(Dashboard!$I$31+1),IF($F$358=$C$358,Data!$E$302,0),0)</f>
        <v>0</v>
      </c>
      <c r="Z358" s="151">
        <f>IF(COUNT($H$3:Z$3)=(Dashboard!$I$31+1),IF($F$358=$C$358,Data!$E$302,0),0)</f>
        <v>0</v>
      </c>
      <c r="AA358" s="151">
        <f>IF(COUNT($H$3:AA$3)=(Dashboard!$I$31+1),IF($F$358=$C$358,Data!$E$302,0),0)</f>
        <v>0</v>
      </c>
      <c r="AB358" s="151">
        <f>IF(COUNT($H$3:AB$3)=(Dashboard!$I$31+1),IF($F$358=$C$358,Data!$E$302,0),0)</f>
        <v>0</v>
      </c>
      <c r="AC358" s="151">
        <f>IF(COUNT($H$3:AC$3)=(Dashboard!$I$31+1),IF($F$358=$C$358,Data!$E$302,0),0)</f>
        <v>0</v>
      </c>
      <c r="AD358" s="151">
        <f>IF(COUNT($H$3:AD$3)=(Dashboard!$I$31+1),IF($F$358=$C$358,Data!$E$302,0),0)</f>
        <v>0</v>
      </c>
      <c r="AE358" s="151">
        <f>IF(COUNT($H$3:AE$3)=(Dashboard!$I$31+1),IF($F$358=$C$358,Data!$E$302,0),0)</f>
        <v>0</v>
      </c>
      <c r="AF358" s="151">
        <f>IF(COUNT($H$3:AF$3)=(Dashboard!$I$31+1),IF($F$358=$C$358,Data!$E$302,0),0)</f>
        <v>0</v>
      </c>
      <c r="AG358" s="151">
        <f>IF(COUNT($H$3:AG$3)=(Dashboard!$I$31+1),IF($F$358=$C$358,Data!$E$302,0),0)</f>
        <v>0</v>
      </c>
      <c r="AH358" s="151">
        <f>IF(COUNT($H$3:AH$3)=(Dashboard!$I$31+1),IF($F$358=$C$358,Data!$E$302,0),0)</f>
        <v>0</v>
      </c>
      <c r="AI358" s="151">
        <f>IF(COUNT($H$3:AI$3)=(Dashboard!$I$31+1),IF($F$358=$C$358,Data!$E$302,0),0)</f>
        <v>0</v>
      </c>
      <c r="AJ358" s="151">
        <f>IF(COUNT($H$3:AJ$3)=(Dashboard!$I$31+1),IF($F$358=$C$358,Data!$E$302,0),0)</f>
        <v>0</v>
      </c>
      <c r="AK358" s="151">
        <f>IF(COUNT($H$3:AK$3)=(Dashboard!$I$31+1),IF($F$358=$C$358,Data!$E$302,0),0)</f>
        <v>0</v>
      </c>
      <c r="AL358" s="151">
        <f>IF(COUNT($H$3:AL$3)=(Dashboard!$I$31+1),IF($F$358=$C$358,Data!$E$302,0),0)</f>
        <v>0</v>
      </c>
      <c r="AM358" s="151">
        <f>IF(COUNT($H$3:AM$3)=(Dashboard!$I$31+1),IF($F$358=$C$358,Data!$E$302,0),0)</f>
        <v>0</v>
      </c>
      <c r="AN358" s="151">
        <f>IF(COUNT($H$3:AN$3)=(Dashboard!$I$31+1),IF($F$358=$C$358,Data!$E$302,0),0)</f>
        <v>0</v>
      </c>
      <c r="AO358" s="151">
        <f>IF(COUNT($H$3:AO$3)=(Dashboard!$I$31+1),IF($F$358=$C$358,Data!$E$302,0),0)</f>
        <v>0</v>
      </c>
      <c r="AP358" s="29"/>
    </row>
    <row r="359" spans="1:42" outlineLevel="1" x14ac:dyDescent="0.25">
      <c r="A359" s="12"/>
      <c r="B359" s="13"/>
      <c r="C359" s="96" t="s">
        <v>124</v>
      </c>
      <c r="D359" s="14"/>
      <c r="E359" s="15" t="s">
        <v>142</v>
      </c>
      <c r="F359" s="158" t="str">
        <f>Dashboard!$I$53</f>
        <v>3 Axle rigid</v>
      </c>
      <c r="G359" s="14"/>
      <c r="H359" s="151">
        <f>IF(COUNT($H$3:H$3)=(Dashboard!$I$31+1),IF($F$359=$C$359,Data!$E$303,0),0)</f>
        <v>0</v>
      </c>
      <c r="I359" s="151">
        <f>IF(COUNT($H$3:I$3)=(Dashboard!$I$31+1),IF($F$359=$C$359,Data!$E$303,0),0)</f>
        <v>0</v>
      </c>
      <c r="J359" s="151">
        <f>IF(COUNT($H$3:J$3)=(Dashboard!$I$31+1),IF($F$359=$C$359,Data!$E$303,0),0)</f>
        <v>0</v>
      </c>
      <c r="K359" s="151">
        <f>IF(COUNT($H$3:K$3)=(Dashboard!$I$31+1),IF($F$359=$C$359,Data!$E$303,0),0)</f>
        <v>0</v>
      </c>
      <c r="L359" s="151">
        <f>IF(COUNT($H$3:L$3)=(Dashboard!$I$31+1),IF($F$359=$C$359,Data!$E$303,0),0)</f>
        <v>0</v>
      </c>
      <c r="M359" s="151">
        <f>IF(COUNT($H$3:M$3)=(Dashboard!$I$31+1),IF($F$359=$C$359,Data!$E$303,0),0)</f>
        <v>0</v>
      </c>
      <c r="N359" s="151">
        <f>IF(COUNT($H$3:N$3)=(Dashboard!$I$31+1),IF($F$359=$C$359,Data!$E$303,0),0)</f>
        <v>0</v>
      </c>
      <c r="O359" s="151">
        <f>IF(COUNT($H$3:O$3)=(Dashboard!$I$31+1),IF($F$359=$C$359,Data!$E$303,0),0)</f>
        <v>0</v>
      </c>
      <c r="P359" s="151">
        <f>IF(COUNT($H$3:P$3)=(Dashboard!$I$31+1),IF($F$359=$C$359,Data!$E$303,0),0)</f>
        <v>0</v>
      </c>
      <c r="Q359" s="151">
        <f>IF(COUNT($H$3:Q$3)=(Dashboard!$I$31+1),IF($F$359=$C$359,Data!$E$303,0),0)</f>
        <v>0</v>
      </c>
      <c r="R359" s="151">
        <f>IF(COUNT($H$3:R$3)=(Dashboard!$I$31+1),IF($F$359=$C$359,Data!$E$303,0),0)</f>
        <v>0</v>
      </c>
      <c r="S359" s="151">
        <f>IF(COUNT($H$3:S$3)=(Dashboard!$I$31+1),IF($F$359=$C$359,Data!$E$303,0),0)</f>
        <v>0</v>
      </c>
      <c r="T359" s="151">
        <f>IF(COUNT($H$3:T$3)=(Dashboard!$I$31+1),IF($F$359=$C$359,Data!$E$303,0),0)</f>
        <v>716333.33333333337</v>
      </c>
      <c r="U359" s="151">
        <f>IF(COUNT($H$3:U$3)=(Dashboard!$I$31+1),IF($F$359=$C$359,Data!$E$303,0),0)</f>
        <v>0</v>
      </c>
      <c r="V359" s="151">
        <f>IF(COUNT($H$3:V$3)=(Dashboard!$I$31+1),IF($F$359=$C$359,Data!$E$303,0),0)</f>
        <v>0</v>
      </c>
      <c r="W359" s="151">
        <f>IF(COUNT($H$3:W$3)=(Dashboard!$I$31+1),IF($F$359=$C$359,Data!$E$303,0),0)</f>
        <v>0</v>
      </c>
      <c r="X359" s="151">
        <f>IF(COUNT($H$3:X$3)=(Dashboard!$I$31+1),IF($F$359=$C$359,Data!$E$303,0),0)</f>
        <v>0</v>
      </c>
      <c r="Y359" s="151">
        <f>IF(COUNT($H$3:Y$3)=(Dashboard!$I$31+1),IF($F$359=$C$359,Data!$E$303,0),0)</f>
        <v>0</v>
      </c>
      <c r="Z359" s="151">
        <f>IF(COUNT($H$3:Z$3)=(Dashboard!$I$31+1),IF($F$359=$C$359,Data!$E$303,0),0)</f>
        <v>0</v>
      </c>
      <c r="AA359" s="151">
        <f>IF(COUNT($H$3:AA$3)=(Dashboard!$I$31+1),IF($F$359=$C$359,Data!$E$303,0),0)</f>
        <v>0</v>
      </c>
      <c r="AB359" s="151">
        <f>IF(COUNT($H$3:AB$3)=(Dashboard!$I$31+1),IF($F$359=$C$359,Data!$E$303,0),0)</f>
        <v>0</v>
      </c>
      <c r="AC359" s="151">
        <f>IF(COUNT($H$3:AC$3)=(Dashboard!$I$31+1),IF($F$359=$C$359,Data!$E$303,0),0)</f>
        <v>0</v>
      </c>
      <c r="AD359" s="151">
        <f>IF(COUNT($H$3:AD$3)=(Dashboard!$I$31+1),IF($F$359=$C$359,Data!$E$303,0),0)</f>
        <v>0</v>
      </c>
      <c r="AE359" s="151">
        <f>IF(COUNT($H$3:AE$3)=(Dashboard!$I$31+1),IF($F$359=$C$359,Data!$E$303,0),0)</f>
        <v>0</v>
      </c>
      <c r="AF359" s="151">
        <f>IF(COUNT($H$3:AF$3)=(Dashboard!$I$31+1),IF($F$359=$C$359,Data!$E$303,0),0)</f>
        <v>0</v>
      </c>
      <c r="AG359" s="151">
        <f>IF(COUNT($H$3:AG$3)=(Dashboard!$I$31+1),IF($F$359=$C$359,Data!$E$303,0),0)</f>
        <v>0</v>
      </c>
      <c r="AH359" s="151">
        <f>IF(COUNT($H$3:AH$3)=(Dashboard!$I$31+1),IF($F$359=$C$359,Data!$E$303,0),0)</f>
        <v>0</v>
      </c>
      <c r="AI359" s="151">
        <f>IF(COUNT($H$3:AI$3)=(Dashboard!$I$31+1),IF($F$359=$C$359,Data!$E$303,0),0)</f>
        <v>0</v>
      </c>
      <c r="AJ359" s="151">
        <f>IF(COUNT($H$3:AJ$3)=(Dashboard!$I$31+1),IF($F$359=$C$359,Data!$E$303,0),0)</f>
        <v>0</v>
      </c>
      <c r="AK359" s="151">
        <f>IF(COUNT($H$3:AK$3)=(Dashboard!$I$31+1),IF($F$359=$C$359,Data!$E$303,0),0)</f>
        <v>0</v>
      </c>
      <c r="AL359" s="151">
        <f>IF(COUNT($H$3:AL$3)=(Dashboard!$I$31+1),IF($F$359=$C$359,Data!$E$303,0),0)</f>
        <v>0</v>
      </c>
      <c r="AM359" s="151">
        <f>IF(COUNT($H$3:AM$3)=(Dashboard!$I$31+1),IF($F$359=$C$359,Data!$E$303,0),0)</f>
        <v>0</v>
      </c>
      <c r="AN359" s="151">
        <f>IF(COUNT($H$3:AN$3)=(Dashboard!$I$31+1),IF($F$359=$C$359,Data!$E$303,0),0)</f>
        <v>0</v>
      </c>
      <c r="AO359" s="151">
        <f>IF(COUNT($H$3:AO$3)=(Dashboard!$I$31+1),IF($F$359=$C$359,Data!$E$303,0),0)</f>
        <v>0</v>
      </c>
      <c r="AP359" s="29"/>
    </row>
    <row r="360" spans="1:42" outlineLevel="1" x14ac:dyDescent="0.25">
      <c r="A360" s="12"/>
      <c r="B360" s="13"/>
      <c r="C360" s="96" t="s">
        <v>126</v>
      </c>
      <c r="D360" s="14"/>
      <c r="E360" s="15" t="s">
        <v>142</v>
      </c>
      <c r="F360" s="158" t="str">
        <f>Dashboard!$I$53</f>
        <v>3 Axle rigid</v>
      </c>
      <c r="G360" s="14"/>
      <c r="H360" s="151">
        <f>IF(COUNT($H$3:H$3)=(Dashboard!$I$31+1),IF($F$360=$C$360,Data!$E$304,0),0)</f>
        <v>0</v>
      </c>
      <c r="I360" s="151">
        <f>IF(COUNT($H$3:I$3)=(Dashboard!$I$31+1),IF($F$360=$C$360,Data!$E$304,0),0)</f>
        <v>0</v>
      </c>
      <c r="J360" s="151">
        <f>IF(COUNT($H$3:J$3)=(Dashboard!$I$31+1),IF($F$360=$C$360,Data!$E$304,0),0)</f>
        <v>0</v>
      </c>
      <c r="K360" s="151">
        <f>IF(COUNT($H$3:K$3)=(Dashboard!$I$31+1),IF($F$360=$C$360,Data!$E$304,0),0)</f>
        <v>0</v>
      </c>
      <c r="L360" s="151">
        <f>IF(COUNT($H$3:L$3)=(Dashboard!$I$31+1),IF($F$360=$C$360,Data!$E$304,0),0)</f>
        <v>0</v>
      </c>
      <c r="M360" s="151">
        <f>IF(COUNT($H$3:M$3)=(Dashboard!$I$31+1),IF($F$360=$C$360,Data!$E$304,0),0)</f>
        <v>0</v>
      </c>
      <c r="N360" s="151">
        <f>IF(COUNT($H$3:N$3)=(Dashboard!$I$31+1),IF($F$360=$C$360,Data!$E$304,0),0)</f>
        <v>0</v>
      </c>
      <c r="O360" s="151">
        <f>IF(COUNT($H$3:O$3)=(Dashboard!$I$31+1),IF($F$360=$C$360,Data!$E$304,0),0)</f>
        <v>0</v>
      </c>
      <c r="P360" s="151">
        <f>IF(COUNT($H$3:P$3)=(Dashboard!$I$31+1),IF($F$360=$C$360,Data!$E$304,0),0)</f>
        <v>0</v>
      </c>
      <c r="Q360" s="151">
        <f>IF(COUNT($H$3:Q$3)=(Dashboard!$I$31+1),IF($F$360=$C$360,Data!$E$304,0),0)</f>
        <v>0</v>
      </c>
      <c r="R360" s="151">
        <f>IF(COUNT($H$3:R$3)=(Dashboard!$I$31+1),IF($F$360=$C$360,Data!$E$304,0),0)</f>
        <v>0</v>
      </c>
      <c r="S360" s="151">
        <f>IF(COUNT($H$3:S$3)=(Dashboard!$I$31+1),IF($F$360=$C$360,Data!$E$304,0),0)</f>
        <v>0</v>
      </c>
      <c r="T360" s="151">
        <f>IF(COUNT($H$3:T$3)=(Dashboard!$I$31+1),IF($F$360=$C$360,Data!$E$304,0),0)</f>
        <v>0</v>
      </c>
      <c r="U360" s="151">
        <f>IF(COUNT($H$3:U$3)=(Dashboard!$I$31+1),IF($F$360=$C$360,Data!$E$304,0),0)</f>
        <v>0</v>
      </c>
      <c r="V360" s="151">
        <f>IF(COUNT($H$3:V$3)=(Dashboard!$I$31+1),IF($F$360=$C$360,Data!$E$304,0),0)</f>
        <v>0</v>
      </c>
      <c r="W360" s="151">
        <f>IF(COUNT($H$3:W$3)=(Dashboard!$I$31+1),IF($F$360=$C$360,Data!$E$304,0),0)</f>
        <v>0</v>
      </c>
      <c r="X360" s="151">
        <f>IF(COUNT($H$3:X$3)=(Dashboard!$I$31+1),IF($F$360=$C$360,Data!$E$304,0),0)</f>
        <v>0</v>
      </c>
      <c r="Y360" s="151">
        <f>IF(COUNT($H$3:Y$3)=(Dashboard!$I$31+1),IF($F$360=$C$360,Data!$E$304,0),0)</f>
        <v>0</v>
      </c>
      <c r="Z360" s="151">
        <f>IF(COUNT($H$3:Z$3)=(Dashboard!$I$31+1),IF($F$360=$C$360,Data!$E$304,0),0)</f>
        <v>0</v>
      </c>
      <c r="AA360" s="151">
        <f>IF(COUNT($H$3:AA$3)=(Dashboard!$I$31+1),IF($F$360=$C$360,Data!$E$304,0),0)</f>
        <v>0</v>
      </c>
      <c r="AB360" s="151">
        <f>IF(COUNT($H$3:AB$3)=(Dashboard!$I$31+1),IF($F$360=$C$360,Data!$E$304,0),0)</f>
        <v>0</v>
      </c>
      <c r="AC360" s="151">
        <f>IF(COUNT($H$3:AC$3)=(Dashboard!$I$31+1),IF($F$360=$C$360,Data!$E$304,0),0)</f>
        <v>0</v>
      </c>
      <c r="AD360" s="151">
        <f>IF(COUNT($H$3:AD$3)=(Dashboard!$I$31+1),IF($F$360=$C$360,Data!$E$304,0),0)</f>
        <v>0</v>
      </c>
      <c r="AE360" s="151">
        <f>IF(COUNT($H$3:AE$3)=(Dashboard!$I$31+1),IF($F$360=$C$360,Data!$E$304,0),0)</f>
        <v>0</v>
      </c>
      <c r="AF360" s="151">
        <f>IF(COUNT($H$3:AF$3)=(Dashboard!$I$31+1),IF($F$360=$C$360,Data!$E$304,0),0)</f>
        <v>0</v>
      </c>
      <c r="AG360" s="151">
        <f>IF(COUNT($H$3:AG$3)=(Dashboard!$I$31+1),IF($F$360=$C$360,Data!$E$304,0),0)</f>
        <v>0</v>
      </c>
      <c r="AH360" s="151">
        <f>IF(COUNT($H$3:AH$3)=(Dashboard!$I$31+1),IF($F$360=$C$360,Data!$E$304,0),0)</f>
        <v>0</v>
      </c>
      <c r="AI360" s="151">
        <f>IF(COUNT($H$3:AI$3)=(Dashboard!$I$31+1),IF($F$360=$C$360,Data!$E$304,0),0)</f>
        <v>0</v>
      </c>
      <c r="AJ360" s="151">
        <f>IF(COUNT($H$3:AJ$3)=(Dashboard!$I$31+1),IF($F$360=$C$360,Data!$E$304,0),0)</f>
        <v>0</v>
      </c>
      <c r="AK360" s="151">
        <f>IF(COUNT($H$3:AK$3)=(Dashboard!$I$31+1),IF($F$360=$C$360,Data!$E$304,0),0)</f>
        <v>0</v>
      </c>
      <c r="AL360" s="151">
        <f>IF(COUNT($H$3:AL$3)=(Dashboard!$I$31+1),IF($F$360=$C$360,Data!$E$304,0),0)</f>
        <v>0</v>
      </c>
      <c r="AM360" s="151">
        <f>IF(COUNT($H$3:AM$3)=(Dashboard!$I$31+1),IF($F$360=$C$360,Data!$E$304,0),0)</f>
        <v>0</v>
      </c>
      <c r="AN360" s="151">
        <f>IF(COUNT($H$3:AN$3)=(Dashboard!$I$31+1),IF($F$360=$C$360,Data!$E$304,0),0)</f>
        <v>0</v>
      </c>
      <c r="AO360" s="151">
        <f>IF(COUNT($H$3:AO$3)=(Dashboard!$I$31+1),IF($F$360=$C$360,Data!$E$304,0),0)</f>
        <v>0</v>
      </c>
      <c r="AP360" s="29"/>
    </row>
    <row r="361" spans="1:42" outlineLevel="1" x14ac:dyDescent="0.25">
      <c r="A361" s="12"/>
      <c r="B361" s="13"/>
      <c r="C361" s="96"/>
      <c r="D361" s="14"/>
      <c r="E361" s="15"/>
      <c r="F361" s="158"/>
      <c r="G361" s="14"/>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29"/>
    </row>
    <row r="362" spans="1:42" outlineLevel="1" x14ac:dyDescent="0.25">
      <c r="A362" s="12"/>
      <c r="B362" s="13"/>
      <c r="C362" s="432" t="s">
        <v>594</v>
      </c>
      <c r="D362" s="14"/>
      <c r="E362" s="15"/>
      <c r="F362" s="158"/>
      <c r="G362" s="14"/>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29"/>
    </row>
    <row r="363" spans="1:42" outlineLevel="1" x14ac:dyDescent="0.25">
      <c r="A363" s="12"/>
      <c r="B363" s="13"/>
      <c r="C363" s="96" t="s">
        <v>120</v>
      </c>
      <c r="D363" s="14"/>
      <c r="E363" s="15" t="s">
        <v>142</v>
      </c>
      <c r="F363" s="158" t="str">
        <f>Dashboard!$I$53</f>
        <v>3 Axle rigid</v>
      </c>
      <c r="G363" s="14"/>
      <c r="H363" s="151">
        <f>IF(COUNT($H$3:H$3)=(Dashboard!$I$31+Data!$E$307+1),IF($F$363=$C$363,H349,0),0)</f>
        <v>0</v>
      </c>
      <c r="I363" s="151">
        <f>IF(COUNT($H$3:I$3)=(Dashboard!$I$31+Data!$E$307+1),IF($F$363=$C$363,I349,0),0)</f>
        <v>0</v>
      </c>
      <c r="J363" s="151">
        <f>IF(COUNT($H$3:J$3)=(Dashboard!$I$31+Data!$E$307+1),IF($F$363=$C$363,J349,0),0)</f>
        <v>0</v>
      </c>
      <c r="K363" s="151">
        <f>IF(COUNT($H$3:K$3)=(Dashboard!$I$31+Data!$E$307+1),IF($F$363=$C$363,K349,0),0)</f>
        <v>0</v>
      </c>
      <c r="L363" s="151">
        <f>IF(COUNT($H$3:L$3)=(Dashboard!$I$31+Data!$E$307+1),IF($F$363=$C$363,L349,0),0)</f>
        <v>0</v>
      </c>
      <c r="M363" s="151">
        <f>IF(COUNT($H$3:M$3)=(Dashboard!$I$31+Data!$E$307+1),IF($F$363=$C$363,M349,0),0)</f>
        <v>0</v>
      </c>
      <c r="N363" s="151">
        <f>IF(COUNT($H$3:N$3)=(Dashboard!$I$31+Data!$E$307+1),IF($F$363=$C$363,N349,0),0)</f>
        <v>0</v>
      </c>
      <c r="O363" s="151">
        <f>IF(COUNT($H$3:O$3)=(Dashboard!$I$31+Data!$E$307+1),IF($F$363=$C$363,O349,0),0)</f>
        <v>0</v>
      </c>
      <c r="P363" s="151">
        <f>IF(COUNT($H$3:P$3)=(Dashboard!$I$31+Data!$E$307+1),IF($F$363=$C$363,P349,0),0)</f>
        <v>0</v>
      </c>
      <c r="Q363" s="151">
        <f>IF(COUNT($H$3:Q$3)=(Dashboard!$I$31+Data!$E$307+1),IF($F$363=$C$363,Q349,0),0)</f>
        <v>0</v>
      </c>
      <c r="R363" s="151">
        <f>IF(COUNT($H$3:R$3)=(Dashboard!$I$31+Data!$E$307+1),IF($F$363=$C$363,R349,0),0)</f>
        <v>0</v>
      </c>
      <c r="S363" s="151">
        <f>IF(COUNT($H$3:S$3)=(Dashboard!$I$31+Data!$E$307+1),IF($F$363=$C$363,S349,0),0)</f>
        <v>0</v>
      </c>
      <c r="T363" s="151">
        <f>IF(COUNT($H$3:T$3)=(Dashboard!$I$31+Data!$E$307+1),IF($F$363=$C$363,T349,0),0)</f>
        <v>0</v>
      </c>
      <c r="U363" s="151">
        <f>IF(COUNT($H$3:U$3)=(Dashboard!$I$31+Data!$E$307+1),IF($F$363=$C$363,U349,0),0)</f>
        <v>0</v>
      </c>
      <c r="V363" s="151">
        <f>IF(COUNT($H$3:V$3)=(Dashboard!$I$31+Data!$E$307+1),IF($F$363=$C$363,V349,0),0)</f>
        <v>0</v>
      </c>
      <c r="W363" s="151">
        <f>IF(COUNT($H$3:W$3)=(Dashboard!$I$31+Data!$E$307+1),IF($F$363=$C$363,W349,0),0)</f>
        <v>0</v>
      </c>
      <c r="X363" s="151">
        <f>IF(COUNT($H$3:X$3)=(Dashboard!$I$31+Data!$E$307+1),IF($F$363=$C$363,X349,0),0)</f>
        <v>0</v>
      </c>
      <c r="Y363" s="151">
        <f>IF(COUNT($H$3:Y$3)=(Dashboard!$I$31+Data!$E$307+1),IF($F$363=$C$363,Y349,0),0)</f>
        <v>0</v>
      </c>
      <c r="Z363" s="151">
        <f>IF(COUNT($H$3:Z$3)=(Dashboard!$I$31+Data!$E$307+1),IF($F$363=$C$363,Z349,0),0)</f>
        <v>0</v>
      </c>
      <c r="AA363" s="151">
        <f>IF(COUNT($H$3:AA$3)=(Dashboard!$I$31+Data!$E$307+1),IF($F$363=$C$363,AA349,0),0)</f>
        <v>0</v>
      </c>
      <c r="AB363" s="151">
        <f>IF(COUNT($H$3:AB$3)=(Dashboard!$I$31+Data!$E$307+1),IF($F$363=$C$363,AB349,0),0)</f>
        <v>0</v>
      </c>
      <c r="AC363" s="151">
        <f>IF(COUNT($H$3:AC$3)=(Dashboard!$I$31+Data!$E$307+1),IF($F$363=$C$363,AC349,0),0)</f>
        <v>0</v>
      </c>
      <c r="AD363" s="151">
        <f>IF(COUNT($H$3:AD$3)=(Dashboard!$I$31+Data!$E$307+1),IF($F$363=$C$363,AD349,0),0)</f>
        <v>0</v>
      </c>
      <c r="AE363" s="151">
        <f>IF(COUNT($H$3:AE$3)=(Dashboard!$I$31+Data!$E$307+1),IF($F$363=$C$363,AE349,0),0)</f>
        <v>0</v>
      </c>
      <c r="AF363" s="151">
        <f>IF(COUNT($H$3:AF$3)=(Dashboard!$I$31+Data!$E$307+1),IF($F$363=$C$363,AF349,0),0)</f>
        <v>0</v>
      </c>
      <c r="AG363" s="151">
        <f>IF(COUNT($H$3:AG$3)=(Dashboard!$I$31+Data!$E$307+1),IF($F$363=$C$363,AG349,0),0)</f>
        <v>0</v>
      </c>
      <c r="AH363" s="151">
        <f>IF(COUNT($H$3:AH$3)=(Dashboard!$I$31+Data!$E$307+1),IF($F$363=$C$363,AH349,0),0)</f>
        <v>0</v>
      </c>
      <c r="AI363" s="151">
        <f>IF(COUNT($H$3:AI$3)=(Dashboard!$I$31+Data!$E$307+1),IF($F$363=$C$363,AI349,0),0)</f>
        <v>0</v>
      </c>
      <c r="AJ363" s="151">
        <f>IF(COUNT($H$3:AJ$3)=(Dashboard!$I$31+Data!$E$307+1),IF($F$363=$C$363,AJ349,0),0)</f>
        <v>0</v>
      </c>
      <c r="AK363" s="151">
        <f>IF(COUNT($H$3:AK$3)=(Dashboard!$I$31+Data!$E$307+1),IF($F$363=$C$363,AK349,0),0)</f>
        <v>0</v>
      </c>
      <c r="AL363" s="151">
        <f>IF(COUNT($H$3:AL$3)=(Dashboard!$I$31+Data!$E$307+1),IF($F$363=$C$363,AL349,0),0)</f>
        <v>0</v>
      </c>
      <c r="AM363" s="151">
        <f>IF(COUNT($H$3:AM$3)=(Dashboard!$I$31+Data!$E$307+1),IF($F$363=$C$363,AM349,0),0)</f>
        <v>0</v>
      </c>
      <c r="AN363" s="151">
        <f>IF(COUNT($H$3:AN$3)=(Dashboard!$I$31+Data!$E$307+1),IF($F$363=$C$363,AN349,0),0)</f>
        <v>0</v>
      </c>
      <c r="AO363" s="151">
        <f>IF(COUNT($H$3:AO$3)=(Dashboard!$I$31+Data!$E$307+1),IF($F$363=$C$363,AO349,0),0)</f>
        <v>0</v>
      </c>
      <c r="AP363" s="29"/>
    </row>
    <row r="364" spans="1:42" outlineLevel="1" x14ac:dyDescent="0.25">
      <c r="A364" s="12"/>
      <c r="B364" s="13"/>
      <c r="C364" s="96" t="s">
        <v>124</v>
      </c>
      <c r="D364" s="14"/>
      <c r="E364" s="15" t="s">
        <v>142</v>
      </c>
      <c r="F364" s="158" t="str">
        <f>Dashboard!$I$53</f>
        <v>3 Axle rigid</v>
      </c>
      <c r="G364" s="14"/>
      <c r="H364" s="151">
        <f>IF(COUNT($H$3:H$3)=(Dashboard!$I$31+Data!$E$307+1),IF($F$364=$C$364,H350,0),0)</f>
        <v>0</v>
      </c>
      <c r="I364" s="151">
        <f>IF(COUNT($H$3:I$3)=(Dashboard!$I$31+Data!$E$307+1),IF($F$364=$C$364,I350,0),0)</f>
        <v>0</v>
      </c>
      <c r="J364" s="151">
        <f>IF(COUNT($H$3:J$3)=(Dashboard!$I$31+Data!$E$307+1),IF($F$364=$C$364,J350,0),0)</f>
        <v>0</v>
      </c>
      <c r="K364" s="151">
        <f>IF(COUNT($H$3:K$3)=(Dashboard!$I$31+Data!$E$307+1),IF($F$364=$C$364,K350,0),0)</f>
        <v>0</v>
      </c>
      <c r="L364" s="151">
        <f>IF(COUNT($H$3:L$3)=(Dashboard!$I$31+Data!$E$307+1),IF($F$364=$C$364,L350,0),0)</f>
        <v>0</v>
      </c>
      <c r="M364" s="151">
        <f>IF(COUNT($H$3:M$3)=(Dashboard!$I$31+Data!$E$307+1),IF($F$364=$C$364,M350,0),0)</f>
        <v>0</v>
      </c>
      <c r="N364" s="151">
        <f>IF(COUNT($H$3:N$3)=(Dashboard!$I$31+Data!$E$307+1),IF($F$364=$C$364,N350,0),0)</f>
        <v>0</v>
      </c>
      <c r="O364" s="151">
        <f>IF(COUNT($H$3:O$3)=(Dashboard!$I$31+Data!$E$307+1),IF($F$364=$C$364,O350,0),0)</f>
        <v>0</v>
      </c>
      <c r="P364" s="151">
        <f>IF(COUNT($H$3:P$3)=(Dashboard!$I$31+Data!$E$307+1),IF($F$364=$C$364,P350,0),0)</f>
        <v>0</v>
      </c>
      <c r="Q364" s="151">
        <f>IF(COUNT($H$3:Q$3)=(Dashboard!$I$31+Data!$E$307+1),IF($F$364=$C$364,Q350,0),0)</f>
        <v>0</v>
      </c>
      <c r="R364" s="151">
        <f>IF(COUNT($H$3:R$3)=(Dashboard!$I$31+Data!$E$307+1),IF($F$364=$C$364,R350,0),0)</f>
        <v>0</v>
      </c>
      <c r="S364" s="151">
        <f>IF(COUNT($H$3:S$3)=(Dashboard!$I$31+Data!$E$307+1),IF($F$364=$C$364,S350,0),0)</f>
        <v>0</v>
      </c>
      <c r="T364" s="151">
        <f>IF(COUNT($H$3:T$3)=(Dashboard!$I$31+Data!$E$307+1),IF($F$364=$C$364,T350,0),0)</f>
        <v>0</v>
      </c>
      <c r="U364" s="151">
        <f>IF(COUNT($H$3:U$3)=(Dashboard!$I$31+Data!$E$307+1),IF($F$364=$C$364,U350,0),0)</f>
        <v>0</v>
      </c>
      <c r="V364" s="151">
        <f>IF(COUNT($H$3:V$3)=(Dashboard!$I$31+Data!$E$307+1),IF($F$364=$C$364,V350,0),0)</f>
        <v>0</v>
      </c>
      <c r="W364" s="151">
        <f>IF(COUNT($H$3:W$3)=(Dashboard!$I$31+Data!$E$307+1),IF($F$364=$C$364,W350,0),0)</f>
        <v>0</v>
      </c>
      <c r="X364" s="151">
        <f>IF(COUNT($H$3:X$3)=(Dashboard!$I$31+Data!$E$307+1),IF($F$364=$C$364,X350,0),0)</f>
        <v>0</v>
      </c>
      <c r="Y364" s="151">
        <f>IF(COUNT($H$3:Y$3)=(Dashboard!$I$31+Data!$E$307+1),IF($F$364=$C$364,Y350,0),0)</f>
        <v>0</v>
      </c>
      <c r="Z364" s="151">
        <f>IF(COUNT($H$3:Z$3)=(Dashboard!$I$31+Data!$E$307+1),IF($F$364=$C$364,Z350,0),0)</f>
        <v>0</v>
      </c>
      <c r="AA364" s="151">
        <f>IF(COUNT($H$3:AA$3)=(Dashboard!$I$31+Data!$E$307+1),IF($F$364=$C$364,AA350,0),0)</f>
        <v>0</v>
      </c>
      <c r="AB364" s="151">
        <f>IF(COUNT($H$3:AB$3)=(Dashboard!$I$31+Data!$E$307+1),IF($F$364=$C$364,AB350,0),0)</f>
        <v>0</v>
      </c>
      <c r="AC364" s="151">
        <f>IF(COUNT($H$3:AC$3)=(Dashboard!$I$31+Data!$E$307+1),IF($F$364=$C$364,AC350,0),0)</f>
        <v>79269.193947374719</v>
      </c>
      <c r="AD364" s="151">
        <f>IF(COUNT($H$3:AD$3)=(Dashboard!$I$31+Data!$E$307+1),IF($F$364=$C$364,AD350,0),0)</f>
        <v>0</v>
      </c>
      <c r="AE364" s="151">
        <f>IF(COUNT($H$3:AE$3)=(Dashboard!$I$31+Data!$E$307+1),IF($F$364=$C$364,AE350,0),0)</f>
        <v>0</v>
      </c>
      <c r="AF364" s="151">
        <f>IF(COUNT($H$3:AF$3)=(Dashboard!$I$31+Data!$E$307+1),IF($F$364=$C$364,AF350,0),0)</f>
        <v>0</v>
      </c>
      <c r="AG364" s="151">
        <f>IF(COUNT($H$3:AG$3)=(Dashboard!$I$31+Data!$E$307+1),IF($F$364=$C$364,AG350,0),0)</f>
        <v>0</v>
      </c>
      <c r="AH364" s="151">
        <f>IF(COUNT($H$3:AH$3)=(Dashboard!$I$31+Data!$E$307+1),IF($F$364=$C$364,AH350,0),0)</f>
        <v>0</v>
      </c>
      <c r="AI364" s="151">
        <f>IF(COUNT($H$3:AI$3)=(Dashboard!$I$31+Data!$E$307+1),IF($F$364=$C$364,AI350,0),0)</f>
        <v>0</v>
      </c>
      <c r="AJ364" s="151">
        <f>IF(COUNT($H$3:AJ$3)=(Dashboard!$I$31+Data!$E$307+1),IF($F$364=$C$364,AJ350,0),0)</f>
        <v>0</v>
      </c>
      <c r="AK364" s="151">
        <f>IF(COUNT($H$3:AK$3)=(Dashboard!$I$31+Data!$E$307+1),IF($F$364=$C$364,AK350,0),0)</f>
        <v>0</v>
      </c>
      <c r="AL364" s="151">
        <f>IF(COUNT($H$3:AL$3)=(Dashboard!$I$31+Data!$E$307+1),IF($F$364=$C$364,AL350,0),0)</f>
        <v>0</v>
      </c>
      <c r="AM364" s="151">
        <f>IF(COUNT($H$3:AM$3)=(Dashboard!$I$31+Data!$E$307+1),IF($F$364=$C$364,AM350,0),0)</f>
        <v>0</v>
      </c>
      <c r="AN364" s="151">
        <f>IF(COUNT($H$3:AN$3)=(Dashboard!$I$31+Data!$E$307+1),IF($F$364=$C$364,AN350,0),0)</f>
        <v>0</v>
      </c>
      <c r="AO364" s="151">
        <f>IF(COUNT($H$3:AO$3)=(Dashboard!$I$31+Data!$E$307+1),IF($F$364=$C$364,AO350,0),0)</f>
        <v>0</v>
      </c>
      <c r="AP364" s="29"/>
    </row>
    <row r="365" spans="1:42" outlineLevel="1" x14ac:dyDescent="0.25">
      <c r="A365" s="12"/>
      <c r="B365" s="13"/>
      <c r="C365" s="96" t="s">
        <v>126</v>
      </c>
      <c r="D365" s="14"/>
      <c r="E365" s="15" t="s">
        <v>142</v>
      </c>
      <c r="F365" s="158" t="str">
        <f>Dashboard!$I$53</f>
        <v>3 Axle rigid</v>
      </c>
      <c r="G365" s="14"/>
      <c r="H365" s="151">
        <f>IF(COUNT($H$3:H$3)=(Dashboard!$I$31+Data!$E$307+1),IF($F$365=$C$365,H351,0),0)</f>
        <v>0</v>
      </c>
      <c r="I365" s="151">
        <f>IF(COUNT($H$3:I$3)=(Dashboard!$I$31+Data!$E$307+1),IF($F$365=$C$365,I351,0),0)</f>
        <v>0</v>
      </c>
      <c r="J365" s="151">
        <f>IF(COUNT($H$3:J$3)=(Dashboard!$I$31+Data!$E$307+1),IF($F$365=$C$365,J351,0),0)</f>
        <v>0</v>
      </c>
      <c r="K365" s="151">
        <f>IF(COUNT($H$3:K$3)=(Dashboard!$I$31+Data!$E$307+1),IF($F$365=$C$365,K351,0),0)</f>
        <v>0</v>
      </c>
      <c r="L365" s="151">
        <f>IF(COUNT($H$3:L$3)=(Dashboard!$I$31+Data!$E$307+1),IF($F$365=$C$365,L351,0),0)</f>
        <v>0</v>
      </c>
      <c r="M365" s="151">
        <f>IF(COUNT($H$3:M$3)=(Dashboard!$I$31+Data!$E$307+1),IF($F$365=$C$365,M351,0),0)</f>
        <v>0</v>
      </c>
      <c r="N365" s="151">
        <f>IF(COUNT($H$3:N$3)=(Dashboard!$I$31+Data!$E$307+1),IF($F$365=$C$365,N351,0),0)</f>
        <v>0</v>
      </c>
      <c r="O365" s="151">
        <f>IF(COUNT($H$3:O$3)=(Dashboard!$I$31+Data!$E$307+1),IF($F$365=$C$365,O351,0),0)</f>
        <v>0</v>
      </c>
      <c r="P365" s="151">
        <f>IF(COUNT($H$3:P$3)=(Dashboard!$I$31+Data!$E$307+1),IF($F$365=$C$365,P351,0),0)</f>
        <v>0</v>
      </c>
      <c r="Q365" s="151">
        <f>IF(COUNT($H$3:Q$3)=(Dashboard!$I$31+Data!$E$307+1),IF($F$365=$C$365,Q351,0),0)</f>
        <v>0</v>
      </c>
      <c r="R365" s="151">
        <f>IF(COUNT($H$3:R$3)=(Dashboard!$I$31+Data!$E$307+1),IF($F$365=$C$365,R351,0),0)</f>
        <v>0</v>
      </c>
      <c r="S365" s="151">
        <f>IF(COUNT($H$3:S$3)=(Dashboard!$I$31+Data!$E$307+1),IF($F$365=$C$365,S351,0),0)</f>
        <v>0</v>
      </c>
      <c r="T365" s="151">
        <f>IF(COUNT($H$3:T$3)=(Dashboard!$I$31+Data!$E$307+1),IF($F$365=$C$365,T351,0),0)</f>
        <v>0</v>
      </c>
      <c r="U365" s="151">
        <f>IF(COUNT($H$3:U$3)=(Dashboard!$I$31+Data!$E$307+1),IF($F$365=$C$365,U351,0),0)</f>
        <v>0</v>
      </c>
      <c r="V365" s="151">
        <f>IF(COUNT($H$3:V$3)=(Dashboard!$I$31+Data!$E$307+1),IF($F$365=$C$365,V351,0),0)</f>
        <v>0</v>
      </c>
      <c r="W365" s="151">
        <f>IF(COUNT($H$3:W$3)=(Dashboard!$I$31+Data!$E$307+1),IF($F$365=$C$365,W351,0),0)</f>
        <v>0</v>
      </c>
      <c r="X365" s="151">
        <f>IF(COUNT($H$3:X$3)=(Dashboard!$I$31+Data!$E$307+1),IF($F$365=$C$365,X351,0),0)</f>
        <v>0</v>
      </c>
      <c r="Y365" s="151">
        <f>IF(COUNT($H$3:Y$3)=(Dashboard!$I$31+Data!$E$307+1),IF($F$365=$C$365,Y351,0),0)</f>
        <v>0</v>
      </c>
      <c r="Z365" s="151">
        <f>IF(COUNT($H$3:Z$3)=(Dashboard!$I$31+Data!$E$307+1),IF($F$365=$C$365,Z351,0),0)</f>
        <v>0</v>
      </c>
      <c r="AA365" s="151">
        <f>IF(COUNT($H$3:AA$3)=(Dashboard!$I$31+Data!$E$307+1),IF($F$365=$C$365,AA351,0),0)</f>
        <v>0</v>
      </c>
      <c r="AB365" s="151">
        <f>IF(COUNT($H$3:AB$3)=(Dashboard!$I$31+Data!$E$307+1),IF($F$365=$C$365,AB351,0),0)</f>
        <v>0</v>
      </c>
      <c r="AC365" s="151">
        <f>IF(COUNT($H$3:AC$3)=(Dashboard!$I$31+Data!$E$307+1),IF($F$365=$C$365,AC351,0),0)</f>
        <v>0</v>
      </c>
      <c r="AD365" s="151">
        <f>IF(COUNT($H$3:AD$3)=(Dashboard!$I$31+Data!$E$307+1),IF($F$365=$C$365,AD351,0),0)</f>
        <v>0</v>
      </c>
      <c r="AE365" s="151">
        <f>IF(COUNT($H$3:AE$3)=(Dashboard!$I$31+Data!$E$307+1),IF($F$365=$C$365,AE351,0),0)</f>
        <v>0</v>
      </c>
      <c r="AF365" s="151">
        <f>IF(COUNT($H$3:AF$3)=(Dashboard!$I$31+Data!$E$307+1),IF($F$365=$C$365,AF351,0),0)</f>
        <v>0</v>
      </c>
      <c r="AG365" s="151">
        <f>IF(COUNT($H$3:AG$3)=(Dashboard!$I$31+Data!$E$307+1),IF($F$365=$C$365,AG351,0),0)</f>
        <v>0</v>
      </c>
      <c r="AH365" s="151">
        <f>IF(COUNT($H$3:AH$3)=(Dashboard!$I$31+Data!$E$307+1),IF($F$365=$C$365,AH351,0),0)</f>
        <v>0</v>
      </c>
      <c r="AI365" s="151">
        <f>IF(COUNT($H$3:AI$3)=(Dashboard!$I$31+Data!$E$307+1),IF($F$365=$C$365,AI351,0),0)</f>
        <v>0</v>
      </c>
      <c r="AJ365" s="151">
        <f>IF(COUNT($H$3:AJ$3)=(Dashboard!$I$31+Data!$E$307+1),IF($F$365=$C$365,AJ351,0),0)</f>
        <v>0</v>
      </c>
      <c r="AK365" s="151">
        <f>IF(COUNT($H$3:AK$3)=(Dashboard!$I$31+Data!$E$307+1),IF($F$365=$C$365,AK351,0),0)</f>
        <v>0</v>
      </c>
      <c r="AL365" s="151">
        <f>IF(COUNT($H$3:AL$3)=(Dashboard!$I$31+Data!$E$307+1),IF($F$365=$C$365,AL351,0),0)</f>
        <v>0</v>
      </c>
      <c r="AM365" s="151">
        <f>IF(COUNT($H$3:AM$3)=(Dashboard!$I$31+Data!$E$307+1),IF($F$365=$C$365,AM351,0),0)</f>
        <v>0</v>
      </c>
      <c r="AN365" s="151">
        <f>IF(COUNT($H$3:AN$3)=(Dashboard!$I$31+Data!$E$307+1),IF($F$365=$C$365,AN351,0),0)</f>
        <v>0</v>
      </c>
      <c r="AO365" s="151">
        <f>IF(COUNT($H$3:AO$3)=(Dashboard!$I$31+Data!$E$307+1),IF($F$365=$C$365,AO351,0),0)</f>
        <v>0</v>
      </c>
      <c r="AP365" s="29"/>
    </row>
    <row r="366" spans="1:42" outlineLevel="1" x14ac:dyDescent="0.25">
      <c r="A366" s="12"/>
      <c r="B366" s="13"/>
      <c r="C366" s="96"/>
      <c r="D366" s="14"/>
      <c r="E366" s="15"/>
      <c r="F366" s="158"/>
      <c r="G366" s="14"/>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151"/>
      <c r="AG366" s="151"/>
      <c r="AH366" s="151"/>
      <c r="AI366" s="151"/>
      <c r="AJ366" s="151"/>
      <c r="AK366" s="151"/>
      <c r="AL366" s="151"/>
      <c r="AM366" s="151"/>
      <c r="AN366" s="151"/>
      <c r="AO366" s="151"/>
      <c r="AP366" s="29"/>
    </row>
    <row r="367" spans="1:42" outlineLevel="1" x14ac:dyDescent="0.25">
      <c r="A367" s="12"/>
      <c r="B367" s="13"/>
      <c r="C367" s="140" t="s">
        <v>306</v>
      </c>
      <c r="D367" s="14"/>
      <c r="E367" s="15"/>
      <c r="F367" s="16"/>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7"/>
    </row>
    <row r="368" spans="1:42" outlineLevel="1" x14ac:dyDescent="0.25">
      <c r="A368" s="12"/>
      <c r="B368" s="13"/>
      <c r="C368" s="14" t="s">
        <v>546</v>
      </c>
      <c r="D368" s="14"/>
      <c r="E368" s="15" t="s">
        <v>142</v>
      </c>
      <c r="F368" s="16"/>
      <c r="G368" s="14"/>
      <c r="H368" s="159">
        <f>IF(COUNT($H$3:H$3)=(Dashboard!$I$31+1),Data!$E$316,0)</f>
        <v>0</v>
      </c>
      <c r="I368" s="159">
        <f>IF(COUNT($H$3:I$3)=(Dashboard!$I$31+1),Data!$E$316,0)</f>
        <v>0</v>
      </c>
      <c r="J368" s="159">
        <f>IF(COUNT($H$3:J$3)=(Dashboard!$I$31+1),Data!$E$316,0)</f>
        <v>0</v>
      </c>
      <c r="K368" s="159">
        <f>IF(COUNT($H$3:K$3)=(Dashboard!$I$31+1),Data!$E$316,0)</f>
        <v>0</v>
      </c>
      <c r="L368" s="159">
        <f>IF(COUNT($H$3:L$3)=(Dashboard!$I$31+1),Data!$E$316,0)</f>
        <v>0</v>
      </c>
      <c r="M368" s="159">
        <f>IF(COUNT($H$3:M$3)=(Dashboard!$I$31+1),Data!$E$316,0)</f>
        <v>0</v>
      </c>
      <c r="N368" s="159">
        <f>IF(COUNT($H$3:N$3)=(Dashboard!$I$31+1),Data!$E$316,0)</f>
        <v>0</v>
      </c>
      <c r="O368" s="159">
        <f>IF(COUNT($H$3:O$3)=(Dashboard!$I$31+1),Data!$E$316,0)</f>
        <v>0</v>
      </c>
      <c r="P368" s="159">
        <f>IF(COUNT($H$3:P$3)=(Dashboard!$I$31+1),Data!$E$316,0)</f>
        <v>0</v>
      </c>
      <c r="Q368" s="159">
        <f>IF(COUNT($H$3:Q$3)=(Dashboard!$I$31+1),Data!$E$316,0)</f>
        <v>0</v>
      </c>
      <c r="R368" s="159">
        <f>IF(COUNT($H$3:R$3)=(Dashboard!$I$31+1),Data!$E$316,0)</f>
        <v>0</v>
      </c>
      <c r="S368" s="159">
        <f>IF(COUNT($H$3:S$3)=(Dashboard!$I$31+1),Data!$E$316,0)</f>
        <v>0</v>
      </c>
      <c r="T368" s="159">
        <f>IF(COUNT($H$3:T$3)=(Dashboard!$I$31+1),Data!$E$316,0)</f>
        <v>62335</v>
      </c>
      <c r="U368" s="159">
        <f>IF(COUNT($H$3:U$3)=(Dashboard!$I$31+1),Data!$E$316,0)</f>
        <v>0</v>
      </c>
      <c r="V368" s="159">
        <f>IF(COUNT($H$3:V$3)=(Dashboard!$I$31+1),Data!$E$316,0)</f>
        <v>0</v>
      </c>
      <c r="W368" s="159">
        <f>IF(COUNT($H$3:W$3)=(Dashboard!$I$31+1),Data!$E$316,0)</f>
        <v>0</v>
      </c>
      <c r="X368" s="159">
        <f>IF(COUNT($H$3:X$3)=(Dashboard!$I$31+1),Data!$E$316,0)</f>
        <v>0</v>
      </c>
      <c r="Y368" s="159">
        <f>IF(COUNT($H$3:Y$3)=(Dashboard!$I$31+1),Data!$E$316,0)</f>
        <v>0</v>
      </c>
      <c r="Z368" s="159">
        <f>IF(COUNT($H$3:Z$3)=(Dashboard!$I$31+1),Data!$E$316,0)</f>
        <v>0</v>
      </c>
      <c r="AA368" s="159">
        <f>IF(COUNT($H$3:AA$3)=(Dashboard!$I$31+1),Data!$E$316,0)</f>
        <v>0</v>
      </c>
      <c r="AB368" s="159">
        <f>IF(COUNT($H$3:AB$3)=(Dashboard!$I$31+1),Data!$E$316,0)</f>
        <v>0</v>
      </c>
      <c r="AC368" s="159">
        <f>IF(COUNT($H$3:AC$3)=(Dashboard!$I$31+1),Data!$E$316,0)</f>
        <v>0</v>
      </c>
      <c r="AD368" s="159">
        <f>IF(COUNT($H$3:AD$3)=(Dashboard!$I$31+1),Data!$E$316,0)</f>
        <v>0</v>
      </c>
      <c r="AE368" s="159">
        <f>IF(COUNT($H$3:AE$3)=(Dashboard!$I$31+1),Data!$E$316,0)</f>
        <v>0</v>
      </c>
      <c r="AF368" s="159">
        <f>IF(COUNT($H$3:AF$3)=(Dashboard!$I$31+1),Data!$E$316,0)</f>
        <v>0</v>
      </c>
      <c r="AG368" s="159">
        <f>IF(COUNT($H$3:AG$3)=(Dashboard!$I$31+1),Data!$E$316,0)</f>
        <v>0</v>
      </c>
      <c r="AH368" s="159">
        <f>IF(COUNT($H$3:AH$3)=(Dashboard!$I$31+1),Data!$E$316,0)</f>
        <v>0</v>
      </c>
      <c r="AI368" s="159">
        <f>IF(COUNT($H$3:AI$3)=(Dashboard!$I$31+1),Data!$E$316,0)</f>
        <v>0</v>
      </c>
      <c r="AJ368" s="159">
        <f>IF(COUNT($H$3:AJ$3)=(Dashboard!$I$31+1),Data!$E$316,0)</f>
        <v>0</v>
      </c>
      <c r="AK368" s="159">
        <f>IF(COUNT($H$3:AK$3)=(Dashboard!$I$31+1),Data!$E$316,0)</f>
        <v>0</v>
      </c>
      <c r="AL368" s="159">
        <f>IF(COUNT($H$3:AL$3)=(Dashboard!$I$31+1),Data!$E$316,0)</f>
        <v>0</v>
      </c>
      <c r="AM368" s="159">
        <f>IF(COUNT($H$3:AM$3)=(Dashboard!$I$31+1),Data!$E$316,0)</f>
        <v>0</v>
      </c>
      <c r="AN368" s="159">
        <f>IF(COUNT($H$3:AN$3)=(Dashboard!$I$31+1),Data!$E$316,0)</f>
        <v>0</v>
      </c>
      <c r="AO368" s="159">
        <f>IF(COUNT($H$3:AO$3)=(Dashboard!$I$31+1),Data!$E$316,0)</f>
        <v>0</v>
      </c>
      <c r="AP368" s="17"/>
    </row>
    <row r="369" spans="1:42" outlineLevel="1" x14ac:dyDescent="0.25">
      <c r="A369" s="12"/>
      <c r="B369" s="13"/>
      <c r="C369" s="14" t="s">
        <v>547</v>
      </c>
      <c r="D369" s="14"/>
      <c r="E369" s="15" t="s">
        <v>142</v>
      </c>
      <c r="F369" s="16"/>
      <c r="G369" s="14"/>
      <c r="H369" s="159">
        <f>IF(COUNT($H$3:H$3)=(Dashboard!$I$31+1),Data!$E$317,0)</f>
        <v>0</v>
      </c>
      <c r="I369" s="159">
        <f>IF(COUNT($H$3:I$3)=(Dashboard!$I$31+1),Data!$E$317,0)</f>
        <v>0</v>
      </c>
      <c r="J369" s="159">
        <f>IF(COUNT($H$3:J$3)=(Dashboard!$I$31+1),Data!$E$317,0)</f>
        <v>0</v>
      </c>
      <c r="K369" s="159">
        <f>IF(COUNT($H$3:K$3)=(Dashboard!$I$31+1),Data!$E$317,0)</f>
        <v>0</v>
      </c>
      <c r="L369" s="159">
        <f>IF(COUNT($H$3:L$3)=(Dashboard!$I$31+1),Data!$E$317,0)</f>
        <v>0</v>
      </c>
      <c r="M369" s="159">
        <f>IF(COUNT($H$3:M$3)=(Dashboard!$I$31+1),Data!$E$317,0)</f>
        <v>0</v>
      </c>
      <c r="N369" s="159">
        <f>IF(COUNT($H$3:N$3)=(Dashboard!$I$31+1),Data!$E$317,0)</f>
        <v>0</v>
      </c>
      <c r="O369" s="159">
        <f>IF(COUNT($H$3:O$3)=(Dashboard!$I$31+1),Data!$E$317,0)</f>
        <v>0</v>
      </c>
      <c r="P369" s="159">
        <f>IF(COUNT($H$3:P$3)=(Dashboard!$I$31+1),Data!$E$317,0)</f>
        <v>0</v>
      </c>
      <c r="Q369" s="159">
        <f>IF(COUNT($H$3:Q$3)=(Dashboard!$I$31+1),Data!$E$317,0)</f>
        <v>0</v>
      </c>
      <c r="R369" s="159">
        <f>IF(COUNT($H$3:R$3)=(Dashboard!$I$31+1),Data!$E$317,0)</f>
        <v>0</v>
      </c>
      <c r="S369" s="159">
        <f>IF(COUNT($H$3:S$3)=(Dashboard!$I$31+1),Data!$E$317,0)</f>
        <v>0</v>
      </c>
      <c r="T369" s="159">
        <f>IF(COUNT($H$3:T$3)=(Dashboard!$I$31+1),Data!$E$317,0)</f>
        <v>70444.868888888886</v>
      </c>
      <c r="U369" s="159">
        <f>IF(COUNT($H$3:U$3)=(Dashboard!$I$31+1),Data!$E$317,0)</f>
        <v>0</v>
      </c>
      <c r="V369" s="159">
        <f>IF(COUNT($H$3:V$3)=(Dashboard!$I$31+1),Data!$E$317,0)</f>
        <v>0</v>
      </c>
      <c r="W369" s="159">
        <f>IF(COUNT($H$3:W$3)=(Dashboard!$I$31+1),Data!$E$317,0)</f>
        <v>0</v>
      </c>
      <c r="X369" s="159">
        <f>IF(COUNT($H$3:X$3)=(Dashboard!$I$31+1),Data!$E$317,0)</f>
        <v>0</v>
      </c>
      <c r="Y369" s="159">
        <f>IF(COUNT($H$3:Y$3)=(Dashboard!$I$31+1),Data!$E$317,0)</f>
        <v>0</v>
      </c>
      <c r="Z369" s="159">
        <f>IF(COUNT($H$3:Z$3)=(Dashboard!$I$31+1),Data!$E$317,0)</f>
        <v>0</v>
      </c>
      <c r="AA369" s="159">
        <f>IF(COUNT($H$3:AA$3)=(Dashboard!$I$31+1),Data!$E$317,0)</f>
        <v>0</v>
      </c>
      <c r="AB369" s="159">
        <f>IF(COUNT($H$3:AB$3)=(Dashboard!$I$31+1),Data!$E$317,0)</f>
        <v>0</v>
      </c>
      <c r="AC369" s="159">
        <f>IF(COUNT($H$3:AC$3)=(Dashboard!$I$31+1),Data!$E$317,0)</f>
        <v>0</v>
      </c>
      <c r="AD369" s="159">
        <f>IF(COUNT($H$3:AD$3)=(Dashboard!$I$31+1),Data!$E$317,0)</f>
        <v>0</v>
      </c>
      <c r="AE369" s="159">
        <f>IF(COUNT($H$3:AE$3)=(Dashboard!$I$31+1),Data!$E$317,0)</f>
        <v>0</v>
      </c>
      <c r="AF369" s="159">
        <f>IF(COUNT($H$3:AF$3)=(Dashboard!$I$31+1),Data!$E$317,0)</f>
        <v>0</v>
      </c>
      <c r="AG369" s="159">
        <f>IF(COUNT($H$3:AG$3)=(Dashboard!$I$31+1),Data!$E$317,0)</f>
        <v>0</v>
      </c>
      <c r="AH369" s="159">
        <f>IF(COUNT($H$3:AH$3)=(Dashboard!$I$31+1),Data!$E$317,0)</f>
        <v>0</v>
      </c>
      <c r="AI369" s="159">
        <f>IF(COUNT($H$3:AI$3)=(Dashboard!$I$31+1),Data!$E$317,0)</f>
        <v>0</v>
      </c>
      <c r="AJ369" s="159">
        <f>IF(COUNT($H$3:AJ$3)=(Dashboard!$I$31+1),Data!$E$317,0)</f>
        <v>0</v>
      </c>
      <c r="AK369" s="159">
        <f>IF(COUNT($H$3:AK$3)=(Dashboard!$I$31+1),Data!$E$317,0)</f>
        <v>0</v>
      </c>
      <c r="AL369" s="159">
        <f>IF(COUNT($H$3:AL$3)=(Dashboard!$I$31+1),Data!$E$317,0)</f>
        <v>0</v>
      </c>
      <c r="AM369" s="159">
        <f>IF(COUNT($H$3:AM$3)=(Dashboard!$I$31+1),Data!$E$317,0)</f>
        <v>0</v>
      </c>
      <c r="AN369" s="159">
        <f>IF(COUNT($H$3:AN$3)=(Dashboard!$I$31+1),Data!$E$317,0)</f>
        <v>0</v>
      </c>
      <c r="AO369" s="159">
        <f>IF(COUNT($H$3:AO$3)=(Dashboard!$I$31+1),Data!$E$317,0)</f>
        <v>0</v>
      </c>
      <c r="AP369" s="17"/>
    </row>
    <row r="370" spans="1:42" outlineLevel="1" x14ac:dyDescent="0.25">
      <c r="A370" s="12"/>
      <c r="B370" s="13"/>
      <c r="C370" s="136" t="s">
        <v>310</v>
      </c>
      <c r="D370" s="14"/>
      <c r="E370" s="15" t="s">
        <v>142</v>
      </c>
      <c r="F370" s="158">
        <f>Dashboard!$I$54</f>
        <v>0</v>
      </c>
      <c r="G370" s="14"/>
      <c r="H370" s="159">
        <f>IF(COUNT($H$3:H$3)=(Dashboard!$I$31+1),($F$47*Data!$E$318)/Dashboard!$I$41,0)</f>
        <v>0</v>
      </c>
      <c r="I370" s="159">
        <f>IF(COUNT($H$3:I$3)=(Dashboard!$I$31+1),($F$47*Data!$E$318)/Dashboard!$I$41,0)</f>
        <v>0</v>
      </c>
      <c r="J370" s="159">
        <f>IF(COUNT($H$3:J$3)=(Dashboard!$I$31+1),($F$47*Data!$E$318)/Dashboard!$I$41,0)</f>
        <v>0</v>
      </c>
      <c r="K370" s="159">
        <f>IF(COUNT($H$3:K$3)=(Dashboard!$I$31+1),($F$47*Data!$E$318)/Dashboard!$I$41,0)</f>
        <v>0</v>
      </c>
      <c r="L370" s="159">
        <f>IF(COUNT($H$3:L$3)=(Dashboard!$I$31+1),($F$47*Data!$E$318)/Dashboard!$I$41,0)</f>
        <v>0</v>
      </c>
      <c r="M370" s="159">
        <f>IF(COUNT($H$3:M$3)=(Dashboard!$I$31+1),($F$47*Data!$E$318)/Dashboard!$I$41,0)</f>
        <v>0</v>
      </c>
      <c r="N370" s="159">
        <f>IF(COUNT($H$3:N$3)=(Dashboard!$I$31+1),($F$47*Data!$E$318)/Dashboard!$I$41,0)</f>
        <v>0</v>
      </c>
      <c r="O370" s="159">
        <f>IF(COUNT($H$3:O$3)=(Dashboard!$I$31+1),($F$47*Data!$E$318)/Dashboard!$I$41,0)</f>
        <v>0</v>
      </c>
      <c r="P370" s="159">
        <f>IF(COUNT($H$3:P$3)=(Dashboard!$I$31+1),($F$47*Data!$E$318)/Dashboard!$I$41,0)</f>
        <v>0</v>
      </c>
      <c r="Q370" s="159">
        <f>IF(COUNT($H$3:Q$3)=(Dashboard!$I$31+1),($F$47*Data!$E$318)/Dashboard!$I$41,0)</f>
        <v>0</v>
      </c>
      <c r="R370" s="159">
        <f>IF(COUNT($H$3:R$3)=(Dashboard!$I$31+1),($F$47*Data!$E$318)/Dashboard!$I$41,0)</f>
        <v>0</v>
      </c>
      <c r="S370" s="159">
        <f>IF(COUNT($H$3:S$3)=(Dashboard!$I$31+1),($F$47*Data!$E$318)/Dashboard!$I$41,0)</f>
        <v>0</v>
      </c>
      <c r="T370" s="159">
        <f>IF(COUNT($H$3:T$3)=(Dashboard!$I$31+1),($F$47*Data!$E$318)/Dashboard!$I$41,0)</f>
        <v>0</v>
      </c>
      <c r="U370" s="159">
        <f>IF(COUNT($H$3:U$3)=(Dashboard!$I$31+1),($F$47*Data!$E$318)/Dashboard!$I$41,0)</f>
        <v>0</v>
      </c>
      <c r="V370" s="159">
        <f>IF(COUNT($H$3:V$3)=(Dashboard!$I$31+1),($F$47*Data!$E$318)/Dashboard!$I$41,0)</f>
        <v>0</v>
      </c>
      <c r="W370" s="159">
        <f>IF(COUNT($H$3:W$3)=(Dashboard!$I$31+1),($F$47*Data!$E$318)/Dashboard!$I$41,0)</f>
        <v>0</v>
      </c>
      <c r="X370" s="159">
        <f>IF(COUNT($H$3:X$3)=(Dashboard!$I$31+1),($F$47*Data!$E$318)/Dashboard!$I$41,0)</f>
        <v>0</v>
      </c>
      <c r="Y370" s="159">
        <f>IF(COUNT($H$3:Y$3)=(Dashboard!$I$31+1),($F$47*Data!$E$318)/Dashboard!$I$41,0)</f>
        <v>0</v>
      </c>
      <c r="Z370" s="159">
        <f>IF(COUNT($H$3:Z$3)=(Dashboard!$I$31+1),($F$47*Data!$E$318)/Dashboard!$I$41,0)</f>
        <v>0</v>
      </c>
      <c r="AA370" s="159">
        <f>IF(COUNT($H$3:AA$3)=(Dashboard!$I$31+1),($F$47*Data!$E$318)/Dashboard!$I$41,0)</f>
        <v>0</v>
      </c>
      <c r="AB370" s="159">
        <f>IF(COUNT($H$3:AB$3)=(Dashboard!$I$31+1),($F$47*Data!$E$318)/Dashboard!$I$41,0)</f>
        <v>0</v>
      </c>
      <c r="AC370" s="159">
        <f>IF(COUNT($H$3:AC$3)=(Dashboard!$I$31+1),($F$47*Data!$E$318)/Dashboard!$I$41,0)</f>
        <v>0</v>
      </c>
      <c r="AD370" s="159">
        <f>IF(COUNT($H$3:AD$3)=(Dashboard!$I$31+1),($F$47*Data!$E$318)/Dashboard!$I$41,0)</f>
        <v>0</v>
      </c>
      <c r="AE370" s="159">
        <f>IF(COUNT($H$3:AE$3)=(Dashboard!$I$31+1),($F$47*Data!$E$318)/Dashboard!$I$41,0)</f>
        <v>0</v>
      </c>
      <c r="AF370" s="159">
        <f>IF(COUNT($H$3:AF$3)=(Dashboard!$I$31+1),($F$47*Data!$E$318)/Dashboard!$I$41,0)</f>
        <v>0</v>
      </c>
      <c r="AG370" s="159">
        <f>IF(COUNT($H$3:AG$3)=(Dashboard!$I$31+1),($F$47*Data!$E$318)/Dashboard!$I$41,0)</f>
        <v>0</v>
      </c>
      <c r="AH370" s="159">
        <f>IF(COUNT($H$3:AH$3)=(Dashboard!$I$31+1),($F$47*Data!$E$318)/Dashboard!$I$41,0)</f>
        <v>0</v>
      </c>
      <c r="AI370" s="159">
        <f>IF(COUNT($H$3:AI$3)=(Dashboard!$I$31+1),($F$47*Data!$E$318)/Dashboard!$I$41,0)</f>
        <v>0</v>
      </c>
      <c r="AJ370" s="159">
        <f>IF(COUNT($H$3:AJ$3)=(Dashboard!$I$31+1),($F$47*Data!$E$318)/Dashboard!$I$41,0)</f>
        <v>0</v>
      </c>
      <c r="AK370" s="159">
        <f>IF(COUNT($H$3:AK$3)=(Dashboard!$I$31+1),($F$47*Data!$E$318)/Dashboard!$I$41,0)</f>
        <v>0</v>
      </c>
      <c r="AL370" s="159">
        <f>IF(COUNT($H$3:AL$3)=(Dashboard!$I$31+1),($F$47*Data!$E$318)/Dashboard!$I$41,0)</f>
        <v>0</v>
      </c>
      <c r="AM370" s="159">
        <f>IF(COUNT($H$3:AM$3)=(Dashboard!$I$31+1),($F$47*Data!$E$318)/Dashboard!$I$41,0)</f>
        <v>0</v>
      </c>
      <c r="AN370" s="159">
        <f>IF(COUNT($H$3:AN$3)=(Dashboard!$I$31+1),($F$47*Data!$E$318)/Dashboard!$I$41,0)</f>
        <v>0</v>
      </c>
      <c r="AO370" s="159">
        <f>IF(COUNT($H$3:AO$3)=(Dashboard!$I$31+1),($F$47*Data!$E$318)/Dashboard!$I$41,0)</f>
        <v>0</v>
      </c>
      <c r="AP370" s="17"/>
    </row>
    <row r="371" spans="1:42" outlineLevel="1" x14ac:dyDescent="0.25">
      <c r="A371" s="12"/>
      <c r="B371" s="13"/>
      <c r="C371" s="14" t="s">
        <v>311</v>
      </c>
      <c r="D371" s="14"/>
      <c r="E371" s="15" t="s">
        <v>142</v>
      </c>
      <c r="F371" s="16"/>
      <c r="G371" s="14"/>
      <c r="H371" s="159">
        <f>IF(COUNT($H$3:H$3)=(Dashboard!$I$31+1),($F$47*Data!$E$319)/Dashboard!$I$41,0)</f>
        <v>0</v>
      </c>
      <c r="I371" s="159">
        <f>IF(COUNT($H$3:I$3)=(Dashboard!$I$31+1),($F$47*Data!$E$319)/Dashboard!$I$41,0)</f>
        <v>0</v>
      </c>
      <c r="J371" s="159">
        <f>IF(COUNT($H$3:J$3)=(Dashboard!$I$31+1),($F$47*Data!$E$319)/Dashboard!$I$41,0)</f>
        <v>0</v>
      </c>
      <c r="K371" s="159">
        <f>IF(COUNT($H$3:K$3)=(Dashboard!$I$31+1),($F$47*Data!$E$319)/Dashboard!$I$41,0)</f>
        <v>0</v>
      </c>
      <c r="L371" s="159">
        <f>IF(COUNT($H$3:L$3)=(Dashboard!$I$31+1),($F$47*Data!$E$319)/Dashboard!$I$41,0)</f>
        <v>0</v>
      </c>
      <c r="M371" s="159">
        <f>IF(COUNT($H$3:M$3)=(Dashboard!$I$31+1),($F$47*Data!$E$319)/Dashboard!$I$41,0)</f>
        <v>0</v>
      </c>
      <c r="N371" s="159">
        <f>IF(COUNT($H$3:N$3)=(Dashboard!$I$31+1),($F$47*Data!$E$319)/Dashboard!$I$41,0)</f>
        <v>0</v>
      </c>
      <c r="O371" s="159">
        <f>IF(COUNT($H$3:O$3)=(Dashboard!$I$31+1),($F$47*Data!$E$319)/Dashboard!$I$41,0)</f>
        <v>0</v>
      </c>
      <c r="P371" s="159">
        <f>IF(COUNT($H$3:P$3)=(Dashboard!$I$31+1),($F$47*Data!$E$319)/Dashboard!$I$41,0)</f>
        <v>0</v>
      </c>
      <c r="Q371" s="159">
        <f>IF(COUNT($H$3:Q$3)=(Dashboard!$I$31+1),($F$47*Data!$E$319)/Dashboard!$I$41,0)</f>
        <v>0</v>
      </c>
      <c r="R371" s="159">
        <f>IF(COUNT($H$3:R$3)=(Dashboard!$I$31+1),($F$47*Data!$E$319)/Dashboard!$I$41,0)</f>
        <v>0</v>
      </c>
      <c r="S371" s="159">
        <f>IF(COUNT($H$3:S$3)=(Dashboard!$I$31+1),($F$47*Data!$E$319)/Dashboard!$I$41,0)</f>
        <v>0</v>
      </c>
      <c r="T371" s="159">
        <f>IF(COUNT($H$3:T$3)=(Dashboard!$I$31+1),($F$47*Data!$E$319)/Dashboard!$I$41,0)</f>
        <v>0</v>
      </c>
      <c r="U371" s="159">
        <f>IF(COUNT($H$3:U$3)=(Dashboard!$I$31+1),($F$47*Data!$E$319)/Dashboard!$I$41,0)</f>
        <v>0</v>
      </c>
      <c r="V371" s="159">
        <f>IF(COUNT($H$3:V$3)=(Dashboard!$I$31+1),($F$47*Data!$E$319)/Dashboard!$I$41,0)</f>
        <v>0</v>
      </c>
      <c r="W371" s="159">
        <f>IF(COUNT($H$3:W$3)=(Dashboard!$I$31+1),($F$47*Data!$E$319)/Dashboard!$I$41,0)</f>
        <v>0</v>
      </c>
      <c r="X371" s="159">
        <f>IF(COUNT($H$3:X$3)=(Dashboard!$I$31+1),($F$47*Data!$E$319)/Dashboard!$I$41,0)</f>
        <v>0</v>
      </c>
      <c r="Y371" s="159">
        <f>IF(COUNT($H$3:Y$3)=(Dashboard!$I$31+1),($F$47*Data!$E$319)/Dashboard!$I$41,0)</f>
        <v>0</v>
      </c>
      <c r="Z371" s="159">
        <f>IF(COUNT($H$3:Z$3)=(Dashboard!$I$31+1),($F$47*Data!$E$319)/Dashboard!$I$41,0)</f>
        <v>0</v>
      </c>
      <c r="AA371" s="159">
        <f>IF(COUNT($H$3:AA$3)=(Dashboard!$I$31+1),($F$47*Data!$E$319)/Dashboard!$I$41,0)</f>
        <v>0</v>
      </c>
      <c r="AB371" s="159">
        <f>IF(COUNT($H$3:AB$3)=(Dashboard!$I$31+1),($F$47*Data!$E$319)/Dashboard!$I$41,0)</f>
        <v>0</v>
      </c>
      <c r="AC371" s="159">
        <f>IF(COUNT($H$3:AC$3)=(Dashboard!$I$31+1),($F$47*Data!$E$319)/Dashboard!$I$41,0)</f>
        <v>0</v>
      </c>
      <c r="AD371" s="159">
        <f>IF(COUNT($H$3:AD$3)=(Dashboard!$I$31+1),($F$47*Data!$E$319)/Dashboard!$I$41,0)</f>
        <v>0</v>
      </c>
      <c r="AE371" s="159">
        <f>IF(COUNT($H$3:AE$3)=(Dashboard!$I$31+1),($F$47*Data!$E$319)/Dashboard!$I$41,0)</f>
        <v>0</v>
      </c>
      <c r="AF371" s="159">
        <f>IF(COUNT($H$3:AF$3)=(Dashboard!$I$31+1),($F$47*Data!$E$319)/Dashboard!$I$41,0)</f>
        <v>0</v>
      </c>
      <c r="AG371" s="159">
        <f>IF(COUNT($H$3:AG$3)=(Dashboard!$I$31+1),($F$47*Data!$E$319)/Dashboard!$I$41,0)</f>
        <v>0</v>
      </c>
      <c r="AH371" s="159">
        <f>IF(COUNT($H$3:AH$3)=(Dashboard!$I$31+1),($F$47*Data!$E$319)/Dashboard!$I$41,0)</f>
        <v>0</v>
      </c>
      <c r="AI371" s="159">
        <f>IF(COUNT($H$3:AI$3)=(Dashboard!$I$31+1),($F$47*Data!$E$319)/Dashboard!$I$41,0)</f>
        <v>0</v>
      </c>
      <c r="AJ371" s="159">
        <f>IF(COUNT($H$3:AJ$3)=(Dashboard!$I$31+1),($F$47*Data!$E$319)/Dashboard!$I$41,0)</f>
        <v>0</v>
      </c>
      <c r="AK371" s="159">
        <f>IF(COUNT($H$3:AK$3)=(Dashboard!$I$31+1),($F$47*Data!$E$319)/Dashboard!$I$41,0)</f>
        <v>0</v>
      </c>
      <c r="AL371" s="159">
        <f>IF(COUNT($H$3:AL$3)=(Dashboard!$I$31+1),($F$47*Data!$E$319)/Dashboard!$I$41,0)</f>
        <v>0</v>
      </c>
      <c r="AM371" s="159">
        <f>IF(COUNT($H$3:AM$3)=(Dashboard!$I$31+1),($F$47*Data!$E$319)/Dashboard!$I$41,0)</f>
        <v>0</v>
      </c>
      <c r="AN371" s="159">
        <f>IF(COUNT($H$3:AN$3)=(Dashboard!$I$31+1),($F$47*Data!$E$319)/Dashboard!$I$41,0)</f>
        <v>0</v>
      </c>
      <c r="AO371" s="159">
        <f>IF(COUNT($H$3:AO$3)=(Dashboard!$I$31+1),($F$47*Data!$E$319)/Dashboard!$I$41,0)</f>
        <v>0</v>
      </c>
      <c r="AP371" s="17"/>
    </row>
    <row r="372" spans="1:42" outlineLevel="1" x14ac:dyDescent="0.25">
      <c r="A372" s="12"/>
      <c r="B372" s="13"/>
      <c r="C372" s="14"/>
      <c r="D372" s="14"/>
      <c r="E372" s="15"/>
      <c r="F372" s="16"/>
      <c r="G372" s="14"/>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7"/>
    </row>
    <row r="373" spans="1:42" outlineLevel="1" x14ac:dyDescent="0.25">
      <c r="A373" s="12"/>
      <c r="B373" s="13"/>
      <c r="C373" s="19" t="s">
        <v>510</v>
      </c>
      <c r="D373" s="45"/>
      <c r="E373" s="15"/>
      <c r="F373" s="158"/>
      <c r="G373" s="14"/>
      <c r="H373" s="182">
        <f t="shared" ref="H373:AO373" si="106">SUM(H358:H371)</f>
        <v>0</v>
      </c>
      <c r="I373" s="182">
        <f t="shared" si="106"/>
        <v>0</v>
      </c>
      <c r="J373" s="182">
        <f t="shared" si="106"/>
        <v>0</v>
      </c>
      <c r="K373" s="182">
        <f t="shared" si="106"/>
        <v>0</v>
      </c>
      <c r="L373" s="182">
        <f t="shared" si="106"/>
        <v>0</v>
      </c>
      <c r="M373" s="182">
        <f t="shared" si="106"/>
        <v>0</v>
      </c>
      <c r="N373" s="182">
        <f t="shared" si="106"/>
        <v>0</v>
      </c>
      <c r="O373" s="182">
        <f t="shared" si="106"/>
        <v>0</v>
      </c>
      <c r="P373" s="182">
        <f t="shared" si="106"/>
        <v>0</v>
      </c>
      <c r="Q373" s="182">
        <f t="shared" si="106"/>
        <v>0</v>
      </c>
      <c r="R373" s="182">
        <f t="shared" si="106"/>
        <v>0</v>
      </c>
      <c r="S373" s="182">
        <f t="shared" si="106"/>
        <v>0</v>
      </c>
      <c r="T373" s="182">
        <f t="shared" si="106"/>
        <v>849113.20222222223</v>
      </c>
      <c r="U373" s="182">
        <f t="shared" si="106"/>
        <v>0</v>
      </c>
      <c r="V373" s="182">
        <f t="shared" si="106"/>
        <v>0</v>
      </c>
      <c r="W373" s="182">
        <f t="shared" si="106"/>
        <v>0</v>
      </c>
      <c r="X373" s="182">
        <f t="shared" si="106"/>
        <v>0</v>
      </c>
      <c r="Y373" s="182">
        <f t="shared" si="106"/>
        <v>0</v>
      </c>
      <c r="Z373" s="182">
        <f t="shared" si="106"/>
        <v>0</v>
      </c>
      <c r="AA373" s="182">
        <f t="shared" si="106"/>
        <v>0</v>
      </c>
      <c r="AB373" s="182">
        <f t="shared" si="106"/>
        <v>0</v>
      </c>
      <c r="AC373" s="182">
        <f t="shared" si="106"/>
        <v>79269.193947374719</v>
      </c>
      <c r="AD373" s="182">
        <f t="shared" si="106"/>
        <v>0</v>
      </c>
      <c r="AE373" s="182">
        <f t="shared" si="106"/>
        <v>0</v>
      </c>
      <c r="AF373" s="182">
        <f t="shared" si="106"/>
        <v>0</v>
      </c>
      <c r="AG373" s="182">
        <f t="shared" si="106"/>
        <v>0</v>
      </c>
      <c r="AH373" s="182">
        <f t="shared" si="106"/>
        <v>0</v>
      </c>
      <c r="AI373" s="182">
        <f t="shared" si="106"/>
        <v>0</v>
      </c>
      <c r="AJ373" s="182">
        <f t="shared" si="106"/>
        <v>0</v>
      </c>
      <c r="AK373" s="182">
        <f t="shared" si="106"/>
        <v>0</v>
      </c>
      <c r="AL373" s="182">
        <f t="shared" si="106"/>
        <v>0</v>
      </c>
      <c r="AM373" s="182">
        <f t="shared" si="106"/>
        <v>0</v>
      </c>
      <c r="AN373" s="182">
        <f t="shared" si="106"/>
        <v>0</v>
      </c>
      <c r="AO373" s="182">
        <f t="shared" si="106"/>
        <v>0</v>
      </c>
      <c r="AP373" s="29"/>
    </row>
    <row r="374" spans="1:42" s="140" customFormat="1" outlineLevel="1" x14ac:dyDescent="0.25">
      <c r="A374" s="78"/>
      <c r="B374" s="19"/>
      <c r="C374" s="95" t="s">
        <v>511</v>
      </c>
      <c r="D374" s="20"/>
      <c r="E374" s="21"/>
      <c r="F374" s="48"/>
      <c r="G374" s="20"/>
      <c r="H374" s="20"/>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AI374" s="244"/>
      <c r="AJ374" s="244"/>
      <c r="AK374" s="244"/>
      <c r="AL374" s="244"/>
      <c r="AM374" s="244"/>
      <c r="AN374" s="244"/>
      <c r="AO374" s="244"/>
      <c r="AP374" s="370"/>
    </row>
    <row r="375" spans="1:42" s="140" customFormat="1" outlineLevel="1" x14ac:dyDescent="0.25">
      <c r="A375" s="78"/>
      <c r="B375" s="19"/>
      <c r="C375" s="95" t="s">
        <v>560</v>
      </c>
      <c r="D375" s="20"/>
      <c r="E375" s="21" t="s">
        <v>142</v>
      </c>
      <c r="F375" s="48"/>
      <c r="G375" s="20"/>
      <c r="H375" s="20"/>
      <c r="I375" s="244">
        <f>SUM(I382:I383)</f>
        <v>0</v>
      </c>
      <c r="J375" s="244">
        <f t="shared" ref="J375:AO375" si="107">SUM(J382:J383)</f>
        <v>0</v>
      </c>
      <c r="K375" s="244">
        <f t="shared" si="107"/>
        <v>0</v>
      </c>
      <c r="L375" s="244">
        <f t="shared" si="107"/>
        <v>0</v>
      </c>
      <c r="M375" s="244">
        <f t="shared" si="107"/>
        <v>0</v>
      </c>
      <c r="N375" s="244">
        <f t="shared" si="107"/>
        <v>0</v>
      </c>
      <c r="O375" s="244">
        <f t="shared" si="107"/>
        <v>0</v>
      </c>
      <c r="P375" s="244">
        <f t="shared" si="107"/>
        <v>0</v>
      </c>
      <c r="Q375" s="244">
        <f t="shared" si="107"/>
        <v>0</v>
      </c>
      <c r="R375" s="244">
        <f t="shared" si="107"/>
        <v>0</v>
      </c>
      <c r="S375" s="244">
        <f t="shared" si="107"/>
        <v>0</v>
      </c>
      <c r="T375" s="244">
        <f t="shared" si="107"/>
        <v>62479.235646658133</v>
      </c>
      <c r="U375" s="244">
        <f t="shared" si="107"/>
        <v>62479.235646658133</v>
      </c>
      <c r="V375" s="244">
        <f t="shared" si="107"/>
        <v>62479.235646658133</v>
      </c>
      <c r="W375" s="244">
        <f t="shared" si="107"/>
        <v>62479.235646658133</v>
      </c>
      <c r="X375" s="244">
        <f t="shared" si="107"/>
        <v>62479.235646658133</v>
      </c>
      <c r="Y375" s="244">
        <f t="shared" si="107"/>
        <v>62479.235646658133</v>
      </c>
      <c r="Z375" s="244">
        <f t="shared" si="107"/>
        <v>62479.235646658133</v>
      </c>
      <c r="AA375" s="244">
        <f t="shared" si="107"/>
        <v>62479.235646658133</v>
      </c>
      <c r="AB375" s="244">
        <f t="shared" si="107"/>
        <v>62479.235646658133</v>
      </c>
      <c r="AC375" s="244">
        <f t="shared" si="107"/>
        <v>71527.737978566685</v>
      </c>
      <c r="AD375" s="244">
        <f t="shared" si="107"/>
        <v>71527.737978566685</v>
      </c>
      <c r="AE375" s="244">
        <f t="shared" si="107"/>
        <v>71527.737978566685</v>
      </c>
      <c r="AF375" s="244">
        <f t="shared" si="107"/>
        <v>71527.737978566685</v>
      </c>
      <c r="AG375" s="244">
        <f t="shared" si="107"/>
        <v>71527.737978566685</v>
      </c>
      <c r="AH375" s="244">
        <f t="shared" si="107"/>
        <v>71527.737978566685</v>
      </c>
      <c r="AI375" s="244">
        <f t="shared" si="107"/>
        <v>71527.737978566685</v>
      </c>
      <c r="AJ375" s="244">
        <f t="shared" si="107"/>
        <v>71527.737978566685</v>
      </c>
      <c r="AK375" s="244">
        <f t="shared" si="107"/>
        <v>71527.737978566685</v>
      </c>
      <c r="AL375" s="244">
        <f t="shared" si="107"/>
        <v>71527.737978566685</v>
      </c>
      <c r="AM375" s="244">
        <f t="shared" si="107"/>
        <v>71527.737978566685</v>
      </c>
      <c r="AN375" s="244">
        <f t="shared" si="107"/>
        <v>0</v>
      </c>
      <c r="AO375" s="244">
        <f t="shared" si="107"/>
        <v>0</v>
      </c>
      <c r="AP375" s="370"/>
    </row>
    <row r="376" spans="1:42" s="140" customFormat="1" outlineLevel="1" x14ac:dyDescent="0.25">
      <c r="A376" s="78"/>
      <c r="B376" s="19"/>
      <c r="C376" s="95" t="s">
        <v>561</v>
      </c>
      <c r="D376" s="20"/>
      <c r="E376" s="21" t="s">
        <v>142</v>
      </c>
      <c r="F376" s="48"/>
      <c r="G376" s="20"/>
      <c r="H376" s="20"/>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AI376" s="244"/>
      <c r="AJ376" s="244"/>
      <c r="AK376" s="244"/>
      <c r="AL376" s="244"/>
      <c r="AM376" s="244"/>
      <c r="AN376" s="244"/>
      <c r="AO376" s="244"/>
      <c r="AP376" s="370"/>
    </row>
    <row r="377" spans="1:42" s="140" customFormat="1" outlineLevel="1" x14ac:dyDescent="0.25">
      <c r="A377" s="78"/>
      <c r="B377" s="19"/>
      <c r="C377" s="95" t="s">
        <v>562</v>
      </c>
      <c r="D377" s="20"/>
      <c r="E377" s="21" t="s">
        <v>142</v>
      </c>
      <c r="F377" s="16"/>
      <c r="G377" s="20"/>
      <c r="H377" s="20"/>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AI377" s="244"/>
      <c r="AJ377" s="244"/>
      <c r="AK377" s="244"/>
      <c r="AL377" s="244"/>
      <c r="AM377" s="244"/>
      <c r="AN377" s="244"/>
      <c r="AO377" s="244"/>
      <c r="AP377" s="370"/>
    </row>
    <row r="378" spans="1:42" s="140" customFormat="1" outlineLevel="1" x14ac:dyDescent="0.25">
      <c r="A378" s="78"/>
      <c r="B378" s="19"/>
      <c r="C378" s="95" t="s">
        <v>563</v>
      </c>
      <c r="D378" s="20"/>
      <c r="E378" s="21" t="s">
        <v>266</v>
      </c>
      <c r="F378" s="16"/>
      <c r="G378" s="20"/>
      <c r="H378" s="20"/>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AI378" s="244"/>
      <c r="AJ378" s="244"/>
      <c r="AK378" s="244"/>
      <c r="AL378" s="244"/>
      <c r="AM378" s="244"/>
      <c r="AN378" s="244"/>
      <c r="AO378" s="244"/>
      <c r="AP378" s="370"/>
    </row>
    <row r="379" spans="1:42" outlineLevel="1" x14ac:dyDescent="0.25">
      <c r="A379" s="12"/>
      <c r="B379" s="13"/>
      <c r="C379" s="95" t="s">
        <v>561</v>
      </c>
      <c r="D379" s="45"/>
      <c r="E379" s="15" t="s">
        <v>142</v>
      </c>
      <c r="F379" s="16"/>
      <c r="G379" s="14"/>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29"/>
    </row>
    <row r="380" spans="1:42" outlineLevel="1" x14ac:dyDescent="0.25">
      <c r="A380" s="12"/>
      <c r="B380" s="13"/>
      <c r="C380" s="19"/>
      <c r="D380" s="45"/>
      <c r="E380" s="15"/>
      <c r="F380" s="16"/>
      <c r="G380" s="14"/>
      <c r="H380" s="382">
        <f>(H373&gt;0)*1</f>
        <v>0</v>
      </c>
      <c r="I380" s="382">
        <f t="shared" ref="I380:AO380" si="108">(I373&gt;0)*1</f>
        <v>0</v>
      </c>
      <c r="J380" s="382">
        <f t="shared" si="108"/>
        <v>0</v>
      </c>
      <c r="K380" s="382">
        <f t="shared" si="108"/>
        <v>0</v>
      </c>
      <c r="L380" s="382">
        <f t="shared" si="108"/>
        <v>0</v>
      </c>
      <c r="M380" s="382">
        <f t="shared" si="108"/>
        <v>0</v>
      </c>
      <c r="N380" s="382">
        <f t="shared" si="108"/>
        <v>0</v>
      </c>
      <c r="O380" s="382">
        <f t="shared" si="108"/>
        <v>0</v>
      </c>
      <c r="P380" s="382">
        <f t="shared" si="108"/>
        <v>0</v>
      </c>
      <c r="Q380" s="382">
        <f t="shared" si="108"/>
        <v>0</v>
      </c>
      <c r="R380" s="382">
        <f t="shared" si="108"/>
        <v>0</v>
      </c>
      <c r="S380" s="382">
        <f t="shared" si="108"/>
        <v>0</v>
      </c>
      <c r="T380" s="382">
        <f>(T373&gt;0)*1</f>
        <v>1</v>
      </c>
      <c r="U380" s="382">
        <f t="shared" si="108"/>
        <v>0</v>
      </c>
      <c r="V380" s="382">
        <f t="shared" si="108"/>
        <v>0</v>
      </c>
      <c r="W380" s="382">
        <f t="shared" si="108"/>
        <v>0</v>
      </c>
      <c r="X380" s="382">
        <f t="shared" si="108"/>
        <v>0</v>
      </c>
      <c r="Y380" s="382">
        <f t="shared" si="108"/>
        <v>0</v>
      </c>
      <c r="Z380" s="382">
        <f t="shared" si="108"/>
        <v>0</v>
      </c>
      <c r="AA380" s="382">
        <f t="shared" si="108"/>
        <v>0</v>
      </c>
      <c r="AB380" s="382">
        <f t="shared" si="108"/>
        <v>0</v>
      </c>
      <c r="AC380" s="382">
        <f t="shared" si="108"/>
        <v>1</v>
      </c>
      <c r="AD380" s="382">
        <f t="shared" si="108"/>
        <v>0</v>
      </c>
      <c r="AE380" s="382">
        <f t="shared" si="108"/>
        <v>0</v>
      </c>
      <c r="AF380" s="382">
        <f t="shared" si="108"/>
        <v>0</v>
      </c>
      <c r="AG380" s="382">
        <f t="shared" si="108"/>
        <v>0</v>
      </c>
      <c r="AH380" s="382">
        <f t="shared" si="108"/>
        <v>0</v>
      </c>
      <c r="AI380" s="382">
        <f t="shared" si="108"/>
        <v>0</v>
      </c>
      <c r="AJ380" s="382">
        <f t="shared" si="108"/>
        <v>0</v>
      </c>
      <c r="AK380" s="382">
        <f t="shared" si="108"/>
        <v>0</v>
      </c>
      <c r="AL380" s="382">
        <f t="shared" si="108"/>
        <v>0</v>
      </c>
      <c r="AM380" s="382">
        <f t="shared" si="108"/>
        <v>0</v>
      </c>
      <c r="AN380" s="382">
        <f t="shared" si="108"/>
        <v>0</v>
      </c>
      <c r="AO380" s="382">
        <f t="shared" si="108"/>
        <v>0</v>
      </c>
      <c r="AP380" s="29"/>
    </row>
    <row r="381" spans="1:42" outlineLevel="1" x14ac:dyDescent="0.25">
      <c r="A381" s="12"/>
      <c r="B381" s="13"/>
      <c r="C381" s="14"/>
      <c r="D381" s="379" t="s">
        <v>564</v>
      </c>
      <c r="E381" s="380" t="s">
        <v>565</v>
      </c>
      <c r="F381" s="16"/>
      <c r="G381" s="14"/>
      <c r="H381" s="382">
        <f>SUM($H$380:H$380)*(H380&gt;0)</f>
        <v>0</v>
      </c>
      <c r="I381" s="382">
        <f>SUM($H$380:I$380)*(I380&gt;0)</f>
        <v>0</v>
      </c>
      <c r="J381" s="382">
        <f>SUM($H$380:J$380)*(J380&gt;0)</f>
        <v>0</v>
      </c>
      <c r="K381" s="382">
        <f>SUM($H$380:K$380)*(K380&gt;0)</f>
        <v>0</v>
      </c>
      <c r="L381" s="382">
        <f>SUM($H$380:L$380)*(L380&gt;0)</f>
        <v>0</v>
      </c>
      <c r="M381" s="382">
        <f>SUM($H$380:M$380)*(M380&gt;0)</f>
        <v>0</v>
      </c>
      <c r="N381" s="382">
        <f>SUM($H$380:N$380)*(N380&gt;0)</f>
        <v>0</v>
      </c>
      <c r="O381" s="382">
        <f>SUM($H$380:O$380)*(O380&gt;0)</f>
        <v>0</v>
      </c>
      <c r="P381" s="382">
        <f>SUM($H$380:P$380)*(P380&gt;0)</f>
        <v>0</v>
      </c>
      <c r="Q381" s="382">
        <f>SUM($H$380:Q$380)*(Q380&gt;0)</f>
        <v>0</v>
      </c>
      <c r="R381" s="382">
        <f>SUM($H$380:R$380)*(R380&gt;0)</f>
        <v>0</v>
      </c>
      <c r="S381" s="382">
        <f>SUM($H$380:S$380)*(S380&gt;0)</f>
        <v>0</v>
      </c>
      <c r="T381" s="382">
        <f>SUM($H$380:T$380)*(T380&gt;0)</f>
        <v>1</v>
      </c>
      <c r="U381" s="382">
        <f>SUM($H$380:U$380)*(U380&gt;0)</f>
        <v>0</v>
      </c>
      <c r="V381" s="382">
        <f>SUM($H$380:V$380)*(V380&gt;0)</f>
        <v>0</v>
      </c>
      <c r="W381" s="382">
        <f>SUM($H$380:W$380)*(W380&gt;0)</f>
        <v>0</v>
      </c>
      <c r="X381" s="382">
        <f>SUM($H$380:X$380)*(X380&gt;0)</f>
        <v>0</v>
      </c>
      <c r="Y381" s="382">
        <f>SUM($H$380:Y$380)*(Y380&gt;0)</f>
        <v>0</v>
      </c>
      <c r="Z381" s="382">
        <f>SUM($H$380:Z$380)*(Z380&gt;0)</f>
        <v>0</v>
      </c>
      <c r="AA381" s="382">
        <f>SUM($H$380:AA$380)*(AA380&gt;0)</f>
        <v>0</v>
      </c>
      <c r="AB381" s="382">
        <f>SUM($H$380:AB$380)*(AB380&gt;0)</f>
        <v>0</v>
      </c>
      <c r="AC381" s="382">
        <f>SUM($H$380:AC$380)*(AC380&gt;0)</f>
        <v>2</v>
      </c>
      <c r="AD381" s="382">
        <f>SUM($H$380:AD$380)*(AD380&gt;0)</f>
        <v>0</v>
      </c>
      <c r="AE381" s="382">
        <f>SUM($H$380:AE$380)*(AE380&gt;0)</f>
        <v>0</v>
      </c>
      <c r="AF381" s="382">
        <f>SUM($H$380:AF$380)*(AF380&gt;0)</f>
        <v>0</v>
      </c>
      <c r="AG381" s="382">
        <f>SUM($H$380:AG$380)*(AG380&gt;0)</f>
        <v>0</v>
      </c>
      <c r="AH381" s="382">
        <f>SUM($H$380:AH$380)*(AH380&gt;0)</f>
        <v>0</v>
      </c>
      <c r="AI381" s="382">
        <f>SUM($H$380:AI$380)*(AI380&gt;0)</f>
        <v>0</v>
      </c>
      <c r="AJ381" s="382">
        <f>SUM($H$380:AJ$380)*(AJ380&gt;0)</f>
        <v>0</v>
      </c>
      <c r="AK381" s="382">
        <f>SUM($H$380:AK$380)*(AK380&gt;0)</f>
        <v>0</v>
      </c>
      <c r="AL381" s="382">
        <f>SUM($H$380:AL$380)*(AL380&gt;0)</f>
        <v>0</v>
      </c>
      <c r="AM381" s="382">
        <f>SUM($H$380:AM$380)*(AM380&gt;0)</f>
        <v>0</v>
      </c>
      <c r="AN381" s="382">
        <f>SUM($H$380:AN$380)*(AN380&gt;0)</f>
        <v>0</v>
      </c>
      <c r="AO381" s="382">
        <f>SUM($H$380:AO$380)*(AO380&gt;0)</f>
        <v>0</v>
      </c>
      <c r="AP381" s="29"/>
    </row>
    <row r="382" spans="1:42" outlineLevel="1" x14ac:dyDescent="0.25">
      <c r="A382" s="12"/>
      <c r="B382" s="13"/>
      <c r="C382" s="95" t="s">
        <v>549</v>
      </c>
      <c r="D382" s="381">
        <f>IFERROR(INDEX($H$373:$AO$373,1,MATCH(1,$H$381:$AO$381,0)),0)</f>
        <v>849113.20222222223</v>
      </c>
      <c r="E382" s="380">
        <f>IFERROR(INDEX($H$3:$AO$3,1,MATCH(1,$H$381:$AO$381,0)),0)</f>
        <v>12</v>
      </c>
      <c r="F382" s="16"/>
      <c r="G382" s="14"/>
      <c r="H382" s="182"/>
      <c r="I382" s="182">
        <f>-PMT(Data!$E$10,$D$385,$D382,0,0)*(I$3&gt;=$E382)*(I$3&lt;=$E382+$D$62-1)</f>
        <v>0</v>
      </c>
      <c r="J382" s="182">
        <f>-PMT(Data!$E$10,$D$385,$D382,0,0)*(J$3&gt;=$E382)*(J$3&lt;=$E382+$D$62-1)</f>
        <v>0</v>
      </c>
      <c r="K382" s="182">
        <f>-PMT(Data!$E$10,$D$385,$D382,0,0)*(K$3&gt;=$E382)*(K$3&lt;=$E382+$D$62-1)</f>
        <v>0</v>
      </c>
      <c r="L382" s="182">
        <f>-PMT(Data!$E$10,$D$385,$D382,0,0)*(L$3&gt;=$E382)*(L$3&lt;=$E382+$D$62-1)</f>
        <v>0</v>
      </c>
      <c r="M382" s="182">
        <f>-PMT(Data!$E$10,$D$385,$D382,0,0)*(M$3&gt;=$E382)*(M$3&lt;=$E382+$D$62-1)</f>
        <v>0</v>
      </c>
      <c r="N382" s="182">
        <f>-PMT(Data!$E$10,$D$385,$D382,0,0)*(N$3&gt;=$E382)*(N$3&lt;=$E382+$D$62-1)</f>
        <v>0</v>
      </c>
      <c r="O382" s="182">
        <f>-PMT(Data!$E$10,$D$385,$D382,0,0)*(O$3&gt;=$E382)*(O$3&lt;=$E382+$D$62-1)</f>
        <v>0</v>
      </c>
      <c r="P382" s="182">
        <f>-PMT(Data!$E$10,$D$385,$D382,0,0)*(P$3&gt;=$E382)*(P$3&lt;=$E382+$D$62-1)</f>
        <v>0</v>
      </c>
      <c r="Q382" s="182">
        <f>-PMT(Data!$E$10,$D$385,$D382,0,0)*(Q$3&gt;=$E382)*(Q$3&lt;=$E382+$D$62-1)</f>
        <v>0</v>
      </c>
      <c r="R382" s="182">
        <f>-PMT(Data!$E$10,$D$385,$D382,0,0)*(R$3&gt;=$E382)*(R$3&lt;=$E382+$D$62-1)</f>
        <v>0</v>
      </c>
      <c r="S382" s="182">
        <f>-PMT(Data!$E$10,$D$385,$D382,0,0)*(S$3&gt;=$E382)*(S$3&lt;=$E382+$D$62-1)</f>
        <v>0</v>
      </c>
      <c r="T382" s="182">
        <f>-PMT(Data!$E$10,$D$385,$D382,0,0)*(T$3&gt;=$E382)*(T$3&lt;=$E382+$D$62-1)</f>
        <v>62479.235646658133</v>
      </c>
      <c r="U382" s="182">
        <f>-PMT(Data!$E$10,$D$385,$D382,0,0)*(U$3&gt;=$E382)*(U$3&lt;=$E382+$D$62-1)</f>
        <v>62479.235646658133</v>
      </c>
      <c r="V382" s="182">
        <f>-PMT(Data!$E$10,$D$385,$D382,0,0)*(V$3&gt;=$E382)*(V$3&lt;=$E382+$D$62-1)</f>
        <v>62479.235646658133</v>
      </c>
      <c r="W382" s="182">
        <f>-PMT(Data!$E$10,$D$385,$D382,0,0)*(W$3&gt;=$E382)*(W$3&lt;=$E382+$D$62-1)</f>
        <v>62479.235646658133</v>
      </c>
      <c r="X382" s="182">
        <f>-PMT(Data!$E$10,$D$385,$D382,0,0)*(X$3&gt;=$E382)*(X$3&lt;=$E382+$D$62-1)</f>
        <v>62479.235646658133</v>
      </c>
      <c r="Y382" s="182">
        <f>-PMT(Data!$E$10,$D$385,$D382,0,0)*(Y$3&gt;=$E382)*(Y$3&lt;=$E382+$D$62-1)</f>
        <v>62479.235646658133</v>
      </c>
      <c r="Z382" s="182">
        <f>-PMT(Data!$E$10,$D$385,$D382,0,0)*(Z$3&gt;=$E382)*(Z$3&lt;=$E382+$D$62-1)</f>
        <v>62479.235646658133</v>
      </c>
      <c r="AA382" s="182">
        <f>-PMT(Data!$E$10,$D$385,$D382,0,0)*(AA$3&gt;=$E382)*(AA$3&lt;=$E382+$D$62-1)</f>
        <v>62479.235646658133</v>
      </c>
      <c r="AB382" s="182">
        <f>-PMT(Data!$E$10,$D$385,$D382,0,0)*(AB$3&gt;=$E382)*(AB$3&lt;=$E382+$D$62-1)</f>
        <v>62479.235646658133</v>
      </c>
      <c r="AC382" s="182">
        <f>-PMT(Data!$E$10,$D$385,$D382,0,0)*(AC$3&gt;=$E382)*(AC$3&lt;=$E382+$D$62-1)</f>
        <v>62479.235646658133</v>
      </c>
      <c r="AD382" s="182">
        <f>-PMT(Data!$E$10,$D$385,$D382,0,0)*(AD$3&gt;=$E382)*(AD$3&lt;=$E382+$D$62-1)</f>
        <v>62479.235646658133</v>
      </c>
      <c r="AE382" s="182">
        <f>-PMT(Data!$E$10,$D$385,$D382,0,0)*(AE$3&gt;=$E382)*(AE$3&lt;=$E382+$D$62-1)</f>
        <v>62479.235646658133</v>
      </c>
      <c r="AF382" s="182">
        <f>-PMT(Data!$E$10,$D$385,$D382,0,0)*(AF$3&gt;=$E382)*(AF$3&lt;=$E382+$D$62-1)</f>
        <v>62479.235646658133</v>
      </c>
      <c r="AG382" s="182">
        <f>-PMT(Data!$E$10,$D$385,$D382,0,0)*(AG$3&gt;=$E382)*(AG$3&lt;=$E382+$D$62-1)</f>
        <v>62479.235646658133</v>
      </c>
      <c r="AH382" s="182">
        <f>-PMT(Data!$E$10,$D$385,$D382,0,0)*(AH$3&gt;=$E382)*(AH$3&lt;=$E382+$D$62-1)</f>
        <v>62479.235646658133</v>
      </c>
      <c r="AI382" s="182">
        <f>-PMT(Data!$E$10,$D$385,$D382,0,0)*(AI$3&gt;=$E382)*(AI$3&lt;=$E382+$D$62-1)</f>
        <v>62479.235646658133</v>
      </c>
      <c r="AJ382" s="182">
        <f>-PMT(Data!$E$10,$D$385,$D382,0,0)*(AJ$3&gt;=$E382)*(AJ$3&lt;=$E382+$D$62-1)</f>
        <v>62479.235646658133</v>
      </c>
      <c r="AK382" s="182">
        <f>-PMT(Data!$E$10,$D$385,$D382,0,0)*(AK$3&gt;=$E382)*(AK$3&lt;=$E382+$D$62-1)</f>
        <v>62479.235646658133</v>
      </c>
      <c r="AL382" s="182">
        <f>-PMT(Data!$E$10,$D$385,$D382,0,0)*(AL$3&gt;=$E382)*(AL$3&lt;=$E382+$D$62-1)</f>
        <v>62479.235646658133</v>
      </c>
      <c r="AM382" s="182">
        <f>-PMT(Data!$E$10,$D$385,$D382,0,0)*(AM$3&gt;=$E382)*(AM$3&lt;=$E382+$D$62-1)</f>
        <v>62479.235646658133</v>
      </c>
      <c r="AN382" s="182">
        <f>-PMT(Data!$E$10,$D$385,$D382,0,0)*(AN$3&gt;=$E382)*(AN$3&lt;=$E382+$D$62-1)</f>
        <v>0</v>
      </c>
      <c r="AO382" s="182">
        <f>-PMT(Data!$E$10,$D$385,$D382,0,0)*(AO$3&gt;=$E382)*(AO$3&lt;=$E382+$D$62-1)</f>
        <v>0</v>
      </c>
      <c r="AP382" s="29"/>
    </row>
    <row r="383" spans="1:42" outlineLevel="1" x14ac:dyDescent="0.25">
      <c r="A383" s="12"/>
      <c r="B383" s="13"/>
      <c r="C383" s="95" t="s">
        <v>550</v>
      </c>
      <c r="D383" s="381">
        <f>IFERROR(INDEX($H$373:$AO$373,1,MATCH(2,$H$381:$AO$381,0)),0)</f>
        <v>79269.193947374719</v>
      </c>
      <c r="E383" s="380">
        <f>IFERROR(INDEX($H$3:$AO$3,1,MATCH(2,$H$381:$AO$381,0)),0)</f>
        <v>21</v>
      </c>
      <c r="F383" s="16"/>
      <c r="G383" s="14"/>
      <c r="H383" s="182"/>
      <c r="I383" s="182">
        <f>-PMT(Data!$E$10,$D$386,$D383,0,0)*(I$3&gt;=$E383)*(I$3&lt;=$E383+$D$63-1)</f>
        <v>0</v>
      </c>
      <c r="J383" s="182">
        <f>-PMT(Data!$E$10,$D$386,$D383,0,0)*(J$3&gt;=$E383)*(J$3&lt;=$E383+$D$63-1)</f>
        <v>0</v>
      </c>
      <c r="K383" s="182">
        <f>-PMT(Data!$E$10,$D$386,$D383,0,0)*(K$3&gt;=$E383)*(K$3&lt;=$E383+$D$63-1)</f>
        <v>0</v>
      </c>
      <c r="L383" s="182">
        <f>-PMT(Data!$E$10,$D$386,$D383,0,0)*(L$3&gt;=$E383)*(L$3&lt;=$E383+$D$63-1)</f>
        <v>0</v>
      </c>
      <c r="M383" s="182">
        <f>-PMT(Data!$E$10,$D$386,$D383,0,0)*(M$3&gt;=$E383)*(M$3&lt;=$E383+$D$63-1)</f>
        <v>0</v>
      </c>
      <c r="N383" s="182">
        <f>-PMT(Data!$E$10,$D$386,$D383,0,0)*(N$3&gt;=$E383)*(N$3&lt;=$E383+$D$63-1)</f>
        <v>0</v>
      </c>
      <c r="O383" s="182">
        <f>-PMT(Data!$E$10,$D$386,$D383,0,0)*(O$3&gt;=$E383)*(O$3&lt;=$E383+$D$63-1)</f>
        <v>0</v>
      </c>
      <c r="P383" s="182">
        <f>-PMT(Data!$E$10,$D$386,$D383,0,0)*(P$3&gt;=$E383)*(P$3&lt;=$E383+$D$63-1)</f>
        <v>0</v>
      </c>
      <c r="Q383" s="182">
        <f>-PMT(Data!$E$10,$D$386,$D383,0,0)*(Q$3&gt;=$E383)*(Q$3&lt;=$E383+$D$63-1)</f>
        <v>0</v>
      </c>
      <c r="R383" s="182">
        <f>-PMT(Data!$E$10,$D$386,$D383,0,0)*(R$3&gt;=$E383)*(R$3&lt;=$E383+$D$63-1)</f>
        <v>0</v>
      </c>
      <c r="S383" s="182">
        <f>-PMT(Data!$E$10,$D$386,$D383,0,0)*(S$3&gt;=$E383)*(S$3&lt;=$E383+$D$63-1)</f>
        <v>0</v>
      </c>
      <c r="T383" s="182">
        <f>-PMT(Data!$E$10,$D$386,$D383,0,0)*(T$3&gt;=$E383)*(T$3&lt;=$E383+$D$63-1)</f>
        <v>0</v>
      </c>
      <c r="U383" s="182">
        <f>-PMT(Data!$E$10,$D$386,$D383,0,0)*(U$3&gt;=$E383)*(U$3&lt;=$E383+$D$63-1)</f>
        <v>0</v>
      </c>
      <c r="V383" s="182">
        <f>-PMT(Data!$E$10,$D$386,$D383,0,0)*(V$3&gt;=$E383)*(V$3&lt;=$E383+$D$63-1)</f>
        <v>0</v>
      </c>
      <c r="W383" s="182">
        <f>-PMT(Data!$E$10,$D$386,$D383,0,0)*(W$3&gt;=$E383)*(W$3&lt;=$E383+$D$63-1)</f>
        <v>0</v>
      </c>
      <c r="X383" s="182">
        <f>-PMT(Data!$E$10,$D$386,$D383,0,0)*(X$3&gt;=$E383)*(X$3&lt;=$E383+$D$63-1)</f>
        <v>0</v>
      </c>
      <c r="Y383" s="182">
        <f>-PMT(Data!$E$10,$D$386,$D383,0,0)*(Y$3&gt;=$E383)*(Y$3&lt;=$E383+$D$63-1)</f>
        <v>0</v>
      </c>
      <c r="Z383" s="182">
        <f>-PMT(Data!$E$10,$D$386,$D383,0,0)*(Z$3&gt;=$E383)*(Z$3&lt;=$E383+$D$63-1)</f>
        <v>0</v>
      </c>
      <c r="AA383" s="182">
        <f>-PMT(Data!$E$10,$D$386,$D383,0,0)*(AA$3&gt;=$E383)*(AA$3&lt;=$E383+$D$63-1)</f>
        <v>0</v>
      </c>
      <c r="AB383" s="182">
        <f>-PMT(Data!$E$10,$D$386,$D383,0,0)*(AB$3&gt;=$E383)*(AB$3&lt;=$E383+$D$63-1)</f>
        <v>0</v>
      </c>
      <c r="AC383" s="182">
        <f>-PMT(Data!$E$10,$D$386,$D383,0,0)*(AC$3&gt;=$E383)*(AC$3&lt;=$E383+$D$63-1)</f>
        <v>9048.5023319085467</v>
      </c>
      <c r="AD383" s="182">
        <f>-PMT(Data!$E$10,$D$386,$D383,0,0)*(AD$3&gt;=$E383)*(AD$3&lt;=$E383+$D$63-1)</f>
        <v>9048.5023319085467</v>
      </c>
      <c r="AE383" s="182">
        <f>-PMT(Data!$E$10,$D$386,$D383,0,0)*(AE$3&gt;=$E383)*(AE$3&lt;=$E383+$D$63-1)</f>
        <v>9048.5023319085467</v>
      </c>
      <c r="AF383" s="182">
        <f>-PMT(Data!$E$10,$D$386,$D383,0,0)*(AF$3&gt;=$E383)*(AF$3&lt;=$E383+$D$63-1)</f>
        <v>9048.5023319085467</v>
      </c>
      <c r="AG383" s="182">
        <f>-PMT(Data!$E$10,$D$386,$D383,0,0)*(AG$3&gt;=$E383)*(AG$3&lt;=$E383+$D$63-1)</f>
        <v>9048.5023319085467</v>
      </c>
      <c r="AH383" s="182">
        <f>-PMT(Data!$E$10,$D$386,$D383,0,0)*(AH$3&gt;=$E383)*(AH$3&lt;=$E383+$D$63-1)</f>
        <v>9048.5023319085467</v>
      </c>
      <c r="AI383" s="182">
        <f>-PMT(Data!$E$10,$D$386,$D383,0,0)*(AI$3&gt;=$E383)*(AI$3&lt;=$E383+$D$63-1)</f>
        <v>9048.5023319085467</v>
      </c>
      <c r="AJ383" s="182">
        <f>-PMT(Data!$E$10,$D$386,$D383,0,0)*(AJ$3&gt;=$E383)*(AJ$3&lt;=$E383+$D$63-1)</f>
        <v>9048.5023319085467</v>
      </c>
      <c r="AK383" s="182">
        <f>-PMT(Data!$E$10,$D$386,$D383,0,0)*(AK$3&gt;=$E383)*(AK$3&lt;=$E383+$D$63-1)</f>
        <v>9048.5023319085467</v>
      </c>
      <c r="AL383" s="182">
        <f>-PMT(Data!$E$10,$D$386,$D383,0,0)*(AL$3&gt;=$E383)*(AL$3&lt;=$E383+$D$63-1)</f>
        <v>9048.5023319085467</v>
      </c>
      <c r="AM383" s="182">
        <f>-PMT(Data!$E$10,$D$386,$D383,0,0)*(AM$3&gt;=$E383)*(AM$3&lt;=$E383+$D$63-1)</f>
        <v>9048.5023319085467</v>
      </c>
      <c r="AN383" s="182">
        <f>-PMT(Data!$E$10,$D$386,$D383,0,0)*(AN$3&gt;=$E383)*(AN$3&lt;=$E383+$D$63-1)</f>
        <v>0</v>
      </c>
      <c r="AO383" s="182">
        <f>-PMT(Data!$E$10,$D$386,$D383,0,0)*(AO$3&gt;=$E383)*(AO$3&lt;=$E383+$D$63-1)</f>
        <v>0</v>
      </c>
      <c r="AP383" s="29"/>
    </row>
    <row r="384" spans="1:42" outlineLevel="1" x14ac:dyDescent="0.25">
      <c r="A384" s="12"/>
      <c r="B384" s="13"/>
      <c r="C384" s="95"/>
      <c r="D384" s="15"/>
      <c r="E384" s="15"/>
      <c r="F384" s="16"/>
      <c r="G384" s="14"/>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29"/>
    </row>
    <row r="385" spans="1:42" outlineLevel="1" x14ac:dyDescent="0.25">
      <c r="A385" s="12"/>
      <c r="B385" s="13"/>
      <c r="C385" s="95" t="s">
        <v>566</v>
      </c>
      <c r="D385" s="380">
        <f>Data!$E$337</f>
        <v>20</v>
      </c>
      <c r="E385" s="15"/>
      <c r="F385" s="16"/>
      <c r="G385" s="14"/>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29"/>
    </row>
    <row r="386" spans="1:42" outlineLevel="1" x14ac:dyDescent="0.25">
      <c r="A386" s="12"/>
      <c r="B386" s="13"/>
      <c r="C386" s="95" t="s">
        <v>567</v>
      </c>
      <c r="D386" s="380">
        <f>Data!$E$337-Data!$E$345</f>
        <v>11</v>
      </c>
      <c r="E386" s="15"/>
      <c r="F386" s="16"/>
      <c r="G386" s="14"/>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29"/>
    </row>
    <row r="387" spans="1:42" outlineLevel="1" x14ac:dyDescent="0.25">
      <c r="A387" s="12"/>
      <c r="B387" s="13"/>
      <c r="C387" s="19" t="s">
        <v>510</v>
      </c>
      <c r="D387" s="45"/>
      <c r="E387" s="15"/>
      <c r="F387" s="158"/>
      <c r="G387" s="14"/>
      <c r="H387" s="182">
        <f t="shared" ref="H387:AO387" si="109">H382+H383</f>
        <v>0</v>
      </c>
      <c r="I387" s="182">
        <f t="shared" si="109"/>
        <v>0</v>
      </c>
      <c r="J387" s="182">
        <f t="shared" si="109"/>
        <v>0</v>
      </c>
      <c r="K387" s="182">
        <f t="shared" si="109"/>
        <v>0</v>
      </c>
      <c r="L387" s="182">
        <f t="shared" si="109"/>
        <v>0</v>
      </c>
      <c r="M387" s="182">
        <f t="shared" si="109"/>
        <v>0</v>
      </c>
      <c r="N387" s="182">
        <f t="shared" si="109"/>
        <v>0</v>
      </c>
      <c r="O387" s="182">
        <f t="shared" si="109"/>
        <v>0</v>
      </c>
      <c r="P387" s="182">
        <f t="shared" si="109"/>
        <v>0</v>
      </c>
      <c r="Q387" s="182">
        <f t="shared" si="109"/>
        <v>0</v>
      </c>
      <c r="R387" s="182">
        <f t="shared" si="109"/>
        <v>0</v>
      </c>
      <c r="S387" s="182">
        <f t="shared" si="109"/>
        <v>0</v>
      </c>
      <c r="T387" s="182">
        <f t="shared" si="109"/>
        <v>62479.235646658133</v>
      </c>
      <c r="U387" s="182">
        <f t="shared" si="109"/>
        <v>62479.235646658133</v>
      </c>
      <c r="V387" s="182">
        <f t="shared" si="109"/>
        <v>62479.235646658133</v>
      </c>
      <c r="W387" s="182">
        <f t="shared" si="109"/>
        <v>62479.235646658133</v>
      </c>
      <c r="X387" s="182">
        <f t="shared" si="109"/>
        <v>62479.235646658133</v>
      </c>
      <c r="Y387" s="182">
        <f t="shared" si="109"/>
        <v>62479.235646658133</v>
      </c>
      <c r="Z387" s="182">
        <f t="shared" si="109"/>
        <v>62479.235646658133</v>
      </c>
      <c r="AA387" s="182">
        <f t="shared" si="109"/>
        <v>62479.235646658133</v>
      </c>
      <c r="AB387" s="182">
        <f t="shared" si="109"/>
        <v>62479.235646658133</v>
      </c>
      <c r="AC387" s="182">
        <f t="shared" si="109"/>
        <v>71527.737978566685</v>
      </c>
      <c r="AD387" s="182">
        <f t="shared" si="109"/>
        <v>71527.737978566685</v>
      </c>
      <c r="AE387" s="182">
        <f t="shared" si="109"/>
        <v>71527.737978566685</v>
      </c>
      <c r="AF387" s="182">
        <f t="shared" si="109"/>
        <v>71527.737978566685</v>
      </c>
      <c r="AG387" s="182">
        <f t="shared" si="109"/>
        <v>71527.737978566685</v>
      </c>
      <c r="AH387" s="182">
        <f t="shared" si="109"/>
        <v>71527.737978566685</v>
      </c>
      <c r="AI387" s="182">
        <f t="shared" si="109"/>
        <v>71527.737978566685</v>
      </c>
      <c r="AJ387" s="182">
        <f t="shared" si="109"/>
        <v>71527.737978566685</v>
      </c>
      <c r="AK387" s="182">
        <f t="shared" si="109"/>
        <v>71527.737978566685</v>
      </c>
      <c r="AL387" s="182">
        <f t="shared" si="109"/>
        <v>71527.737978566685</v>
      </c>
      <c r="AM387" s="182">
        <f t="shared" si="109"/>
        <v>71527.737978566685</v>
      </c>
      <c r="AN387" s="182">
        <f t="shared" si="109"/>
        <v>0</v>
      </c>
      <c r="AO387" s="182">
        <f t="shared" si="109"/>
        <v>0</v>
      </c>
      <c r="AP387" s="29"/>
    </row>
    <row r="388" spans="1:42" outlineLevel="1" x14ac:dyDescent="0.25">
      <c r="A388" s="12"/>
      <c r="B388" s="13"/>
      <c r="C388" s="19"/>
      <c r="D388" s="45"/>
      <c r="E388" s="15"/>
      <c r="F388" s="158"/>
      <c r="G388" s="14"/>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29"/>
    </row>
    <row r="389" spans="1:42" outlineLevel="1" x14ac:dyDescent="0.25">
      <c r="A389" s="12"/>
      <c r="B389" s="13"/>
      <c r="C389" s="37" t="s">
        <v>472</v>
      </c>
      <c r="D389" s="37"/>
      <c r="E389" s="38"/>
      <c r="F389" s="39"/>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17"/>
    </row>
    <row r="390" spans="1:42" outlineLevel="1" x14ac:dyDescent="0.25">
      <c r="A390" s="12"/>
      <c r="B390" s="13"/>
      <c r="C390" s="19" t="s">
        <v>28</v>
      </c>
      <c r="D390" s="19"/>
      <c r="E390" s="15"/>
      <c r="F390" s="16"/>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7"/>
    </row>
    <row r="391" spans="1:42" outlineLevel="1" x14ac:dyDescent="0.25">
      <c r="A391" s="12"/>
      <c r="B391" s="13"/>
      <c r="C391" s="20" t="s">
        <v>258</v>
      </c>
      <c r="D391" s="44"/>
      <c r="E391" s="15"/>
      <c r="F391" s="16"/>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7"/>
    </row>
    <row r="392" spans="1:42" outlineLevel="1" x14ac:dyDescent="0.25">
      <c r="A392" s="12"/>
      <c r="B392" s="13"/>
      <c r="C392" s="96" t="s">
        <v>120</v>
      </c>
      <c r="D392" s="45"/>
      <c r="E392" s="15" t="s">
        <v>474</v>
      </c>
      <c r="F392" s="158" t="str">
        <f>Dashboard!$I$53</f>
        <v>3 Axle rigid</v>
      </c>
      <c r="G392" s="14"/>
      <c r="H392" s="150"/>
      <c r="I392" s="177">
        <f>IF($F$392=$C$392,Data!$E$324*I341,0)</f>
        <v>0</v>
      </c>
      <c r="J392" s="177">
        <f>IF($F$392=$C$392,Data!$E$324*J341,0)</f>
        <v>0</v>
      </c>
      <c r="K392" s="177">
        <f>IF($F$392=$C$392,Data!$E$324*K341,0)</f>
        <v>0</v>
      </c>
      <c r="L392" s="177">
        <f>IF($F$392=$C$392,Data!$E$324*L341,0)</f>
        <v>0</v>
      </c>
      <c r="M392" s="177">
        <f>IF($F$392=$C$392,Data!$E$324*M341,0)</f>
        <v>0</v>
      </c>
      <c r="N392" s="177">
        <f>IF($F$392=$C$392,Data!$E$324*N341,0)</f>
        <v>0</v>
      </c>
      <c r="O392" s="177">
        <f>IF($F$392=$C$392,Data!$E$324*O341,0)</f>
        <v>0</v>
      </c>
      <c r="P392" s="177">
        <f>IF($F$392=$C$392,Data!$E$324*P341,0)</f>
        <v>0</v>
      </c>
      <c r="Q392" s="177">
        <f>IF($F$392=$C$392,Data!$E$324*Q341,0)</f>
        <v>0</v>
      </c>
      <c r="R392" s="177">
        <f>IF($F$392=$C$392,Data!$E$324*R341,0)</f>
        <v>0</v>
      </c>
      <c r="S392" s="177">
        <f>IF($F$392=$C$392,Data!$E$324*S341,0)</f>
        <v>0</v>
      </c>
      <c r="T392" s="177">
        <f>IF($F$392=$C$392,Data!$E$324*T341,0)</f>
        <v>0</v>
      </c>
      <c r="U392" s="177">
        <f>IF($F$392=$C$392,Data!$E$324*U341,0)</f>
        <v>0</v>
      </c>
      <c r="V392" s="177">
        <f>IF($F$392=$C$392,Data!$E$324*V341,0)</f>
        <v>0</v>
      </c>
      <c r="W392" s="177">
        <f>IF($F$392=$C$392,Data!$E$324*W341,0)</f>
        <v>0</v>
      </c>
      <c r="X392" s="177">
        <f>IF($F$392=$C$392,Data!$E$324*X341,0)</f>
        <v>0</v>
      </c>
      <c r="Y392" s="177">
        <f>IF($F$392=$C$392,Data!$E$324*Y341,0)</f>
        <v>0</v>
      </c>
      <c r="Z392" s="177">
        <f>IF($F$392=$C$392,Data!$E$324*Z341,0)</f>
        <v>0</v>
      </c>
      <c r="AA392" s="177">
        <f>IF($F$392=$C$392,Data!$E$324*AA341,0)</f>
        <v>0</v>
      </c>
      <c r="AB392" s="177">
        <f>IF($F$392=$C$392,Data!$E$324*AB341,0)</f>
        <v>0</v>
      </c>
      <c r="AC392" s="177">
        <f>IF($F$392=$C$392,Data!$E$324*AC341,0)</f>
        <v>0</v>
      </c>
      <c r="AD392" s="177">
        <f>IF($F$392=$C$392,Data!$E$324*AD341,0)</f>
        <v>0</v>
      </c>
      <c r="AE392" s="177">
        <f>IF($F$392=$C$392,Data!$E$324*AE341,0)</f>
        <v>0</v>
      </c>
      <c r="AF392" s="177">
        <f>IF($F$392=$C$392,Data!$E$324*AF341,0)</f>
        <v>0</v>
      </c>
      <c r="AG392" s="177">
        <f>IF($F$392=$C$392,Data!$E$324*AG341,0)</f>
        <v>0</v>
      </c>
      <c r="AH392" s="177">
        <f>IF($F$392=$C$392,Data!$E$324*AH341,0)</f>
        <v>0</v>
      </c>
      <c r="AI392" s="177">
        <f>IF($F$392=$C$392,Data!$E$324*AI341,0)</f>
        <v>0</v>
      </c>
      <c r="AJ392" s="177">
        <f>IF($F$392=$C$392,Data!$E$324*AJ341,0)</f>
        <v>0</v>
      </c>
      <c r="AK392" s="177">
        <f>IF($F$392=$C$392,Data!$E$324*AK341,0)</f>
        <v>0</v>
      </c>
      <c r="AL392" s="177">
        <f>IF($F$392=$C$392,Data!$E$324*AL341,0)</f>
        <v>0</v>
      </c>
      <c r="AM392" s="177">
        <f>IF($F$392=$C$392,Data!$E$324*AM341,0)</f>
        <v>0</v>
      </c>
      <c r="AN392" s="177">
        <f>IF($F$392=$C$392,Data!$E$324*AN341,0)</f>
        <v>0</v>
      </c>
      <c r="AO392" s="177">
        <f>IF($F$392=$C$392,Data!$E$324*AO341,0)</f>
        <v>0</v>
      </c>
      <c r="AP392" s="29"/>
    </row>
    <row r="393" spans="1:42" outlineLevel="1" x14ac:dyDescent="0.25">
      <c r="A393" s="12"/>
      <c r="B393" s="13"/>
      <c r="C393" s="96" t="s">
        <v>124</v>
      </c>
      <c r="D393" s="45"/>
      <c r="E393" s="15" t="s">
        <v>474</v>
      </c>
      <c r="F393" s="158" t="str">
        <f>Dashboard!$I$53</f>
        <v>3 Axle rigid</v>
      </c>
      <c r="G393" s="14"/>
      <c r="H393" s="150"/>
      <c r="I393" s="177">
        <f>IF($F$393=$C$393,Data!$E$325*I341,0)</f>
        <v>0</v>
      </c>
      <c r="J393" s="177">
        <f>IF($F$393=$C$393,Data!$E$325*J341,0)</f>
        <v>0</v>
      </c>
      <c r="K393" s="177">
        <f>IF($F$393=$C$393,Data!$E$325*K341,0)</f>
        <v>0</v>
      </c>
      <c r="L393" s="177">
        <f>IF($F$393=$C$393,Data!$E$325*L341,0)</f>
        <v>0</v>
      </c>
      <c r="M393" s="177">
        <f>IF($F$393=$C$393,Data!$E$325*M341,0)</f>
        <v>0</v>
      </c>
      <c r="N393" s="177">
        <f>IF($F$393=$C$393,Data!$E$325*N341,0)</f>
        <v>0</v>
      </c>
      <c r="O393" s="177">
        <f>IF($F$393=$C$393,Data!$E$325*O341,0)</f>
        <v>0</v>
      </c>
      <c r="P393" s="177">
        <f>IF($F$393=$C$393,Data!$E$325*P341,0)</f>
        <v>0</v>
      </c>
      <c r="Q393" s="177">
        <f>IF($F$393=$C$393,Data!$E$325*Q341,0)</f>
        <v>0</v>
      </c>
      <c r="R393" s="177">
        <f>IF($F$393=$C$393,Data!$E$325*R341,0)</f>
        <v>0</v>
      </c>
      <c r="S393" s="177">
        <f>IF($F$393=$C$393,Data!$E$325*S341,0)</f>
        <v>0</v>
      </c>
      <c r="T393" s="177">
        <f>IF($F$393=$C$393,Data!$E$325*T341,0)</f>
        <v>0</v>
      </c>
      <c r="U393" s="177">
        <f>IF($F$393=$C$393,Data!$E$325*U341,0)</f>
        <v>25096.499999999996</v>
      </c>
      <c r="V393" s="177">
        <f>IF($F$393=$C$393,Data!$E$325*V341,0)</f>
        <v>25096.499999999996</v>
      </c>
      <c r="W393" s="177">
        <f>IF($F$393=$C$393,Data!$E$325*W341,0)</f>
        <v>25096.499999999996</v>
      </c>
      <c r="X393" s="177">
        <f>IF($F$393=$C$393,Data!$E$325*X341,0)</f>
        <v>25096.499999999996</v>
      </c>
      <c r="Y393" s="177">
        <f>IF($F$393=$C$393,Data!$E$325*Y341,0)</f>
        <v>25096.499999999996</v>
      </c>
      <c r="Z393" s="177">
        <f>IF($F$393=$C$393,Data!$E$325*Z341,0)</f>
        <v>25096.499999999996</v>
      </c>
      <c r="AA393" s="177">
        <f>IF($F$393=$C$393,Data!$E$325*AA341,0)</f>
        <v>25096.499999999996</v>
      </c>
      <c r="AB393" s="177">
        <f>IF($F$393=$C$393,Data!$E$325*AB341,0)</f>
        <v>25096.499999999996</v>
      </c>
      <c r="AC393" s="177">
        <f>IF($F$393=$C$393,Data!$E$325*AC341,0)</f>
        <v>25096.499999999996</v>
      </c>
      <c r="AD393" s="177">
        <f>IF($F$393=$C$393,Data!$E$325*AD341,0)</f>
        <v>25096.499999999996</v>
      </c>
      <c r="AE393" s="177">
        <f>IF($F$393=$C$393,Data!$E$325*AE341,0)</f>
        <v>25096.499999999996</v>
      </c>
      <c r="AF393" s="177">
        <f>IF($F$393=$C$393,Data!$E$325*AF341,0)</f>
        <v>25096.499999999996</v>
      </c>
      <c r="AG393" s="177">
        <f>IF($F$393=$C$393,Data!$E$325*AG341,0)</f>
        <v>25096.499999999996</v>
      </c>
      <c r="AH393" s="177">
        <f>IF($F$393=$C$393,Data!$E$325*AH341,0)</f>
        <v>25096.499999999996</v>
      </c>
      <c r="AI393" s="177">
        <f>IF($F$393=$C$393,Data!$E$325*AI341,0)</f>
        <v>25096.499999999996</v>
      </c>
      <c r="AJ393" s="177">
        <f>IF($F$393=$C$393,Data!$E$325*AJ341,0)</f>
        <v>25096.499999999996</v>
      </c>
      <c r="AK393" s="177">
        <f>IF($F$393=$C$393,Data!$E$325*AK341,0)</f>
        <v>25096.499999999996</v>
      </c>
      <c r="AL393" s="177">
        <f>IF($F$393=$C$393,Data!$E$325*AL341,0)</f>
        <v>25096.499999999996</v>
      </c>
      <c r="AM393" s="177">
        <f>IF($F$393=$C$393,Data!$E$325*AM341,0)</f>
        <v>25096.499999999996</v>
      </c>
      <c r="AN393" s="177">
        <f>IF($F$393=$C$393,Data!$E$325*AN341,0)</f>
        <v>25096.499999999996</v>
      </c>
      <c r="AO393" s="177">
        <f>IF($F$393=$C$393,Data!$E$325*AO341,0)</f>
        <v>0</v>
      </c>
      <c r="AP393" s="29"/>
    </row>
    <row r="394" spans="1:42" outlineLevel="1" x14ac:dyDescent="0.25">
      <c r="A394" s="12"/>
      <c r="B394" s="13"/>
      <c r="C394" s="96" t="s">
        <v>126</v>
      </c>
      <c r="D394" s="45"/>
      <c r="E394" s="15" t="s">
        <v>474</v>
      </c>
      <c r="F394" s="158" t="str">
        <f>Dashboard!$I$53</f>
        <v>3 Axle rigid</v>
      </c>
      <c r="G394" s="14"/>
      <c r="H394" s="150"/>
      <c r="I394" s="177">
        <f>IF($F$394=$C$394,Data!$E$326*I341,0)</f>
        <v>0</v>
      </c>
      <c r="J394" s="177">
        <f>IF($F$394=$C$394,Data!$E$326*J341,0)</f>
        <v>0</v>
      </c>
      <c r="K394" s="177">
        <f>IF($F$394=$C$394,Data!$E$326*K341,0)</f>
        <v>0</v>
      </c>
      <c r="L394" s="177">
        <f>IF($F$394=$C$394,Data!$E$326*L341,0)</f>
        <v>0</v>
      </c>
      <c r="M394" s="177">
        <f>IF($F$394=$C$394,Data!$E$326*M341,0)</f>
        <v>0</v>
      </c>
      <c r="N394" s="177">
        <f>IF($F$394=$C$394,Data!$E$326*N341,0)</f>
        <v>0</v>
      </c>
      <c r="O394" s="177">
        <f>IF($F$394=$C$394,Data!$E$326*O341,0)</f>
        <v>0</v>
      </c>
      <c r="P394" s="177">
        <f>IF($F$394=$C$394,Data!$E$326*P341,0)</f>
        <v>0</v>
      </c>
      <c r="Q394" s="177">
        <f>IF($F$394=$C$394,Data!$E$326*Q341,0)</f>
        <v>0</v>
      </c>
      <c r="R394" s="177">
        <f>IF($F$394=$C$394,Data!$E$326*R341,0)</f>
        <v>0</v>
      </c>
      <c r="S394" s="177">
        <f>IF($F$394=$C$394,Data!$E$326*S341,0)</f>
        <v>0</v>
      </c>
      <c r="T394" s="177">
        <f>IF($F$394=$C$394,Data!$E$326*T341,0)</f>
        <v>0</v>
      </c>
      <c r="U394" s="177">
        <f>IF($F$394=$C$394,Data!$E$326*U341,0)</f>
        <v>0</v>
      </c>
      <c r="V394" s="177">
        <f>IF($F$394=$C$394,Data!$E$326*V341,0)</f>
        <v>0</v>
      </c>
      <c r="W394" s="177">
        <f>IF($F$394=$C$394,Data!$E$326*W341,0)</f>
        <v>0</v>
      </c>
      <c r="X394" s="177">
        <f>IF($F$394=$C$394,Data!$E$326*X341,0)</f>
        <v>0</v>
      </c>
      <c r="Y394" s="177">
        <f>IF($F$394=$C$394,Data!$E$326*Y341,0)</f>
        <v>0</v>
      </c>
      <c r="Z394" s="177">
        <f>IF($F$394=$C$394,Data!$E$326*Z341,0)</f>
        <v>0</v>
      </c>
      <c r="AA394" s="177">
        <f>IF($F$394=$C$394,Data!$E$326*AA341,0)</f>
        <v>0</v>
      </c>
      <c r="AB394" s="177">
        <f>IF($F$394=$C$394,Data!$E$326*AB341,0)</f>
        <v>0</v>
      </c>
      <c r="AC394" s="177">
        <f>IF($F$394=$C$394,Data!$E$326*AC341,0)</f>
        <v>0</v>
      </c>
      <c r="AD394" s="177">
        <f>IF($F$394=$C$394,Data!$E$326*AD341,0)</f>
        <v>0</v>
      </c>
      <c r="AE394" s="177">
        <f>IF($F$394=$C$394,Data!$E$326*AE341,0)</f>
        <v>0</v>
      </c>
      <c r="AF394" s="177">
        <f>IF($F$394=$C$394,Data!$E$326*AF341,0)</f>
        <v>0</v>
      </c>
      <c r="AG394" s="177">
        <f>IF($F$394=$C$394,Data!$E$326*AG341,0)</f>
        <v>0</v>
      </c>
      <c r="AH394" s="177">
        <f>IF($F$394=$C$394,Data!$E$326*AH341,0)</f>
        <v>0</v>
      </c>
      <c r="AI394" s="177">
        <f>IF($F$394=$C$394,Data!$E$326*AI341,0)</f>
        <v>0</v>
      </c>
      <c r="AJ394" s="177">
        <f>IF($F$394=$C$394,Data!$E$326*AJ341,0)</f>
        <v>0</v>
      </c>
      <c r="AK394" s="177">
        <f>IF($F$394=$C$394,Data!$E$326*AK341,0)</f>
        <v>0</v>
      </c>
      <c r="AL394" s="177">
        <f>IF($F$394=$C$394,Data!$E$326*AL341,0)</f>
        <v>0</v>
      </c>
      <c r="AM394" s="177">
        <f>IF($F$394=$C$394,Data!$E$326*AM341,0)</f>
        <v>0</v>
      </c>
      <c r="AN394" s="177">
        <f>IF($F$394=$C$394,Data!$E$326*AN341,0)</f>
        <v>0</v>
      </c>
      <c r="AO394" s="177">
        <f>IF($F$394=$C$394,Data!$E$326*AO341,0)</f>
        <v>0</v>
      </c>
      <c r="AP394" s="29"/>
    </row>
    <row r="395" spans="1:42" outlineLevel="1" x14ac:dyDescent="0.25">
      <c r="A395" s="12"/>
      <c r="B395" s="13"/>
      <c r="C395" s="96"/>
      <c r="D395" s="45"/>
      <c r="E395" s="15"/>
      <c r="F395" s="158"/>
      <c r="G395" s="14"/>
      <c r="H395" s="150"/>
      <c r="I395" s="177"/>
      <c r="J395" s="177"/>
      <c r="K395" s="177"/>
      <c r="L395" s="177"/>
      <c r="M395" s="177"/>
      <c r="N395" s="177"/>
      <c r="O395" s="177"/>
      <c r="P395" s="177"/>
      <c r="Q395" s="177"/>
      <c r="R395" s="177"/>
      <c r="S395" s="177"/>
      <c r="T395" s="177"/>
      <c r="U395" s="177"/>
      <c r="V395" s="177"/>
      <c r="W395" s="177"/>
      <c r="X395" s="177"/>
      <c r="Y395" s="177"/>
      <c r="Z395" s="177"/>
      <c r="AA395" s="177"/>
      <c r="AB395" s="177"/>
      <c r="AC395" s="177"/>
      <c r="AD395" s="177"/>
      <c r="AE395" s="177"/>
      <c r="AF395" s="177"/>
      <c r="AG395" s="177"/>
      <c r="AH395" s="177"/>
      <c r="AI395" s="177"/>
      <c r="AJ395" s="177"/>
      <c r="AK395" s="177"/>
      <c r="AL395" s="177"/>
      <c r="AM395" s="177"/>
      <c r="AN395" s="177"/>
      <c r="AO395" s="177"/>
      <c r="AP395" s="29"/>
    </row>
    <row r="396" spans="1:42" s="167" customFormat="1" outlineLevel="1" x14ac:dyDescent="0.25">
      <c r="A396" s="96"/>
      <c r="B396" s="96"/>
      <c r="C396" s="513" t="s">
        <v>260</v>
      </c>
      <c r="D396" s="96"/>
      <c r="E396" s="112" t="s">
        <v>318</v>
      </c>
      <c r="F396" s="164"/>
      <c r="G396" s="96"/>
      <c r="H396" s="151"/>
      <c r="I396" s="151"/>
      <c r="J396" s="151"/>
      <c r="K396" s="151">
        <f>Data!$E$332*K341</f>
        <v>0</v>
      </c>
      <c r="L396" s="151">
        <f>Data!$E$332*L341</f>
        <v>0</v>
      </c>
      <c r="M396" s="151">
        <f>Data!$E$332*M341</f>
        <v>0</v>
      </c>
      <c r="N396" s="151">
        <f>Data!$E$332*N341</f>
        <v>0</v>
      </c>
      <c r="O396" s="151">
        <f>Data!$E$332*O341</f>
        <v>0</v>
      </c>
      <c r="P396" s="151">
        <f>Data!$E$332*P341</f>
        <v>0</v>
      </c>
      <c r="Q396" s="151">
        <f>Data!$E$332*Q341</f>
        <v>0</v>
      </c>
      <c r="R396" s="151">
        <f>Data!$E$332*R341</f>
        <v>0</v>
      </c>
      <c r="S396" s="151">
        <f>Data!$E$332*S341</f>
        <v>0</v>
      </c>
      <c r="T396" s="151">
        <f>Data!$E$332*T341</f>
        <v>0</v>
      </c>
      <c r="U396" s="151">
        <f>Data!$E$332*U341</f>
        <v>18553.392</v>
      </c>
      <c r="V396" s="151">
        <f>Data!$E$332*V341</f>
        <v>18553.392</v>
      </c>
      <c r="W396" s="151">
        <f>Data!$E$332*W341</f>
        <v>18553.392</v>
      </c>
      <c r="X396" s="151">
        <f>Data!$E$332*X341</f>
        <v>18553.392</v>
      </c>
      <c r="Y396" s="151">
        <f>Data!$E$332*Y341</f>
        <v>18553.392</v>
      </c>
      <c r="Z396" s="151">
        <f>Data!$E$332*Z341</f>
        <v>18553.392</v>
      </c>
      <c r="AA396" s="151">
        <f>Data!$E$332*AA341</f>
        <v>18553.392</v>
      </c>
      <c r="AB396" s="151">
        <f>Data!$E$332*AB341</f>
        <v>18553.392</v>
      </c>
      <c r="AC396" s="151">
        <f>Data!$E$332*AC341</f>
        <v>18553.392</v>
      </c>
      <c r="AD396" s="151">
        <f>Data!$E$332*AD341</f>
        <v>18553.392</v>
      </c>
      <c r="AE396" s="151">
        <f>Data!$E$332*AE341</f>
        <v>18553.392</v>
      </c>
      <c r="AF396" s="151">
        <f>Data!$E$332*AF341</f>
        <v>18553.392</v>
      </c>
      <c r="AG396" s="151">
        <f>Data!$E$332*AG341</f>
        <v>18553.392</v>
      </c>
      <c r="AH396" s="151">
        <f>Data!$E$332*AH341</f>
        <v>18553.392</v>
      </c>
      <c r="AI396" s="151">
        <f>Data!$E$332*AI341</f>
        <v>18553.392</v>
      </c>
      <c r="AJ396" s="151">
        <f>Data!$E$332*AJ341</f>
        <v>18553.392</v>
      </c>
      <c r="AK396" s="151">
        <f>Data!$E$332*AK341</f>
        <v>18553.392</v>
      </c>
      <c r="AL396" s="151">
        <f>Data!$E$332*AL341</f>
        <v>18553.392</v>
      </c>
      <c r="AM396" s="151">
        <f>Data!$E$332*AM341</f>
        <v>18553.392</v>
      </c>
      <c r="AN396" s="151">
        <f>Data!$E$332*AN341</f>
        <v>18553.392</v>
      </c>
      <c r="AO396" s="151">
        <f>Data!$E$332*AO341</f>
        <v>0</v>
      </c>
      <c r="AP396" s="514"/>
    </row>
    <row r="397" spans="1:42" s="51" customFormat="1" outlineLevel="1" x14ac:dyDescent="0.25">
      <c r="A397" s="12"/>
      <c r="B397" s="12"/>
      <c r="C397" s="399"/>
      <c r="D397" s="12"/>
      <c r="E397" s="79"/>
      <c r="F397" s="80"/>
      <c r="G397" s="12"/>
      <c r="H397" s="400"/>
      <c r="I397" s="400"/>
      <c r="J397" s="400"/>
      <c r="K397" s="400"/>
      <c r="L397" s="400"/>
      <c r="M397" s="400"/>
      <c r="N397" s="400"/>
      <c r="O397" s="400"/>
      <c r="P397" s="400"/>
      <c r="Q397" s="400"/>
      <c r="R397" s="400"/>
      <c r="S397" s="400"/>
      <c r="T397" s="400"/>
      <c r="U397" s="400"/>
      <c r="V397" s="400"/>
      <c r="W397" s="400"/>
      <c r="X397" s="400"/>
      <c r="Y397" s="400"/>
      <c r="Z397" s="400"/>
      <c r="AA397" s="400"/>
      <c r="AB397" s="400"/>
      <c r="AC397" s="400"/>
      <c r="AD397" s="400"/>
      <c r="AE397" s="400"/>
      <c r="AF397" s="400"/>
      <c r="AG397" s="400"/>
      <c r="AH397" s="400"/>
      <c r="AI397" s="400"/>
      <c r="AJ397" s="400"/>
      <c r="AK397" s="400"/>
      <c r="AL397" s="400"/>
      <c r="AM397" s="400"/>
      <c r="AN397" s="400"/>
      <c r="AO397" s="400"/>
      <c r="AP397" s="401"/>
    </row>
    <row r="398" spans="1:42" outlineLevel="1" x14ac:dyDescent="0.25">
      <c r="A398" s="12"/>
      <c r="B398" s="13"/>
      <c r="C398" s="95" t="s">
        <v>568</v>
      </c>
      <c r="D398" s="45"/>
      <c r="E398" s="15"/>
      <c r="F398" s="16"/>
      <c r="G398" s="14"/>
      <c r="H398" s="28"/>
      <c r="I398" s="177"/>
      <c r="J398" s="177"/>
      <c r="K398" s="177"/>
      <c r="L398" s="177"/>
      <c r="M398" s="177"/>
      <c r="N398" s="177"/>
      <c r="O398" s="177"/>
      <c r="P398" s="177"/>
      <c r="Q398" s="177"/>
      <c r="R398" s="177"/>
      <c r="S398" s="177"/>
      <c r="T398" s="177"/>
      <c r="U398" s="177"/>
      <c r="V398" s="177"/>
      <c r="W398" s="177"/>
      <c r="X398" s="177"/>
      <c r="Y398" s="177"/>
      <c r="Z398" s="177"/>
      <c r="AA398" s="177"/>
      <c r="AB398" s="177"/>
      <c r="AC398" s="177"/>
      <c r="AD398" s="28"/>
      <c r="AE398" s="28"/>
      <c r="AF398" s="28"/>
      <c r="AG398" s="28"/>
      <c r="AH398" s="28"/>
      <c r="AI398" s="28"/>
      <c r="AJ398" s="28"/>
      <c r="AK398" s="28"/>
      <c r="AL398" s="28"/>
      <c r="AM398" s="28"/>
      <c r="AN398" s="28"/>
      <c r="AO398" s="28"/>
      <c r="AP398" s="29"/>
    </row>
    <row r="399" spans="1:42" outlineLevel="1" x14ac:dyDescent="0.25">
      <c r="A399" s="12"/>
      <c r="B399" s="13"/>
      <c r="C399" s="96" t="s">
        <v>316</v>
      </c>
      <c r="D399" s="14"/>
      <c r="E399" s="15" t="s">
        <v>569</v>
      </c>
      <c r="F399" s="16"/>
      <c r="G399" s="14"/>
      <c r="H399" s="151"/>
      <c r="I399" s="14">
        <f>IF(I341&gt;0,Data!$E$349*Data!$E$329,0)</f>
        <v>0</v>
      </c>
      <c r="J399" s="14">
        <f>IF(J341&gt;0,Data!$E$349*Data!$E$329,0)</f>
        <v>0</v>
      </c>
      <c r="K399" s="14">
        <f>IF(K341&gt;0,Data!$E$349*Data!$E$329,0)</f>
        <v>0</v>
      </c>
      <c r="L399" s="14">
        <f>IF(L341&gt;0,Data!$E$349*Data!$E$329,0)</f>
        <v>0</v>
      </c>
      <c r="M399" s="14">
        <f>IF(M341&gt;0,Data!$E$349*Data!$E$329,0)</f>
        <v>0</v>
      </c>
      <c r="N399" s="14">
        <f>IF(N341&gt;0,Data!$E$349*Data!$E$329,0)</f>
        <v>0</v>
      </c>
      <c r="O399" s="14">
        <f>IF(O341&gt;0,Data!$E$349*Data!$E$329,0)</f>
        <v>0</v>
      </c>
      <c r="P399" s="14">
        <f>IF(P341&gt;0,Data!$E$349*Data!$E$329,0)</f>
        <v>0</v>
      </c>
      <c r="Q399" s="14">
        <f>IF(Q341&gt;0,Data!$E$349*Data!$E$329,0)</f>
        <v>0</v>
      </c>
      <c r="R399" s="14">
        <f>IF(R341&gt;0,Data!$E$349*Data!$E$329,0)</f>
        <v>0</v>
      </c>
      <c r="S399" s="14">
        <f>IF(S341&gt;0,Data!$E$349*Data!$E$329,0)</f>
        <v>0</v>
      </c>
      <c r="T399" s="14">
        <f>IF(T341&gt;0,Data!$E$349*Data!$E$329,0)</f>
        <v>0</v>
      </c>
      <c r="U399" s="14">
        <f>IF(U341&gt;0,Data!$E$349*Data!$E$329,0)</f>
        <v>0</v>
      </c>
      <c r="V399" s="14">
        <f>IF(V341&gt;0,Data!$E$349*Data!$E$329,0)</f>
        <v>0</v>
      </c>
      <c r="W399" s="14">
        <f>IF(W341&gt;0,Data!$E$349*Data!$E$329,0)</f>
        <v>0</v>
      </c>
      <c r="X399" s="14">
        <f>IF(X341&gt;0,Data!$E$349*Data!$E$329,0)</f>
        <v>0</v>
      </c>
      <c r="Y399" s="14">
        <f>IF(Y341&gt;0,Data!$E$349*Data!$E$329,0)</f>
        <v>0</v>
      </c>
      <c r="Z399" s="14">
        <f>IF(Z341&gt;0,Data!$E$349*Data!$E$329,0)</f>
        <v>0</v>
      </c>
      <c r="AA399" s="14">
        <f>IF(AA341&gt;0,Data!$E$349*Data!$E$329,0)</f>
        <v>0</v>
      </c>
      <c r="AB399" s="14">
        <f>IF(AB341&gt;0,Data!$E$349*Data!$E$329,0)</f>
        <v>0</v>
      </c>
      <c r="AC399" s="14">
        <f>IF(AC341&gt;0,Data!$E$349*Data!$E$329,0)</f>
        <v>0</v>
      </c>
      <c r="AD399" s="14">
        <f>IF(AD341&gt;0,Data!$E$349*Data!$E$329,0)</f>
        <v>0</v>
      </c>
      <c r="AE399" s="14">
        <f>IF(AE341&gt;0,Data!$E$349*Data!$E$329,0)</f>
        <v>0</v>
      </c>
      <c r="AF399" s="14">
        <f>IF(AF341&gt;0,Data!$E$349*Data!$E$329,0)</f>
        <v>0</v>
      </c>
      <c r="AG399" s="14">
        <f>IF(AG341&gt;0,Data!$E$349*Data!$E$329,0)</f>
        <v>0</v>
      </c>
      <c r="AH399" s="14">
        <f>IF(AH341&gt;0,Data!$E$349*Data!$E$329,0)</f>
        <v>0</v>
      </c>
      <c r="AI399" s="14">
        <f>IF(AI341&gt;0,Data!$E$349*Data!$E$329,0)</f>
        <v>0</v>
      </c>
      <c r="AJ399" s="14">
        <f>IF(AJ341&gt;0,Data!$E$349*Data!$E$329,0)</f>
        <v>0</v>
      </c>
      <c r="AK399" s="14">
        <f>IF(AK341&gt;0,Data!$E$349*Data!$E$329,0)</f>
        <v>0</v>
      </c>
      <c r="AL399" s="14">
        <f>IF(AL341&gt;0,Data!$E$349*Data!$E$329,0)</f>
        <v>0</v>
      </c>
      <c r="AM399" s="14">
        <f>IF(AM341&gt;0,Data!$E$349*Data!$E$329,0)</f>
        <v>0</v>
      </c>
      <c r="AN399" s="14">
        <f>IF(AN341&gt;0,Data!$E$349*Data!$E$329,0)</f>
        <v>0</v>
      </c>
      <c r="AO399" s="14">
        <f>IF(AO341&gt;0,Data!$E$349*Data!$E$329,0)</f>
        <v>0</v>
      </c>
      <c r="AP399" s="17"/>
    </row>
    <row r="400" spans="1:42" outlineLevel="1" x14ac:dyDescent="0.25">
      <c r="A400" s="12"/>
      <c r="B400" s="13"/>
      <c r="C400" s="96" t="s">
        <v>319</v>
      </c>
      <c r="D400" s="44"/>
      <c r="E400" s="15" t="s">
        <v>569</v>
      </c>
      <c r="F400" s="158">
        <f>Dashboard!$I$54</f>
        <v>0</v>
      </c>
      <c r="G400" s="14"/>
      <c r="H400" s="46"/>
      <c r="I400" s="159">
        <f>IF(I341&gt;0,$F$400*Data!$E$330/Dashboard!$I$41,0)</f>
        <v>0</v>
      </c>
      <c r="J400" s="159">
        <f>IF(J341&gt;0,$F$400*Data!$E$330/Dashboard!$I$41,0)</f>
        <v>0</v>
      </c>
      <c r="K400" s="159">
        <f>IF(K341&gt;0,$F$400*Data!$E$330/Dashboard!$I$41,0)</f>
        <v>0</v>
      </c>
      <c r="L400" s="159">
        <f>IF(L341&gt;0,$F$400*Data!$E$330/Dashboard!$I$41,0)</f>
        <v>0</v>
      </c>
      <c r="M400" s="159">
        <f>IF(M341&gt;0,$F$400*Data!$E$330/Dashboard!$I$41,0)</f>
        <v>0</v>
      </c>
      <c r="N400" s="159">
        <f>IF(N341&gt;0,$F$400*Data!$E$330/Dashboard!$I$41,0)</f>
        <v>0</v>
      </c>
      <c r="O400" s="159">
        <f>IF(O341&gt;0,$F$400*Data!$E$330/Dashboard!$I$41,0)</f>
        <v>0</v>
      </c>
      <c r="P400" s="159">
        <f>IF(P341&gt;0,$F$400*Data!$E$330/Dashboard!$I$41,0)</f>
        <v>0</v>
      </c>
      <c r="Q400" s="159">
        <f>IF(Q341&gt;0,$F$400*Data!$E$330/Dashboard!$I$41,0)</f>
        <v>0</v>
      </c>
      <c r="R400" s="159">
        <f>IF(R341&gt;0,$F$400*Data!$E$330/Dashboard!$I$41,0)</f>
        <v>0</v>
      </c>
      <c r="S400" s="159">
        <f>IF(S341&gt;0,$F$400*Data!$E$330/Dashboard!$I$41,0)</f>
        <v>0</v>
      </c>
      <c r="T400" s="159">
        <f>IF(T341&gt;0,$F$400*Data!$E$330/Dashboard!$I$41,0)</f>
        <v>0</v>
      </c>
      <c r="U400" s="159">
        <f>IF(U341&gt;0,$F$400*Data!$E$330/Dashboard!$I$41,0)</f>
        <v>0</v>
      </c>
      <c r="V400" s="159">
        <f>IF(V341&gt;0,$F$400*Data!$E$330/Dashboard!$I$41,0)</f>
        <v>0</v>
      </c>
      <c r="W400" s="159">
        <f>IF(W341&gt;0,$F$400*Data!$E$330/Dashboard!$I$41,0)</f>
        <v>0</v>
      </c>
      <c r="X400" s="159">
        <f>IF(X341&gt;0,$F$400*Data!$E$330/Dashboard!$I$41,0)</f>
        <v>0</v>
      </c>
      <c r="Y400" s="159">
        <f>IF(Y341&gt;0,$F$400*Data!$E$330/Dashboard!$I$41,0)</f>
        <v>0</v>
      </c>
      <c r="Z400" s="159">
        <f>IF(Z341&gt;0,$F$400*Data!$E$330/Dashboard!$I$41,0)</f>
        <v>0</v>
      </c>
      <c r="AA400" s="159">
        <f>IF(AA341&gt;0,$F$400*Data!$E$330/Dashboard!$I$41,0)</f>
        <v>0</v>
      </c>
      <c r="AB400" s="159">
        <f>IF(AB341&gt;0,$F$400*Data!$E$330/Dashboard!$I$41,0)</f>
        <v>0</v>
      </c>
      <c r="AC400" s="159">
        <f>IF(AC341&gt;0,$F$400*Data!$E$330/Dashboard!$I$41,0)</f>
        <v>0</v>
      </c>
      <c r="AD400" s="159">
        <f>IF(AD341&gt;0,$F$400*Data!$E$330/Dashboard!$I$41,0)</f>
        <v>0</v>
      </c>
      <c r="AE400" s="159">
        <f>IF(AE341&gt;0,$F$400*Data!$E$330/Dashboard!$I$41,0)</f>
        <v>0</v>
      </c>
      <c r="AF400" s="159">
        <f>IF(AF341&gt;0,$F$400*Data!$E$330/Dashboard!$I$41,0)</f>
        <v>0</v>
      </c>
      <c r="AG400" s="159">
        <f>IF(AG341&gt;0,$F$400*Data!$E$330/Dashboard!$I$41,0)</f>
        <v>0</v>
      </c>
      <c r="AH400" s="159">
        <f>IF(AH341&gt;0,$F$400*Data!$E$330/Dashboard!$I$41,0)</f>
        <v>0</v>
      </c>
      <c r="AI400" s="159">
        <f>IF(AI341&gt;0,$F$400*Data!$E$330/Dashboard!$I$41,0)</f>
        <v>0</v>
      </c>
      <c r="AJ400" s="159">
        <f>IF(AJ341&gt;0,$F$400*Data!$E$330/Dashboard!$I$41,0)</f>
        <v>0</v>
      </c>
      <c r="AK400" s="159">
        <f>IF(AK341&gt;0,$F$400*Data!$E$330/Dashboard!$I$41,0)</f>
        <v>0</v>
      </c>
      <c r="AL400" s="159">
        <f>IF(AL341&gt;0,$F$400*Data!$E$330/Dashboard!$I$41,0)</f>
        <v>0</v>
      </c>
      <c r="AM400" s="159">
        <f>IF(AM341&gt;0,$F$400*Data!$E$330/Dashboard!$I$41,0)</f>
        <v>0</v>
      </c>
      <c r="AN400" s="159">
        <f>IF(AN341&gt;0,$F$400*Data!$E$330/Dashboard!$I$41,0)</f>
        <v>0</v>
      </c>
      <c r="AO400" s="159">
        <f>IF(AO341&gt;0,$F$400*Data!$E$330/Dashboard!$I$41,0)</f>
        <v>0</v>
      </c>
      <c r="AP400" s="17"/>
    </row>
    <row r="401" spans="1:42" outlineLevel="1" x14ac:dyDescent="0.25">
      <c r="A401" s="12"/>
      <c r="B401" s="13"/>
      <c r="C401" s="95" t="s">
        <v>570</v>
      </c>
      <c r="D401" s="45"/>
      <c r="E401" s="15"/>
      <c r="F401" s="16"/>
      <c r="G401" s="14"/>
      <c r="H401" s="28"/>
      <c r="I401" s="56"/>
      <c r="J401" s="56"/>
      <c r="K401" s="56"/>
      <c r="L401" s="56"/>
      <c r="M401" s="56"/>
      <c r="N401" s="56"/>
      <c r="O401" s="56"/>
      <c r="P401" s="56"/>
      <c r="Q401" s="56"/>
      <c r="R401" s="56"/>
      <c r="S401" s="56"/>
      <c r="T401" s="56"/>
      <c r="U401" s="56"/>
      <c r="V401" s="56"/>
      <c r="W401" s="56"/>
      <c r="X401" s="56"/>
      <c r="Y401" s="56"/>
      <c r="Z401" s="56"/>
      <c r="AA401" s="56"/>
      <c r="AB401" s="56"/>
      <c r="AC401" s="28"/>
      <c r="AD401" s="28"/>
      <c r="AE401" s="28"/>
      <c r="AF401" s="28"/>
      <c r="AG401" s="28"/>
      <c r="AH401" s="28"/>
      <c r="AI401" s="28"/>
      <c r="AJ401" s="28"/>
      <c r="AK401" s="28"/>
      <c r="AL401" s="28"/>
      <c r="AM401" s="28"/>
      <c r="AN401" s="28"/>
      <c r="AO401" s="28"/>
      <c r="AP401" s="29"/>
    </row>
    <row r="402" spans="1:42" outlineLevel="1" x14ac:dyDescent="0.25">
      <c r="A402" s="12"/>
      <c r="B402" s="13"/>
      <c r="C402" s="96" t="s">
        <v>127</v>
      </c>
      <c r="D402" s="45"/>
      <c r="E402" s="15" t="s">
        <v>475</v>
      </c>
      <c r="F402" s="158" t="str">
        <f>Dashboard!$I$52</f>
        <v>Hilly (Gradient  6%)</v>
      </c>
      <c r="G402" s="14"/>
      <c r="H402" s="28"/>
      <c r="I402" s="178" cm="1">
        <f t="array" ref="I402">INDEX('Control panel'!$F$17:$F$19,MATCH(BEB!$F$402,'Control panel'!$C$17:$C$19,0),0)</f>
        <v>0.15</v>
      </c>
      <c r="J402" s="178" cm="1">
        <f t="array" ref="J402">INDEX('Control panel'!$F$17:$F$19,MATCH(BEB!$F$402,'Control panel'!$C$17:$C$19,0),0)</f>
        <v>0.15</v>
      </c>
      <c r="K402" s="178" cm="1">
        <f t="array" ref="K402">INDEX('Control panel'!$F$17:$F$19,MATCH(BEB!$F$402,'Control panel'!$C$17:$C$19,0),0)</f>
        <v>0.15</v>
      </c>
      <c r="L402" s="178" cm="1">
        <f t="array" ref="L402">INDEX('Control panel'!$F$17:$F$19,MATCH(BEB!$F$402,'Control panel'!$C$17:$C$19,0),0)</f>
        <v>0.15</v>
      </c>
      <c r="M402" s="178" cm="1">
        <f t="array" ref="M402">INDEX('Control panel'!$F$17:$F$19,MATCH(BEB!$F$402,'Control panel'!$C$17:$C$19,0),0)</f>
        <v>0.15</v>
      </c>
      <c r="N402" s="178" cm="1">
        <f t="array" ref="N402">INDEX('Control panel'!$F$17:$F$19,MATCH(BEB!$F$402,'Control panel'!$C$17:$C$19,0),0)</f>
        <v>0.15</v>
      </c>
      <c r="O402" s="178" cm="1">
        <f t="array" ref="O402">INDEX('Control panel'!$F$17:$F$19,MATCH(BEB!$F$402,'Control panel'!$C$17:$C$19,0),0)</f>
        <v>0.15</v>
      </c>
      <c r="P402" s="178" cm="1">
        <f t="array" ref="P402">INDEX('Control panel'!$F$17:$F$19,MATCH(BEB!$F$402,'Control panel'!$C$17:$C$19,0),0)</f>
        <v>0.15</v>
      </c>
      <c r="Q402" s="178" cm="1">
        <f t="array" ref="Q402">INDEX('Control panel'!$F$17:$F$19,MATCH(BEB!$F$402,'Control panel'!$C$17:$C$19,0),0)</f>
        <v>0.15</v>
      </c>
      <c r="R402" s="178" cm="1">
        <f t="array" ref="R402">INDEX('Control panel'!$F$17:$F$19,MATCH(BEB!$F$402,'Control panel'!$C$17:$C$19,0),0)</f>
        <v>0.15</v>
      </c>
      <c r="S402" s="178" cm="1">
        <f t="array" ref="S402">INDEX('Control panel'!$F$17:$F$19,MATCH(BEB!$F$402,'Control panel'!$C$17:$C$19,0),0)</f>
        <v>0.15</v>
      </c>
      <c r="T402" s="178" cm="1">
        <f t="array" ref="T402">INDEX('Control panel'!$F$17:$F$19,MATCH(BEB!$F$402,'Control panel'!$C$17:$C$19,0),0)</f>
        <v>0.15</v>
      </c>
      <c r="U402" s="178" cm="1">
        <f t="array" ref="U402">INDEX('Control panel'!$F$17:$F$19,MATCH(BEB!$F$402,'Control panel'!$C$17:$C$19,0),0)</f>
        <v>0.15</v>
      </c>
      <c r="V402" s="178" cm="1">
        <f t="array" ref="V402">INDEX('Control panel'!$F$17:$F$19,MATCH(BEB!$F$402,'Control panel'!$C$17:$C$19,0),0)</f>
        <v>0.15</v>
      </c>
      <c r="W402" s="178" cm="1">
        <f t="array" ref="W402">INDEX('Control panel'!$F$17:$F$19,MATCH(BEB!$F$402,'Control panel'!$C$17:$C$19,0),0)</f>
        <v>0.15</v>
      </c>
      <c r="X402" s="178" cm="1">
        <f t="array" ref="X402">INDEX('Control panel'!$F$17:$F$19,MATCH(BEB!$F$402,'Control panel'!$C$17:$C$19,0),0)</f>
        <v>0.15</v>
      </c>
      <c r="Y402" s="178" cm="1">
        <f t="array" ref="Y402">INDEX('Control panel'!$F$17:$F$19,MATCH(BEB!$F$402,'Control panel'!$C$17:$C$19,0),0)</f>
        <v>0.15</v>
      </c>
      <c r="Z402" s="178" cm="1">
        <f t="array" ref="Z402">INDEX('Control panel'!$F$17:$F$19,MATCH(BEB!$F$402,'Control panel'!$C$17:$C$19,0),0)</f>
        <v>0.15</v>
      </c>
      <c r="AA402" s="178" cm="1">
        <f t="array" ref="AA402">INDEX('Control panel'!$F$17:$F$19,MATCH(BEB!$F$402,'Control panel'!$C$17:$C$19,0),0)</f>
        <v>0.15</v>
      </c>
      <c r="AB402" s="178" cm="1">
        <f t="array" ref="AB402">INDEX('Control panel'!$F$17:$F$19,MATCH(BEB!$F$402,'Control panel'!$C$17:$C$19,0),0)</f>
        <v>0.15</v>
      </c>
      <c r="AC402" s="178" cm="1">
        <f t="array" ref="AC402">INDEX('Control panel'!$F$17:$F$19,MATCH(BEB!$F$402,'Control panel'!$C$17:$C$19,0),0)</f>
        <v>0.15</v>
      </c>
      <c r="AD402" s="178" cm="1">
        <f t="array" ref="AD402">INDEX('Control panel'!$F$17:$F$19,MATCH(BEB!$F$402,'Control panel'!$C$17:$C$19,0),0)</f>
        <v>0.15</v>
      </c>
      <c r="AE402" s="178" cm="1">
        <f t="array" ref="AE402">INDEX('Control panel'!$F$17:$F$19,MATCH(BEB!$F$402,'Control panel'!$C$17:$C$19,0),0)</f>
        <v>0.15</v>
      </c>
      <c r="AF402" s="178" cm="1">
        <f t="array" ref="AF402">INDEX('Control panel'!$F$17:$F$19,MATCH(BEB!$F$402,'Control panel'!$C$17:$C$19,0),0)</f>
        <v>0.15</v>
      </c>
      <c r="AG402" s="178" cm="1">
        <f t="array" ref="AG402">INDEX('Control panel'!$F$17:$F$19,MATCH(BEB!$F$402,'Control panel'!$C$17:$C$19,0),0)</f>
        <v>0.15</v>
      </c>
      <c r="AH402" s="178" cm="1">
        <f t="array" ref="AH402">INDEX('Control panel'!$F$17:$F$19,MATCH(BEB!$F$402,'Control panel'!$C$17:$C$19,0),0)</f>
        <v>0.15</v>
      </c>
      <c r="AI402" s="178" cm="1">
        <f t="array" ref="AI402">INDEX('Control panel'!$F$17:$F$19,MATCH(BEB!$F$402,'Control panel'!$C$17:$C$19,0),0)</f>
        <v>0.15</v>
      </c>
      <c r="AJ402" s="178" cm="1">
        <f t="array" ref="AJ402">INDEX('Control panel'!$F$17:$F$19,MATCH(BEB!$F$402,'Control panel'!$C$17:$C$19,0),0)</f>
        <v>0.15</v>
      </c>
      <c r="AK402" s="178" cm="1">
        <f t="array" ref="AK402">INDEX('Control panel'!$F$17:$F$19,MATCH(BEB!$F$402,'Control panel'!$C$17:$C$19,0),0)</f>
        <v>0.15</v>
      </c>
      <c r="AL402" s="178" cm="1">
        <f t="array" ref="AL402">INDEX('Control panel'!$F$17:$F$19,MATCH(BEB!$F$402,'Control panel'!$C$17:$C$19,0),0)</f>
        <v>0.15</v>
      </c>
      <c r="AM402" s="178" cm="1">
        <f t="array" ref="AM402">INDEX('Control panel'!$F$17:$F$19,MATCH(BEB!$F$402,'Control panel'!$C$17:$C$19,0),0)</f>
        <v>0.15</v>
      </c>
      <c r="AN402" s="178" cm="1">
        <f t="array" ref="AN402">INDEX('Control panel'!$F$17:$F$19,MATCH(BEB!$F$402,'Control panel'!$C$17:$C$19,0),0)</f>
        <v>0.15</v>
      </c>
      <c r="AO402" s="178" cm="1">
        <f t="array" ref="AO402">INDEX('Control panel'!$F$17:$F$19,MATCH(BEB!$F$402,'Control panel'!$C$17:$C$19,0),0)</f>
        <v>0.15</v>
      </c>
      <c r="AP402" s="29"/>
    </row>
    <row r="403" spans="1:42" ht="15.75" customHeight="1" outlineLevel="1" x14ac:dyDescent="0.25">
      <c r="A403" s="12"/>
      <c r="B403" s="13"/>
      <c r="C403" s="96" t="s">
        <v>120</v>
      </c>
      <c r="D403" s="45"/>
      <c r="E403" s="15"/>
      <c r="F403" s="158" t="str">
        <f>Dashboard!$I$53</f>
        <v>3 Axle rigid</v>
      </c>
      <c r="G403" s="14"/>
      <c r="H403" s="28"/>
      <c r="I403" s="56">
        <f>IF($C$403=$F$403,I341*Data!$E$340*Data!H$76,0)*(1+I402)*(1+Data!$E$92)</f>
        <v>0</v>
      </c>
      <c r="J403" s="56">
        <f>IF($C$403=$F$403,J341*Data!$E$340*Data!I$76,0)*(1+J402)*(1+Data!$E$92)</f>
        <v>0</v>
      </c>
      <c r="K403" s="56">
        <f>IF($C$403=$F$403,K341*Data!$E$340*Data!J$76,0)*(1+K402)*(1+Data!$E$92)</f>
        <v>0</v>
      </c>
      <c r="L403" s="56">
        <f>IF($C$403=$F$403,L341*Data!$E$340*Data!K$76,0)*(1+L402)*(1+Data!$E$92)</f>
        <v>0</v>
      </c>
      <c r="M403" s="56">
        <f>IF($C$403=$F$403,M341*Data!$E$340*Data!L$76,0)*(1+M402)*(1+Data!$E$92)</f>
        <v>0</v>
      </c>
      <c r="N403" s="56">
        <f>IF($C$403=$F$403,N341*Data!$E$340*Data!M$76,0)*(1+N402)*(1+Data!$E$92)</f>
        <v>0</v>
      </c>
      <c r="O403" s="56">
        <f>IF($C$403=$F$403,O341*Data!$E$340*Data!N$76,0)*(1+O402)*(1+Data!$E$92)</f>
        <v>0</v>
      </c>
      <c r="P403" s="56">
        <f>IF($C$403=$F$403,P341*Data!$E$340*Data!O$76,0)*(1+P402)*(1+Data!$E$92)</f>
        <v>0</v>
      </c>
      <c r="Q403" s="56">
        <f>IF($C$403=$F$403,Q341*Data!$E$340*Data!P$76,0)*(1+Q402)*(1+Data!$E$92)</f>
        <v>0</v>
      </c>
      <c r="R403" s="56">
        <f>IF($C$403=$F$403,R341*Data!$E$340*Data!Q$76,0)*(1+R402)*(1+Data!$E$92)</f>
        <v>0</v>
      </c>
      <c r="S403" s="56">
        <f>IF($C$403=$F$403,S341*Data!$E$340*Data!R$76,0)*(1+S402)*(1+Data!$E$92)</f>
        <v>0</v>
      </c>
      <c r="T403" s="56">
        <f>IF($C$403=$F$403,T341*Data!$E$340*Data!S$76,0)*(1+T402)*(1+Data!$E$92)</f>
        <v>0</v>
      </c>
      <c r="U403" s="56">
        <f>IF($C$403=$F$403,U341*Data!$E$340*Data!T$76,0)*(1+U402)*(1+Data!$E$92)</f>
        <v>0</v>
      </c>
      <c r="V403" s="56">
        <f>IF($C$403=$F$403,V341*Data!$E$340*Data!U$76,0)*(1+V402)*(1+Data!$E$92)</f>
        <v>0</v>
      </c>
      <c r="W403" s="56">
        <f>IF($C$403=$F$403,W341*Data!$E$340*Data!V$76,0)*(1+W402)*(1+Data!$E$92)</f>
        <v>0</v>
      </c>
      <c r="X403" s="56">
        <f>IF($C$403=$F$403,X341*Data!$E$340*Data!W$76,0)*(1+X402)*(1+Data!$E$92)</f>
        <v>0</v>
      </c>
      <c r="Y403" s="56">
        <f>IF($C$403=$F$403,Y341*Data!$E$340*Data!X$76,0)*(1+Y402)*(1+Data!$E$92)</f>
        <v>0</v>
      </c>
      <c r="Z403" s="56">
        <f>IF($C$403=$F$403,Z341*Data!$E$340*Data!Y$76,0)*(1+Z402)*(1+Data!$E$92)</f>
        <v>0</v>
      </c>
      <c r="AA403" s="56">
        <f>IF($C$403=$F$403,AA341*Data!$E$340*Data!Z$76,0)*(1+AA402)*(1+Data!$E$92)</f>
        <v>0</v>
      </c>
      <c r="AB403" s="56">
        <f>IF($C$403=$F$403,AB341*Data!$E$340*Data!AA$76,0)*(1+AB402)*(1+Data!$E$92)</f>
        <v>0</v>
      </c>
      <c r="AC403" s="56">
        <f>IF($C$403=$F$403,AC341*Data!$E$340*Data!AB$76,0)*(1+AC402)*(1+Data!$E$92)</f>
        <v>0</v>
      </c>
      <c r="AD403" s="56">
        <f>IF($C$403=$F$403,AD341*Data!$E$340*Data!AC$76,0)*(1+AD402)*(1+Data!$E$92)</f>
        <v>0</v>
      </c>
      <c r="AE403" s="56">
        <f>IF($C$403=$F$403,AE341*Data!$E$340*Data!AD$76,0)*(1+AE402)*(1+Data!$E$92)</f>
        <v>0</v>
      </c>
      <c r="AF403" s="56">
        <f>IF($C$403=$F$403,AF341*Data!$E$340*Data!AE$76,0)*(1+AF402)*(1+Data!$E$92)</f>
        <v>0</v>
      </c>
      <c r="AG403" s="56">
        <f>IF($C$403=$F$403,AG341*Data!$E$340*Data!AF$76,0)*(1+AG402)*(1+Data!$E$92)</f>
        <v>0</v>
      </c>
      <c r="AH403" s="56">
        <f>IF($C$403=$F$403,AH341*Data!$E$340*Data!AG$76,0)*(1+AH402)*(1+Data!$E$92)</f>
        <v>0</v>
      </c>
      <c r="AI403" s="56">
        <f>IF($C$403=$F$403,AI341*Data!$E$340*Data!AH$76,0)*(1+AI402)*(1+Data!$E$92)</f>
        <v>0</v>
      </c>
      <c r="AJ403" s="56">
        <f>IF($C$403=$F$403,AJ341*Data!$E$340*Data!AI$76,0)*(1+AJ402)*(1+Data!$E$92)</f>
        <v>0</v>
      </c>
      <c r="AK403" s="56">
        <f>IF($C$403=$F$403,AK341*Data!$E$340*Data!AJ$76,0)*(1+AK402)*(1+Data!$E$92)</f>
        <v>0</v>
      </c>
      <c r="AL403" s="56">
        <f>IF($C$403=$F$403,AL341*Data!$E$340*Data!AK$76,0)*(1+AL402)*(1+Data!$E$92)</f>
        <v>0</v>
      </c>
      <c r="AM403" s="56">
        <f>IF($C$403=$F$403,AM341*Data!$E$340*Data!AL$76,0)*(1+AM402)*(1+Data!$E$92)</f>
        <v>0</v>
      </c>
      <c r="AN403" s="56">
        <f>IF($C$403=$F$403,AN341*Data!$E$340*Data!AM$76,0)*(1+AN402)*(1+Data!$E$92)</f>
        <v>0</v>
      </c>
      <c r="AO403" s="56">
        <f>IF($C$403=$F$403,AO341*Data!$E$340*Data!AN$76,0)*(1+AO402)*(1+Data!$E$92)</f>
        <v>0</v>
      </c>
      <c r="AP403" s="29"/>
    </row>
    <row r="404" spans="1:42" outlineLevel="1" x14ac:dyDescent="0.25">
      <c r="A404" s="12"/>
      <c r="B404" s="13"/>
      <c r="C404" s="96" t="s">
        <v>124</v>
      </c>
      <c r="D404" s="45"/>
      <c r="E404" s="15"/>
      <c r="F404" s="158" t="str">
        <f>Dashboard!$I$53</f>
        <v>3 Axle rigid</v>
      </c>
      <c r="G404" s="14"/>
      <c r="H404" s="28"/>
      <c r="I404" s="56">
        <f>IF($C$404=$F$404,I341*Data!$E$341*Data!H$76,0)*(1+I402)*(1+Data!$E$92)</f>
        <v>0</v>
      </c>
      <c r="J404" s="56">
        <f>IF($C$404=$F$404,J341*Data!$E$341*Data!I$76,0)*(1+J402)*(1+Data!$E$92)</f>
        <v>0</v>
      </c>
      <c r="K404" s="56">
        <f>IF($C$404=$F$404,K341*Data!$E$341*Data!J$76,0)*(1+K402)*(1+Data!$E$92)</f>
        <v>0</v>
      </c>
      <c r="L404" s="56">
        <f>IF($C$404=$F$404,L341*Data!$E$341*Data!K$76,0)*(1+L402)*(1+Data!$E$92)</f>
        <v>0</v>
      </c>
      <c r="M404" s="56">
        <f>IF($C$404=$F$404,M341*Data!$E$341*Data!L$76,0)*(1+M402)*(1+Data!$E$92)</f>
        <v>0</v>
      </c>
      <c r="N404" s="56">
        <f>IF($C$404=$F$404,N341*Data!$E$341*Data!M$76,0)*(1+N402)*(1+Data!$E$92)</f>
        <v>0</v>
      </c>
      <c r="O404" s="56">
        <f>IF($C$404=$F$404,O341*Data!$E$341*Data!N$76,0)*(1+O402)*(1+Data!$E$92)</f>
        <v>0</v>
      </c>
      <c r="P404" s="56">
        <f>IF($C$404=$F$404,P341*Data!$E$341*Data!O$76,0)*(1+P402)*(1+Data!$E$92)</f>
        <v>0</v>
      </c>
      <c r="Q404" s="56">
        <f>IF($C$404=$F$404,Q341*Data!$E$341*Data!P$76,0)*(1+Q402)*(1+Data!$E$92)</f>
        <v>0</v>
      </c>
      <c r="R404" s="56">
        <f>IF($C$404=$F$404,R341*Data!$E$341*Data!Q$76,0)*(1+R402)*(1+Data!$E$92)</f>
        <v>0</v>
      </c>
      <c r="S404" s="56">
        <f>IF($C$404=$F$404,S341*Data!$E$341*Data!R$76,0)*(1+S402)*(1+Data!$E$92)</f>
        <v>0</v>
      </c>
      <c r="T404" s="56">
        <f>IF($C$404=$F$404,T341*Data!$E$341*Data!S$76,0)*(1+T402)*(1+Data!$E$92)</f>
        <v>0</v>
      </c>
      <c r="U404" s="56">
        <f>IF($C$404=$F$404,U341*Data!$E$341*Data!T$76,0)*(1+U402)*(1+Data!$E$92)</f>
        <v>6443.4664408006338</v>
      </c>
      <c r="V404" s="56">
        <f>IF($C$404=$F$404,V341*Data!$E$341*Data!U$76,0)*(1+V402)*(1+Data!$E$92)</f>
        <v>6427.4898057822975</v>
      </c>
      <c r="W404" s="56">
        <f>IF($C$404=$F$404,W341*Data!$E$341*Data!V$76,0)*(1+W402)*(1+Data!$E$92)</f>
        <v>6410.8252259418368</v>
      </c>
      <c r="X404" s="56">
        <f>IF($C$404=$F$404,X341*Data!$E$341*Data!W$76,0)*(1+X402)*(1+Data!$E$92)</f>
        <v>6394.6830606669191</v>
      </c>
      <c r="Y404" s="56">
        <f>IF($C$404=$F$404,Y341*Data!$E$341*Data!X$76,0)*(1+Y402)*(1+Data!$E$92)</f>
        <v>6379.5737150172563</v>
      </c>
      <c r="Z404" s="56">
        <f>IF($C$404=$F$404,Z341*Data!$E$341*Data!Y$76,0)*(1+Z402)*(1+Data!$E$92)</f>
        <v>6365.4962694964725</v>
      </c>
      <c r="AA404" s="56">
        <f>IF($C$404=$F$404,AA341*Data!$E$341*Data!Z$76,0)*(1+AA402)*(1+Data!$E$92)</f>
        <v>6352.2631760785425</v>
      </c>
      <c r="AB404" s="56">
        <f>IF($C$404=$F$404,AB341*Data!$E$341*Data!AA$76,0)*(1+AB402)*(1+Data!$E$92)</f>
        <v>6339.6904437212315</v>
      </c>
      <c r="AC404" s="56">
        <f>IF($C$404=$F$404,AC341*Data!$E$341*Data!AB$76,0)*(1+AC402)*(1+Data!$E$92)</f>
        <v>6326.8110878889956</v>
      </c>
      <c r="AD404" s="56">
        <f>IF($C$404=$F$404,AD341*Data!$E$341*Data!AC$76,0)*(1+AD402)*(1+Data!$E$92)</f>
        <v>6314.7545495538025</v>
      </c>
      <c r="AE404" s="56">
        <f>IF($C$404=$F$404,AE341*Data!$E$341*Data!AD$76,0)*(1+AE402)*(1+Data!$E$92)</f>
        <v>6302.7828943673185</v>
      </c>
      <c r="AF404" s="56">
        <f>IF($C$404=$F$404,AF341*Data!$E$341*Data!AE$76,0)*(1+AF402)*(1+Data!$E$92)</f>
        <v>6290.3379135541363</v>
      </c>
      <c r="AG404" s="56">
        <f>IF($C$404=$F$404,AG341*Data!$E$341*Data!AF$76,0)*(1+AG402)*(1+Data!$E$92)</f>
        <v>6284.3103367621397</v>
      </c>
      <c r="AH404" s="56">
        <f>IF($C$404=$F$404,AH341*Data!$E$341*Data!AG$76,0)*(1+AH402)*(1+Data!$E$92)</f>
        <v>6277.9363072889855</v>
      </c>
      <c r="AI404" s="56">
        <f>IF($C$404=$F$404,AI341*Data!$E$341*Data!AH$76,0)*(1+AI402)*(1+Data!$E$92)</f>
        <v>6270.4384438521447</v>
      </c>
      <c r="AJ404" s="56">
        <f>IF($C$404=$F$404,AJ341*Data!$E$341*Data!AI$76,0)*(1+AJ402)*(1+Data!$E$92)</f>
        <v>6262.2442134086505</v>
      </c>
      <c r="AK404" s="56">
        <f>IF($C$404=$F$404,AK341*Data!$E$341*Data!AJ$76,0)*(1+AK402)*(1+Data!$E$92)</f>
        <v>6262.2442134086505</v>
      </c>
      <c r="AL404" s="56">
        <f>IF($C$404=$F$404,AL341*Data!$E$341*Data!AK$76,0)*(1+AL402)*(1+Data!$E$92)</f>
        <v>6262.2442134086505</v>
      </c>
      <c r="AM404" s="56">
        <f>IF($C$404=$F$404,AM341*Data!$E$341*Data!AL$76,0)*(1+AM402)*(1+Data!$E$92)</f>
        <v>6262.2442134086505</v>
      </c>
      <c r="AN404" s="56">
        <f>IF($C$404=$F$404,AN341*Data!$E$341*Data!AM$76,0)*(1+AN402)*(1+Data!$E$92)</f>
        <v>6262.2442134086505</v>
      </c>
      <c r="AO404" s="56">
        <f>IF($C$404=$F$404,AO341*Data!$E$341*Data!AN$76,0)*(1+AO402)*(1+Data!$E$92)</f>
        <v>0</v>
      </c>
      <c r="AP404" s="29"/>
    </row>
    <row r="405" spans="1:42" outlineLevel="1" x14ac:dyDescent="0.25">
      <c r="A405" s="12"/>
      <c r="B405" s="13"/>
      <c r="C405" s="96" t="s">
        <v>126</v>
      </c>
      <c r="D405" s="45"/>
      <c r="E405" s="15"/>
      <c r="F405" s="158" t="str">
        <f>Dashboard!$I$53</f>
        <v>3 Axle rigid</v>
      </c>
      <c r="G405" s="14"/>
      <c r="H405" s="28"/>
      <c r="I405" s="56">
        <f>IF($C$405=$F$405,I341*Data!$E$342*Data!H$76,0)*(1+I402)*(1+Data!$E$92)</f>
        <v>0</v>
      </c>
      <c r="J405" s="56">
        <f>IF($C$405=$F$405,J341*Data!$E$342*Data!I$76,0)*(1+J402)*(1+Data!$E$92)</f>
        <v>0</v>
      </c>
      <c r="K405" s="56">
        <f>IF($C$405=$F$405,K341*Data!$E$342*Data!J$76,0)*(1+K402)*(1+Data!$E$92)</f>
        <v>0</v>
      </c>
      <c r="L405" s="56">
        <f>IF($C$405=$F$405,L341*Data!$E$342*Data!K$76,0)*(1+L402)*(1+Data!$E$92)</f>
        <v>0</v>
      </c>
      <c r="M405" s="56">
        <f>IF($C$405=$F$405,M341*Data!$E$342*Data!L$76,0)*(1+M402)*(1+Data!$E$92)</f>
        <v>0</v>
      </c>
      <c r="N405" s="56">
        <f>IF($C$405=$F$405,N341*Data!$E$342*Data!M$76,0)*(1+N402)*(1+Data!$E$92)</f>
        <v>0</v>
      </c>
      <c r="O405" s="56">
        <f>IF($C$405=$F$405,O341*Data!$E$342*Data!N$76,0)*(1+O402)*(1+Data!$E$92)</f>
        <v>0</v>
      </c>
      <c r="P405" s="56">
        <f>IF($C$405=$F$405,P341*Data!$E$342*Data!O$76,0)*(1+P402)*(1+Data!$E$92)</f>
        <v>0</v>
      </c>
      <c r="Q405" s="56">
        <f>IF($C$405=$F$405,Q341*Data!$E$342*Data!P$76,0)*(1+Q402)*(1+Data!$E$92)</f>
        <v>0</v>
      </c>
      <c r="R405" s="56">
        <f>IF($C$405=$F$405,R341*Data!$E$342*Data!Q$76,0)*(1+R402)*(1+Data!$E$92)</f>
        <v>0</v>
      </c>
      <c r="S405" s="56">
        <f>IF($C$405=$F$405,S341*Data!$E$342*Data!R$76,0)*(1+S402)*(1+Data!$E$92)</f>
        <v>0</v>
      </c>
      <c r="T405" s="56">
        <f>IF($C$405=$F$405,T341*Data!$E$342*Data!S$76,0)*(1+T402)*(1+Data!$E$92)</f>
        <v>0</v>
      </c>
      <c r="U405" s="56">
        <f>IF($C$405=$F$405,U341*Data!$E$342*Data!T$76,0)*(1+U402)*(1+Data!$E$92)</f>
        <v>0</v>
      </c>
      <c r="V405" s="56">
        <f>IF($C$405=$F$405,V341*Data!$E$342*Data!U$76,0)*(1+V402)*(1+Data!$E$92)</f>
        <v>0</v>
      </c>
      <c r="W405" s="56">
        <f>IF($C$405=$F$405,W341*Data!$E$342*Data!V$76,0)*(1+W402)*(1+Data!$E$92)</f>
        <v>0</v>
      </c>
      <c r="X405" s="56">
        <f>IF($C$405=$F$405,X341*Data!$E$342*Data!W$76,0)*(1+X402)*(1+Data!$E$92)</f>
        <v>0</v>
      </c>
      <c r="Y405" s="56">
        <f>IF($C$405=$F$405,Y341*Data!$E$342*Data!X$76,0)*(1+Y402)*(1+Data!$E$92)</f>
        <v>0</v>
      </c>
      <c r="Z405" s="56">
        <f>IF($C$405=$F$405,Z341*Data!$E$342*Data!Y$76,0)*(1+Z402)*(1+Data!$E$92)</f>
        <v>0</v>
      </c>
      <c r="AA405" s="56">
        <f>IF($C$405=$F$405,AA341*Data!$E$342*Data!Z$76,0)*(1+AA402)*(1+Data!$E$92)</f>
        <v>0</v>
      </c>
      <c r="AB405" s="56">
        <f>IF($C$405=$F$405,AB341*Data!$E$342*Data!AA$76,0)*(1+AB402)*(1+Data!$E$92)</f>
        <v>0</v>
      </c>
      <c r="AC405" s="56">
        <f>IF($C$405=$F$405,AC341*Data!$E$342*Data!AB$76,0)*(1+AC402)*(1+Data!$E$92)</f>
        <v>0</v>
      </c>
      <c r="AD405" s="56">
        <f>IF($C$405=$F$405,AD341*Data!$E$342*Data!AC$76,0)*(1+AD402)*(1+Data!$E$92)</f>
        <v>0</v>
      </c>
      <c r="AE405" s="56">
        <f>IF($C$405=$F$405,AE341*Data!$E$342*Data!AD$76,0)*(1+AE402)*(1+Data!$E$92)</f>
        <v>0</v>
      </c>
      <c r="AF405" s="56">
        <f>IF($C$405=$F$405,AF341*Data!$E$342*Data!AE$76,0)*(1+AF402)*(1+Data!$E$92)</f>
        <v>0</v>
      </c>
      <c r="AG405" s="56">
        <f>IF($C$405=$F$405,AG341*Data!$E$342*Data!AF$76,0)*(1+AG402)*(1+Data!$E$92)</f>
        <v>0</v>
      </c>
      <c r="AH405" s="56">
        <f>IF($C$405=$F$405,AH341*Data!$E$342*Data!AG$76,0)*(1+AH402)*(1+Data!$E$92)</f>
        <v>0</v>
      </c>
      <c r="AI405" s="56">
        <f>IF($C$405=$F$405,AI341*Data!$E$342*Data!AH$76,0)*(1+AI402)*(1+Data!$E$92)</f>
        <v>0</v>
      </c>
      <c r="AJ405" s="56">
        <f>IF($C$405=$F$405,AJ341*Data!$E$342*Data!AI$76,0)*(1+AJ402)*(1+Data!$E$92)</f>
        <v>0</v>
      </c>
      <c r="AK405" s="56">
        <f>IF($C$405=$F$405,AK341*Data!$E$342*Data!AJ$76,0)*(1+AK402)*(1+Data!$E$92)</f>
        <v>0</v>
      </c>
      <c r="AL405" s="56">
        <f>IF($C$405=$F$405,AL341*Data!$E$342*Data!AK$76,0)*(1+AL402)*(1+Data!$E$92)</f>
        <v>0</v>
      </c>
      <c r="AM405" s="56">
        <f>IF($C$405=$F$405,AM341*Data!$E$342*Data!AL$76,0)*(1+AM402)*(1+Data!$E$92)</f>
        <v>0</v>
      </c>
      <c r="AN405" s="56">
        <f>IF($C$405=$F$405,AN341*Data!$E$342*Data!AM$76,0)*(1+AN402)*(1+Data!$E$92)</f>
        <v>0</v>
      </c>
      <c r="AO405" s="56">
        <f>IF($C$405=$F$405,AO341*Data!$E$341*Data!AN$76,0)*(1+AO402)*(1+Data!$E$92)</f>
        <v>0</v>
      </c>
      <c r="AP405" s="29"/>
    </row>
    <row r="406" spans="1:42" outlineLevel="1" x14ac:dyDescent="0.25">
      <c r="A406" s="12"/>
      <c r="B406" s="13"/>
      <c r="C406" s="19" t="s">
        <v>571</v>
      </c>
      <c r="D406" s="45"/>
      <c r="E406" s="15"/>
      <c r="F406" s="158"/>
      <c r="G406" s="14"/>
      <c r="H406" s="28"/>
      <c r="I406" s="182">
        <f>SUM(I392:I394)+I396+I399+I400+SUM(I403:I405)</f>
        <v>0</v>
      </c>
      <c r="J406" s="182">
        <f>SUM(J392:J394)+J396+J399+J400+SUM(J403:J405)</f>
        <v>0</v>
      </c>
      <c r="K406" s="182">
        <f t="shared" ref="K406:AO406" si="110">SUM(K392:K394)+K396+K399+K400+SUM(K403:K405)</f>
        <v>0</v>
      </c>
      <c r="L406" s="182">
        <f t="shared" si="110"/>
        <v>0</v>
      </c>
      <c r="M406" s="182">
        <f t="shared" si="110"/>
        <v>0</v>
      </c>
      <c r="N406" s="182">
        <f t="shared" si="110"/>
        <v>0</v>
      </c>
      <c r="O406" s="182">
        <f t="shared" si="110"/>
        <v>0</v>
      </c>
      <c r="P406" s="182">
        <f t="shared" si="110"/>
        <v>0</v>
      </c>
      <c r="Q406" s="182">
        <f t="shared" si="110"/>
        <v>0</v>
      </c>
      <c r="R406" s="182">
        <f t="shared" si="110"/>
        <v>0</v>
      </c>
      <c r="S406" s="182">
        <f t="shared" si="110"/>
        <v>0</v>
      </c>
      <c r="T406" s="182">
        <f t="shared" si="110"/>
        <v>0</v>
      </c>
      <c r="U406" s="182">
        <f t="shared" si="110"/>
        <v>50093.358440800628</v>
      </c>
      <c r="V406" s="182">
        <f t="shared" si="110"/>
        <v>50077.381805782294</v>
      </c>
      <c r="W406" s="182">
        <f t="shared" si="110"/>
        <v>50060.717225941829</v>
      </c>
      <c r="X406" s="182">
        <f t="shared" si="110"/>
        <v>50044.57506066691</v>
      </c>
      <c r="Y406" s="182">
        <f t="shared" si="110"/>
        <v>50029.46571501725</v>
      </c>
      <c r="Z406" s="182">
        <f t="shared" si="110"/>
        <v>50015.388269496463</v>
      </c>
      <c r="AA406" s="182">
        <f t="shared" si="110"/>
        <v>50002.155176078537</v>
      </c>
      <c r="AB406" s="182">
        <f t="shared" si="110"/>
        <v>49989.582443721221</v>
      </c>
      <c r="AC406" s="182">
        <f t="shared" si="110"/>
        <v>49976.703087888985</v>
      </c>
      <c r="AD406" s="182">
        <f t="shared" si="110"/>
        <v>49964.646549553792</v>
      </c>
      <c r="AE406" s="182">
        <f t="shared" si="110"/>
        <v>49952.674894367308</v>
      </c>
      <c r="AF406" s="182">
        <f t="shared" si="110"/>
        <v>49940.229913554125</v>
      </c>
      <c r="AG406" s="182">
        <f t="shared" si="110"/>
        <v>49934.20233676213</v>
      </c>
      <c r="AH406" s="182">
        <f t="shared" si="110"/>
        <v>49927.828307288975</v>
      </c>
      <c r="AI406" s="182">
        <f t="shared" si="110"/>
        <v>49920.330443852137</v>
      </c>
      <c r="AJ406" s="182">
        <f t="shared" si="110"/>
        <v>49912.136213408645</v>
      </c>
      <c r="AK406" s="182">
        <f t="shared" si="110"/>
        <v>49912.136213408645</v>
      </c>
      <c r="AL406" s="182">
        <f t="shared" si="110"/>
        <v>49912.136213408645</v>
      </c>
      <c r="AM406" s="182">
        <f t="shared" si="110"/>
        <v>49912.136213408645</v>
      </c>
      <c r="AN406" s="182">
        <f t="shared" si="110"/>
        <v>49912.136213408645</v>
      </c>
      <c r="AO406" s="182">
        <f t="shared" si="110"/>
        <v>0</v>
      </c>
      <c r="AP406" s="29"/>
    </row>
    <row r="407" spans="1:42" outlineLevel="1" x14ac:dyDescent="0.25">
      <c r="A407" s="12"/>
      <c r="B407" s="13"/>
      <c r="C407" s="19"/>
      <c r="D407" s="45"/>
      <c r="E407" s="15"/>
      <c r="F407" s="158"/>
      <c r="G407" s="14"/>
      <c r="H407" s="28"/>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29"/>
    </row>
    <row r="408" spans="1:42" outlineLevel="1" x14ac:dyDescent="0.25">
      <c r="A408" s="12"/>
      <c r="B408" s="13"/>
      <c r="C408" s="37" t="s">
        <v>572</v>
      </c>
      <c r="D408" s="37"/>
      <c r="E408" s="38"/>
      <c r="F408" s="39"/>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17"/>
    </row>
    <row r="409" spans="1:42" s="140" customFormat="1" outlineLevel="1" x14ac:dyDescent="0.25">
      <c r="A409" s="78"/>
      <c r="B409" s="19"/>
      <c r="C409" s="95" t="s">
        <v>249</v>
      </c>
      <c r="D409" s="44"/>
      <c r="E409" s="21" t="s">
        <v>142</v>
      </c>
      <c r="F409" s="48"/>
      <c r="G409" s="20"/>
      <c r="H409" s="49"/>
      <c r="I409" s="49">
        <f>IF(COUNT($I$3:I$3)=(Dashboard!$I$31+Data!$E$337+1),SUM($H$358:$AO$360)*Data!$E$359,0)</f>
        <v>0</v>
      </c>
      <c r="J409" s="49">
        <f>IF(COUNT($I$3:J$3)=(Dashboard!$I$31+Data!$E$337+1),SUM($H$358:$AO$360)*Data!$E$359,0)</f>
        <v>0</v>
      </c>
      <c r="K409" s="49">
        <f>IF(COUNT($I$3:K$3)=(Dashboard!$I$31+Data!$E$337+1),SUM($H$358:$AO$360)*Data!$E$359,0)</f>
        <v>0</v>
      </c>
      <c r="L409" s="49">
        <f>IF(COUNT($I$3:L$3)=(Dashboard!$I$31+Data!$E$337+1),SUM($H$358:$AO$360)*Data!$E$359,0)</f>
        <v>0</v>
      </c>
      <c r="M409" s="49">
        <f>IF(COUNT($I$3:M$3)=(Dashboard!$I$31+Data!$E$337+1),SUM($H$358:$AO$360)*Data!$E$359,0)</f>
        <v>0</v>
      </c>
      <c r="N409" s="49">
        <f>IF(COUNT($I$3:N$3)=(Dashboard!$I$31+Data!$E$337+1),SUM($H$358:$AO$360)*Data!$E$359,0)</f>
        <v>0</v>
      </c>
      <c r="O409" s="49">
        <f>IF(COUNT($I$3:O$3)=(Dashboard!$I$31+Data!$E$337+1),SUM($H$358:$AO$360)*Data!$E$359,0)</f>
        <v>0</v>
      </c>
      <c r="P409" s="49">
        <f>IF(COUNT($I$3:P$3)=(Dashboard!$I$31+Data!$E$337+1),SUM($H$358:$AO$360)*Data!$E$359,0)</f>
        <v>0</v>
      </c>
      <c r="Q409" s="49">
        <f>IF(COUNT($I$3:Q$3)=(Dashboard!$I$31+Data!$E$337+1),SUM($H$358:$AO$360)*Data!$E$359,0)</f>
        <v>0</v>
      </c>
      <c r="R409" s="49">
        <f>IF(COUNT($I$3:R$3)=(Dashboard!$I$31+Data!$E$337+1),SUM($H$358:$AO$360)*Data!$E$359,0)</f>
        <v>0</v>
      </c>
      <c r="S409" s="49">
        <f>IF(COUNT($I$3:S$3)=(Dashboard!$I$31+Data!$E$337+1),SUM($H$358:$AO$360)*Data!$E$359,0)</f>
        <v>0</v>
      </c>
      <c r="T409" s="49">
        <f>IF(COUNT($I$3:T$3)=(Dashboard!$I$31+Data!$E$337+1),SUM($H$358:$AO$360)*Data!$E$359,0)</f>
        <v>0</v>
      </c>
      <c r="U409" s="49">
        <f>IF(COUNT($I$3:U$3)=(Dashboard!$I$31+Data!$E$337+1),SUM($H$358:$AO$360)*Data!$E$359,0)</f>
        <v>0</v>
      </c>
      <c r="V409" s="49">
        <f>IF(COUNT($I$3:V$3)=(Dashboard!$I$31+Data!$E$337+1),SUM($H$358:$AO$360)*Data!$E$359,0)</f>
        <v>0</v>
      </c>
      <c r="W409" s="49">
        <f>IF(COUNT($I$3:W$3)=(Dashboard!$I$31+Data!$E$337+1),SUM($H$358:$AO$360)*Data!$E$359,0)</f>
        <v>0</v>
      </c>
      <c r="X409" s="49">
        <f>IF(COUNT($I$3:X$3)=(Dashboard!$I$31+Data!$E$337+1),SUM($H$358:$AO$360)*Data!$E$359,0)</f>
        <v>0</v>
      </c>
      <c r="Y409" s="49">
        <f>IF(COUNT($I$3:Y$3)=(Dashboard!$I$31+Data!$E$337+1),SUM($H$358:$AO$360)*Data!$E$359,0)</f>
        <v>0</v>
      </c>
      <c r="Z409" s="49">
        <f>IF(COUNT($I$3:Z$3)=(Dashboard!$I$31+Data!$E$337+1),SUM($H$358:$AO$360)*Data!$E$359,0)</f>
        <v>0</v>
      </c>
      <c r="AA409" s="49">
        <f>IF(COUNT($I$3:AA$3)=(Dashboard!$I$31+Data!$E$337+1),SUM($H$358:$AO$360)*Data!$E$359,0)</f>
        <v>0</v>
      </c>
      <c r="AB409" s="49">
        <f>IF(COUNT($I$3:AB$3)=(Dashboard!$I$31+Data!$E$337+1),SUM($H$358:$AO$360)*Data!$E$359,0)</f>
        <v>0</v>
      </c>
      <c r="AC409" s="49">
        <f>IF(COUNT($I$3:AC$3)=(Dashboard!$I$31+Data!$E$337+1),SUM($H$358:$AO$360)*Data!$E$359,0)</f>
        <v>0</v>
      </c>
      <c r="AD409" s="49">
        <f>IF(COUNT($I$3:AD$3)=(Dashboard!$I$31+Data!$E$337+1),SUM($H$358:$AO$360)*Data!$E$359,0)</f>
        <v>0</v>
      </c>
      <c r="AE409" s="49">
        <f>IF(COUNT($I$3:AE$3)=(Dashboard!$I$31+Data!$E$337+1),SUM($H$358:$AO$360)*Data!$E$359,0)</f>
        <v>0</v>
      </c>
      <c r="AF409" s="49">
        <f>IF(COUNT($I$3:AF$3)=(Dashboard!$I$31+Data!$E$337+1),SUM($H$358:$AO$360)*Data!$E$359,0)</f>
        <v>0</v>
      </c>
      <c r="AG409" s="49">
        <f>IF(COUNT($I$3:AG$3)=(Dashboard!$I$31+Data!$E$337+1),SUM($H$358:$AO$360)*Data!$E$359,0)</f>
        <v>0</v>
      </c>
      <c r="AH409" s="49">
        <f>IF(COUNT($I$3:AH$3)=(Dashboard!$I$31+Data!$E$337+1),SUM($H$358:$AO$360)*Data!$E$359,0)</f>
        <v>0</v>
      </c>
      <c r="AI409" s="49">
        <f>IF(COUNT($I$3:AI$3)=(Dashboard!$I$31+Data!$E$337+1),SUM($H$358:$AO$360)*Data!$E$359,0)</f>
        <v>0</v>
      </c>
      <c r="AJ409" s="49">
        <f>IF(COUNT($I$3:AJ$3)=(Dashboard!$I$31+Data!$E$337+1),SUM($H$358:$AO$360)*Data!$E$359,0)</f>
        <v>0</v>
      </c>
      <c r="AK409" s="49">
        <f>IF(COUNT($I$3:AK$3)=(Dashboard!$I$31+Data!$E$337+1),SUM($H$358:$AO$360)*Data!$E$359,0)</f>
        <v>0</v>
      </c>
      <c r="AL409" s="49">
        <f>IF(COUNT($I$3:AL$3)=(Dashboard!$I$31+Data!$E$337+1),SUM($H$358:$AO$360)*Data!$E$359,0)</f>
        <v>0</v>
      </c>
      <c r="AM409" s="49">
        <f>IF(COUNT($I$3:AM$3)=(Dashboard!$I$31+Data!$E$337+1),SUM($H$358:$AO$360)*Data!$E$359,0)</f>
        <v>0</v>
      </c>
      <c r="AN409" s="49">
        <f>IF(COUNT($I$3:AN$3)=(Dashboard!$I$31+Data!$E$337+1),SUM($H$358:$AO$360)*Data!$E$359,0)</f>
        <v>0</v>
      </c>
      <c r="AO409" s="49">
        <f>IF(COUNT($I$3:AO$3)=(Dashboard!$I$31+Data!$E$337+1),SUM($H$358:$AO$360)*Data!$E$359,0)</f>
        <v>107450</v>
      </c>
      <c r="AP409" s="50"/>
    </row>
    <row r="410" spans="1:42" outlineLevel="1" x14ac:dyDescent="0.25">
      <c r="A410" s="12"/>
      <c r="B410" s="13"/>
      <c r="C410" s="96"/>
      <c r="D410" s="45"/>
      <c r="E410" s="15"/>
      <c r="F410" s="158"/>
      <c r="G410" s="14"/>
      <c r="H410" s="28"/>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29"/>
    </row>
    <row r="411" spans="1:42" outlineLevel="1" x14ac:dyDescent="0.25">
      <c r="A411" s="12"/>
      <c r="B411" s="13"/>
      <c r="C411" s="19" t="s">
        <v>252</v>
      </c>
      <c r="D411" s="45"/>
      <c r="E411" s="15"/>
      <c r="F411" s="158"/>
      <c r="G411" s="14"/>
      <c r="H411" s="28"/>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29"/>
    </row>
    <row r="412" spans="1:42" outlineLevel="1" x14ac:dyDescent="0.25">
      <c r="A412" s="12"/>
      <c r="B412" s="13"/>
      <c r="C412" s="44" t="s">
        <v>258</v>
      </c>
      <c r="D412" s="44"/>
      <c r="E412" s="15"/>
      <c r="F412" s="16"/>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7"/>
    </row>
    <row r="413" spans="1:42" outlineLevel="1" x14ac:dyDescent="0.25">
      <c r="A413" s="12"/>
      <c r="B413" s="13"/>
      <c r="C413" s="45" t="s">
        <v>120</v>
      </c>
      <c r="D413" s="45"/>
      <c r="E413" s="15" t="s">
        <v>474</v>
      </c>
      <c r="F413" s="158" t="str">
        <f>Dashboard!$I$53</f>
        <v>3 Axle rigid</v>
      </c>
      <c r="G413" s="14"/>
      <c r="H413" s="177"/>
      <c r="I413" s="177">
        <f>IF($C$413=$F$413,Data!$E$118*I339,0)</f>
        <v>0</v>
      </c>
      <c r="J413" s="177">
        <f>IF($C$413=$F$413,Data!$E$118*J339,0)</f>
        <v>0</v>
      </c>
      <c r="K413" s="177">
        <f>IF($C$413=$F$413,Data!$E$118*K339,0)</f>
        <v>0</v>
      </c>
      <c r="L413" s="177">
        <f>IF($C$413=$F$413,Data!$E$118*L339,0)</f>
        <v>0</v>
      </c>
      <c r="M413" s="177">
        <f>IF($C$413=$F$413,Data!$E$118*M339,0)</f>
        <v>0</v>
      </c>
      <c r="N413" s="177">
        <f>IF($C$413=$F$413,Data!$E$118*N339,0)</f>
        <v>0</v>
      </c>
      <c r="O413" s="177">
        <f>IF($C$413=$F$413,Data!$E$118*O339,0)</f>
        <v>0</v>
      </c>
      <c r="P413" s="177">
        <f>IF($C$413=$F$413,Data!$E$118*P339,0)</f>
        <v>0</v>
      </c>
      <c r="Q413" s="177">
        <f>IF($C$413=$F$413,Data!$E$118*Q339,0)</f>
        <v>0</v>
      </c>
      <c r="R413" s="177">
        <f>IF($C$413=$F$413,Data!$E$118*R339,0)</f>
        <v>0</v>
      </c>
      <c r="S413" s="177">
        <f>IF($C$413=$F$413,Data!$E$118*S339,0)</f>
        <v>0</v>
      </c>
      <c r="T413" s="177">
        <f>IF($C$413=$F$413,Data!$E$118*T339,0)</f>
        <v>0</v>
      </c>
      <c r="U413" s="177">
        <f>IF($C$413=$F$413,Data!$E$118*U339,0)</f>
        <v>0</v>
      </c>
      <c r="V413" s="177">
        <f>IF($C$413=$F$413,Data!$E$118*V339,0)</f>
        <v>0</v>
      </c>
      <c r="W413" s="177">
        <f>IF($C$413=$F$413,Data!$E$118*W339,0)</f>
        <v>0</v>
      </c>
      <c r="X413" s="177">
        <f>IF($C$413=$F$413,Data!$E$118*X339,0)</f>
        <v>0</v>
      </c>
      <c r="Y413" s="177">
        <f>IF($C$413=$F$413,Data!$E$118*Y339,0)</f>
        <v>0</v>
      </c>
      <c r="Z413" s="177">
        <f>IF($C$413=$F$413,Data!$E$118*Z339,0)</f>
        <v>0</v>
      </c>
      <c r="AA413" s="177">
        <f>IF($C$413=$F$413,Data!$E$118*AA339,0)</f>
        <v>0</v>
      </c>
      <c r="AB413" s="177">
        <f>IF($C$413=$F$413,Data!$E$118*AB339,0)</f>
        <v>0</v>
      </c>
      <c r="AC413" s="177">
        <f>IF($C$413=$F$413,Data!$E$118*AC339,0)</f>
        <v>0</v>
      </c>
      <c r="AD413" s="177">
        <f>IF($C$413=$F$413,Data!$E$118*AD339,0)</f>
        <v>0</v>
      </c>
      <c r="AE413" s="177">
        <f>IF($C$413=$F$413,Data!$E$118*AE339,0)</f>
        <v>0</v>
      </c>
      <c r="AF413" s="177">
        <f>IF($C$413=$F$413,Data!$E$118*AF339,0)</f>
        <v>0</v>
      </c>
      <c r="AG413" s="177">
        <f>IF($C$413=$F$413,Data!$E$118*AG339,0)</f>
        <v>0</v>
      </c>
      <c r="AH413" s="177">
        <f>IF($C$413=$F$413,Data!$E$118*AH339,0)</f>
        <v>0</v>
      </c>
      <c r="AI413" s="177">
        <f>IF($C$413=$F$413,Data!$E$118*AI339,0)</f>
        <v>0</v>
      </c>
      <c r="AJ413" s="177">
        <f>IF($C$413=$F$413,Data!$E$118*AJ339,0)</f>
        <v>0</v>
      </c>
      <c r="AK413" s="177">
        <f>IF($C$413=$F$413,Data!$E$118*AK339,0)</f>
        <v>0</v>
      </c>
      <c r="AL413" s="177">
        <f>IF($C$413=$F$413,Data!$E$118*AL339,0)</f>
        <v>0</v>
      </c>
      <c r="AM413" s="177">
        <f>IF($C$413=$F$413,Data!$E$118*AM339,0)</f>
        <v>0</v>
      </c>
      <c r="AN413" s="177">
        <f>IF($C$413=$F$413,Data!$E$118*AN339,0)</f>
        <v>0</v>
      </c>
      <c r="AO413" s="177">
        <f>IF($C$413=$F$413,Data!$E$118*AO339,0)</f>
        <v>0</v>
      </c>
      <c r="AP413" s="29"/>
    </row>
    <row r="414" spans="1:42" outlineLevel="1" x14ac:dyDescent="0.25">
      <c r="A414" s="12"/>
      <c r="B414" s="13"/>
      <c r="C414" s="45" t="s">
        <v>124</v>
      </c>
      <c r="D414" s="45"/>
      <c r="E414" s="15" t="s">
        <v>474</v>
      </c>
      <c r="F414" s="158" t="str">
        <f>Dashboard!$I$53</f>
        <v>3 Axle rigid</v>
      </c>
      <c r="G414" s="14"/>
      <c r="H414" s="177"/>
      <c r="I414" s="177">
        <f>IF($C$414=$F$414,Data!$E$119*I339,0)</f>
        <v>44125.714285714283</v>
      </c>
      <c r="J414" s="177">
        <f>IF($C$414=$F$414,Data!$E$119*J339,0)</f>
        <v>44125.714285714283</v>
      </c>
      <c r="K414" s="177">
        <f>IF($C$414=$F$414,Data!$E$119*K339,0)</f>
        <v>44125.714285714283</v>
      </c>
      <c r="L414" s="177">
        <f>IF($C$414=$F$414,Data!$E$119*L339,0)</f>
        <v>44125.714285714283</v>
      </c>
      <c r="M414" s="177">
        <f>IF($C$414=$F$414,Data!$E$119*M339,0)</f>
        <v>44125.714285714283</v>
      </c>
      <c r="N414" s="177">
        <f>IF($C$414=$F$414,Data!$E$119*N339,0)</f>
        <v>44125.714285714283</v>
      </c>
      <c r="O414" s="177">
        <f>IF($C$414=$F$414,Data!$E$119*O339,0)</f>
        <v>44125.714285714283</v>
      </c>
      <c r="P414" s="177">
        <f>IF($C$414=$F$414,Data!$E$119*P339,0)</f>
        <v>44125.714285714283</v>
      </c>
      <c r="Q414" s="177">
        <f>IF($C$414=$F$414,Data!$E$119*Q339,0)</f>
        <v>44125.714285714283</v>
      </c>
      <c r="R414" s="177">
        <f>IF($C$414=$F$414,Data!$E$119*R339,0)</f>
        <v>44125.714285714283</v>
      </c>
      <c r="S414" s="177">
        <f>IF($C$414=$F$414,Data!$E$119*S339,0)</f>
        <v>44125.714285714283</v>
      </c>
      <c r="T414" s="177">
        <f>IF($C$414=$F$414,Data!$E$119*T339,0)</f>
        <v>44125.714285714283</v>
      </c>
      <c r="U414" s="177">
        <f>IF($C$414=$F$414,Data!$E$119*U339,0)</f>
        <v>0</v>
      </c>
      <c r="V414" s="177">
        <f>IF($C$414=$F$414,Data!$E$119*V339,0)</f>
        <v>0</v>
      </c>
      <c r="W414" s="177">
        <f>IF($C$414=$F$414,Data!$E$119*W339,0)</f>
        <v>0</v>
      </c>
      <c r="X414" s="177">
        <f>IF($C$414=$F$414,Data!$E$119*X339,0)</f>
        <v>0</v>
      </c>
      <c r="Y414" s="177">
        <f>IF($C$414=$F$414,Data!$E$119*Y339,0)</f>
        <v>0</v>
      </c>
      <c r="Z414" s="177">
        <f>IF($C$414=$F$414,Data!$E$119*Z339,0)</f>
        <v>0</v>
      </c>
      <c r="AA414" s="177">
        <f>IF($C$414=$F$414,Data!$E$119*AA339,0)</f>
        <v>0</v>
      </c>
      <c r="AB414" s="177">
        <f>IF($C$414=$F$414,Data!$E$119*AB339,0)</f>
        <v>0</v>
      </c>
      <c r="AC414" s="177">
        <f>IF($C$414=$F$414,Data!$E$119*AC339,0)</f>
        <v>0</v>
      </c>
      <c r="AD414" s="177">
        <f>IF($C$414=$F$414,Data!$E$119*AD339,0)</f>
        <v>0</v>
      </c>
      <c r="AE414" s="177">
        <f>IF($C$414=$F$414,Data!$E$119*AE339,0)</f>
        <v>0</v>
      </c>
      <c r="AF414" s="177">
        <f>IF($C$414=$F$414,Data!$E$119*AF339,0)</f>
        <v>0</v>
      </c>
      <c r="AG414" s="177">
        <f>IF($C$414=$F$414,Data!$E$119*AG339,0)</f>
        <v>0</v>
      </c>
      <c r="AH414" s="177">
        <f>IF($C$414=$F$414,Data!$E$119*AH339,0)</f>
        <v>0</v>
      </c>
      <c r="AI414" s="177">
        <f>IF($C$414=$F$414,Data!$E$119*AI339,0)</f>
        <v>0</v>
      </c>
      <c r="AJ414" s="177">
        <f>IF($C$414=$F$414,Data!$E$119*AJ339,0)</f>
        <v>0</v>
      </c>
      <c r="AK414" s="177">
        <f>IF($C$414=$F$414,Data!$E$119*AK339,0)</f>
        <v>0</v>
      </c>
      <c r="AL414" s="177">
        <f>IF($C$414=$F$414,Data!$E$119*AL339,0)</f>
        <v>0</v>
      </c>
      <c r="AM414" s="177">
        <f>IF($C$414=$F$414,Data!$E$119*AM339,0)</f>
        <v>0</v>
      </c>
      <c r="AN414" s="177">
        <f>IF($C$414=$F$414,Data!$E$119*AN339,0)</f>
        <v>0</v>
      </c>
      <c r="AO414" s="177">
        <f>IF($C$414=$F$414,Data!$E$119*AO339,0)</f>
        <v>0</v>
      </c>
      <c r="AP414" s="29"/>
    </row>
    <row r="415" spans="1:42" outlineLevel="1" x14ac:dyDescent="0.25">
      <c r="A415" s="12"/>
      <c r="B415" s="13"/>
      <c r="C415" s="45" t="s">
        <v>126</v>
      </c>
      <c r="D415" s="45"/>
      <c r="E415" s="15" t="s">
        <v>474</v>
      </c>
      <c r="F415" s="158" t="str">
        <f>Dashboard!$I$53</f>
        <v>3 Axle rigid</v>
      </c>
      <c r="G415" s="14"/>
      <c r="H415" s="177"/>
      <c r="I415" s="177">
        <f>IF($C$415=$F$415,Data!$E$120*I339,0)</f>
        <v>0</v>
      </c>
      <c r="J415" s="177">
        <f>IF($C$415=$F$415,Data!$E$120*J339,0)</f>
        <v>0</v>
      </c>
      <c r="K415" s="177">
        <f>IF($C$415=$F$415,Data!$E$120*K339,0)</f>
        <v>0</v>
      </c>
      <c r="L415" s="177">
        <f>IF($C$415=$F$415,Data!$E$120*L339,0)</f>
        <v>0</v>
      </c>
      <c r="M415" s="177">
        <f>IF($C$415=$F$415,Data!$E$120*M339,0)</f>
        <v>0</v>
      </c>
      <c r="N415" s="177">
        <f>IF($C$415=$F$415,Data!$E$120*N339,0)</f>
        <v>0</v>
      </c>
      <c r="O415" s="177">
        <f>IF($C$415=$F$415,Data!$E$120*O339,0)</f>
        <v>0</v>
      </c>
      <c r="P415" s="177">
        <f>IF($C$415=$F$415,Data!$E$120*P339,0)</f>
        <v>0</v>
      </c>
      <c r="Q415" s="177">
        <f>IF($C$415=$F$415,Data!$E$120*Q339,0)</f>
        <v>0</v>
      </c>
      <c r="R415" s="177">
        <f>IF($C$415=$F$415,Data!$E$120*R339,0)</f>
        <v>0</v>
      </c>
      <c r="S415" s="177">
        <f>IF($C$415=$F$415,Data!$E$120*S339,0)</f>
        <v>0</v>
      </c>
      <c r="T415" s="177">
        <f>IF($C$415=$F$415,Data!$E$120*T339,0)</f>
        <v>0</v>
      </c>
      <c r="U415" s="177">
        <f>IF($C$415=$F$415,Data!$E$120*U339,0)</f>
        <v>0</v>
      </c>
      <c r="V415" s="177">
        <f>IF($C$415=$F$415,Data!$E$120*V339,0)</f>
        <v>0</v>
      </c>
      <c r="W415" s="177">
        <f>IF($C$415=$F$415,Data!$E$120*W339,0)</f>
        <v>0</v>
      </c>
      <c r="X415" s="177">
        <f>IF($C$415=$F$415,Data!$E$120*X339,0)</f>
        <v>0</v>
      </c>
      <c r="Y415" s="177">
        <f>IF($C$415=$F$415,Data!$E$120*Y339,0)</f>
        <v>0</v>
      </c>
      <c r="Z415" s="177">
        <f>IF($C$415=$F$415,Data!$E$120*Z339,0)</f>
        <v>0</v>
      </c>
      <c r="AA415" s="177">
        <f>IF($C$415=$F$415,Data!$E$120*AA339,0)</f>
        <v>0</v>
      </c>
      <c r="AB415" s="177">
        <f>IF($C$415=$F$415,Data!$E$120*AB339,0)</f>
        <v>0</v>
      </c>
      <c r="AC415" s="177">
        <f>IF($C$415=$F$415,Data!$E$120*AC339,0)</f>
        <v>0</v>
      </c>
      <c r="AD415" s="177">
        <f>IF($C$415=$F$415,Data!$E$120*AD339,0)</f>
        <v>0</v>
      </c>
      <c r="AE415" s="177">
        <f>IF($C$415=$F$415,Data!$E$120*AE339,0)</f>
        <v>0</v>
      </c>
      <c r="AF415" s="177">
        <f>IF($C$415=$F$415,Data!$E$120*AF339,0)</f>
        <v>0</v>
      </c>
      <c r="AG415" s="177">
        <f>IF($C$415=$F$415,Data!$E$120*AG339,0)</f>
        <v>0</v>
      </c>
      <c r="AH415" s="177">
        <f>IF($C$415=$F$415,Data!$E$120*AH339,0)</f>
        <v>0</v>
      </c>
      <c r="AI415" s="177">
        <f>IF($C$415=$F$415,Data!$E$120*AI339,0)</f>
        <v>0</v>
      </c>
      <c r="AJ415" s="177">
        <f>IF($C$415=$F$415,Data!$E$120*AJ339,0)</f>
        <v>0</v>
      </c>
      <c r="AK415" s="177">
        <f>IF($C$415=$F$415,Data!$E$120*AK339,0)</f>
        <v>0</v>
      </c>
      <c r="AL415" s="177">
        <f>IF($C$415=$F$415,Data!$E$120*AL339,0)</f>
        <v>0</v>
      </c>
      <c r="AM415" s="177">
        <f>IF($C$415=$F$415,Data!$E$120*AM339,0)</f>
        <v>0</v>
      </c>
      <c r="AN415" s="177">
        <f>IF($C$415=$F$415,Data!$E$120*AN339,0)</f>
        <v>0</v>
      </c>
      <c r="AO415" s="177">
        <f>IF($C$415=$F$415,Data!$E$120*AO339,0)</f>
        <v>0</v>
      </c>
      <c r="AP415" s="29"/>
    </row>
    <row r="416" spans="1:42" outlineLevel="1" x14ac:dyDescent="0.25">
      <c r="A416" s="12"/>
      <c r="B416" s="13"/>
      <c r="C416" s="45"/>
      <c r="D416" s="45"/>
      <c r="E416" s="15"/>
      <c r="F416" s="16"/>
      <c r="G416" s="14"/>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9"/>
    </row>
    <row r="417" spans="1:42" outlineLevel="1" x14ac:dyDescent="0.25">
      <c r="A417" s="12"/>
      <c r="B417" s="13"/>
      <c r="C417" s="44" t="s">
        <v>532</v>
      </c>
      <c r="D417" s="45"/>
      <c r="E417" s="15" t="s">
        <v>318</v>
      </c>
      <c r="F417" s="16"/>
      <c r="G417" s="14"/>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9"/>
    </row>
    <row r="418" spans="1:42" outlineLevel="1" x14ac:dyDescent="0.25">
      <c r="A418" s="12"/>
      <c r="B418" s="13"/>
      <c r="C418" s="44" t="s">
        <v>260</v>
      </c>
      <c r="D418" s="14"/>
      <c r="E418" s="15" t="s">
        <v>318</v>
      </c>
      <c r="F418" s="16"/>
      <c r="G418" s="14"/>
      <c r="H418" s="151"/>
      <c r="I418" s="151">
        <f>Data!$E$122*I339</f>
        <v>18553.392</v>
      </c>
      <c r="J418" s="151">
        <f>Data!$E$122*J339</f>
        <v>18553.392</v>
      </c>
      <c r="K418" s="151">
        <f>Data!$E$122*K339</f>
        <v>18553.392</v>
      </c>
      <c r="L418" s="151">
        <f>Data!$E$122*L339</f>
        <v>18553.392</v>
      </c>
      <c r="M418" s="151">
        <f>Data!$E$122*M339</f>
        <v>18553.392</v>
      </c>
      <c r="N418" s="151">
        <f>Data!$E$122*N339</f>
        <v>18553.392</v>
      </c>
      <c r="O418" s="151">
        <f>Data!$E$122*O339</f>
        <v>18553.392</v>
      </c>
      <c r="P418" s="151">
        <f>Data!$E$122*P339</f>
        <v>18553.392</v>
      </c>
      <c r="Q418" s="151">
        <f>Data!$E$122*Q339</f>
        <v>18553.392</v>
      </c>
      <c r="R418" s="151">
        <f>Data!$E$122*R339</f>
        <v>18553.392</v>
      </c>
      <c r="S418" s="151">
        <f>Data!$E$122*S339</f>
        <v>18553.392</v>
      </c>
      <c r="T418" s="151">
        <f>Data!$E$122*T339</f>
        <v>18553.392</v>
      </c>
      <c r="U418" s="151">
        <f>Data!$E$122*U339</f>
        <v>0</v>
      </c>
      <c r="V418" s="151">
        <f>Data!$E$122*V339</f>
        <v>0</v>
      </c>
      <c r="W418" s="151">
        <f>Data!$E$122*W339</f>
        <v>0</v>
      </c>
      <c r="X418" s="151">
        <f>Data!$E$122*X339</f>
        <v>0</v>
      </c>
      <c r="Y418" s="151">
        <f>Data!$E$122*Y339</f>
        <v>0</v>
      </c>
      <c r="Z418" s="151">
        <f>Data!$E$122*Z339</f>
        <v>0</v>
      </c>
      <c r="AA418" s="151">
        <f>Data!$E$122*AA339</f>
        <v>0</v>
      </c>
      <c r="AB418" s="151">
        <f>Data!$E$122*AB339</f>
        <v>0</v>
      </c>
      <c r="AC418" s="151">
        <f>Data!$E$122*AC339</f>
        <v>0</v>
      </c>
      <c r="AD418" s="151">
        <f>Data!$E$122*AD339</f>
        <v>0</v>
      </c>
      <c r="AE418" s="151">
        <f>Data!$E$122*AE339</f>
        <v>0</v>
      </c>
      <c r="AF418" s="151">
        <f>Data!$E$122*AF339</f>
        <v>0</v>
      </c>
      <c r="AG418" s="151">
        <f>Data!$E$122*AG339</f>
        <v>0</v>
      </c>
      <c r="AH418" s="151">
        <f>Data!$E$122*AH339</f>
        <v>0</v>
      </c>
      <c r="AI418" s="151">
        <f>Data!$E$122*AI339</f>
        <v>0</v>
      </c>
      <c r="AJ418" s="151">
        <f>Data!$E$122*AJ339</f>
        <v>0</v>
      </c>
      <c r="AK418" s="151">
        <f>Data!$E$122*AK339</f>
        <v>0</v>
      </c>
      <c r="AL418" s="151">
        <f>Data!$E$122*AL339</f>
        <v>0</v>
      </c>
      <c r="AM418" s="151">
        <f>Data!$E$122*AM339</f>
        <v>0</v>
      </c>
      <c r="AN418" s="151">
        <f>Data!$E$122*AN339</f>
        <v>0</v>
      </c>
      <c r="AO418" s="151">
        <f>Data!$E$122*AO339</f>
        <v>0</v>
      </c>
      <c r="AP418" s="17"/>
    </row>
    <row r="419" spans="1:42" outlineLevel="1" x14ac:dyDescent="0.25">
      <c r="A419" s="12"/>
      <c r="B419" s="13"/>
      <c r="C419" s="44"/>
      <c r="D419" s="44"/>
      <c r="E419" s="15"/>
      <c r="F419" s="16"/>
      <c r="G419" s="14"/>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17"/>
    </row>
    <row r="420" spans="1:42" outlineLevel="1" x14ac:dyDescent="0.25">
      <c r="A420" s="12"/>
      <c r="B420" s="13"/>
      <c r="C420" s="44" t="s">
        <v>398</v>
      </c>
      <c r="D420" s="45"/>
      <c r="E420" s="15"/>
      <c r="F420" s="16"/>
      <c r="G420" s="14"/>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9"/>
    </row>
    <row r="421" spans="1:42" outlineLevel="1" x14ac:dyDescent="0.25">
      <c r="A421" s="12"/>
      <c r="B421" s="13"/>
      <c r="C421" s="45" t="s">
        <v>127</v>
      </c>
      <c r="D421" s="45"/>
      <c r="E421" s="15" t="s">
        <v>475</v>
      </c>
      <c r="F421" s="158" t="str">
        <f>Dashboard!$I$52</f>
        <v>Hilly (Gradient  6%)</v>
      </c>
      <c r="G421" s="14"/>
      <c r="H421" s="62"/>
      <c r="I421" s="181" cm="1">
        <f t="array" ref="I421">INDEX('Control panel'!$E$17:$E$19,MATCH(BEB!$F$421,'Control panel'!$C$17:$C$19,0),0)</f>
        <v>2.0035308778415004</v>
      </c>
      <c r="J421" s="181" cm="1">
        <f t="array" ref="J421">INDEX('Control panel'!$E$17:$E$19,MATCH(BEB!$F$421,'Control panel'!$C$17:$C$19,0),0)</f>
        <v>2.0035308778415004</v>
      </c>
      <c r="K421" s="181" cm="1">
        <f t="array" ref="K421">INDEX('Control panel'!$E$17:$E$19,MATCH(BEB!$F$421,'Control panel'!$C$17:$C$19,0),0)</f>
        <v>2.0035308778415004</v>
      </c>
      <c r="L421" s="181" cm="1">
        <f t="array" ref="L421">INDEX('Control panel'!$E$17:$E$19,MATCH(BEB!$F$421,'Control panel'!$C$17:$C$19,0),0)</f>
        <v>2.0035308778415004</v>
      </c>
      <c r="M421" s="181" cm="1">
        <f t="array" ref="M421">INDEX('Control panel'!$E$17:$E$19,MATCH(BEB!$F$421,'Control panel'!$C$17:$C$19,0),0)</f>
        <v>2.0035308778415004</v>
      </c>
      <c r="N421" s="181" cm="1">
        <f t="array" ref="N421">INDEX('Control panel'!$E$17:$E$19,MATCH(BEB!$F$421,'Control panel'!$C$17:$C$19,0),0)</f>
        <v>2.0035308778415004</v>
      </c>
      <c r="O421" s="181" cm="1">
        <f t="array" ref="O421">INDEX('Control panel'!$E$17:$E$19,MATCH(BEB!$F$421,'Control panel'!$C$17:$C$19,0),0)</f>
        <v>2.0035308778415004</v>
      </c>
      <c r="P421" s="181" cm="1">
        <f t="array" ref="P421">INDEX('Control panel'!$E$17:$E$19,MATCH(BEB!$F$421,'Control panel'!$C$17:$C$19,0),0)</f>
        <v>2.0035308778415004</v>
      </c>
      <c r="Q421" s="181" cm="1">
        <f t="array" ref="Q421">INDEX('Control panel'!$E$17:$E$19,MATCH(BEB!$F$421,'Control panel'!$C$17:$C$19,0),0)</f>
        <v>2.0035308778415004</v>
      </c>
      <c r="R421" s="181" cm="1">
        <f t="array" ref="R421">INDEX('Control panel'!$E$17:$E$19,MATCH(BEB!$F$421,'Control panel'!$C$17:$C$19,0),0)</f>
        <v>2.0035308778415004</v>
      </c>
      <c r="S421" s="181" cm="1">
        <f t="array" ref="S421">INDEX('Control panel'!$E$17:$E$19,MATCH(BEB!$F$421,'Control panel'!$C$17:$C$19,0),0)</f>
        <v>2.0035308778415004</v>
      </c>
      <c r="T421" s="181" cm="1">
        <f t="array" ref="T421">INDEX('Control panel'!$E$17:$E$19,MATCH(BEB!$F$421,'Control panel'!$C$17:$C$19,0),0)</f>
        <v>2.0035308778415004</v>
      </c>
      <c r="U421" s="181" cm="1">
        <f t="array" ref="U421">INDEX('Control panel'!$E$17:$E$19,MATCH(BEB!$F$421,'Control panel'!$C$17:$C$19,0),0)</f>
        <v>2.0035308778415004</v>
      </c>
      <c r="V421" s="181" cm="1">
        <f t="array" ref="V421">INDEX('Control panel'!$E$17:$E$19,MATCH(BEB!$F$421,'Control panel'!$C$17:$C$19,0),0)</f>
        <v>2.0035308778415004</v>
      </c>
      <c r="W421" s="181" cm="1">
        <f t="array" ref="W421">INDEX('Control panel'!$E$17:$E$19,MATCH(BEB!$F$421,'Control panel'!$C$17:$C$19,0),0)</f>
        <v>2.0035308778415004</v>
      </c>
      <c r="X421" s="181" cm="1">
        <f t="array" ref="X421">INDEX('Control panel'!$E$17:$E$19,MATCH(BEB!$F$421,'Control panel'!$C$17:$C$19,0),0)</f>
        <v>2.0035308778415004</v>
      </c>
      <c r="Y421" s="181" cm="1">
        <f t="array" ref="Y421">INDEX('Control panel'!$E$17:$E$19,MATCH(BEB!$F$421,'Control panel'!$C$17:$C$19,0),0)</f>
        <v>2.0035308778415004</v>
      </c>
      <c r="Z421" s="181" cm="1">
        <f t="array" ref="Z421">INDEX('Control panel'!$E$17:$E$19,MATCH(BEB!$F$421,'Control panel'!$C$17:$C$19,0),0)</f>
        <v>2.0035308778415004</v>
      </c>
      <c r="AA421" s="181" cm="1">
        <f t="array" ref="AA421">INDEX('Control panel'!$E$17:$E$19,MATCH(BEB!$F$421,'Control panel'!$C$17:$C$19,0),0)</f>
        <v>2.0035308778415004</v>
      </c>
      <c r="AB421" s="181" cm="1">
        <f t="array" ref="AB421">INDEX('Control panel'!$E$17:$E$19,MATCH(BEB!$F$421,'Control panel'!$C$17:$C$19,0),0)</f>
        <v>2.0035308778415004</v>
      </c>
      <c r="AC421" s="181" cm="1">
        <f t="array" ref="AC421">INDEX('Control panel'!$E$17:$E$19,MATCH(BEB!$F$421,'Control panel'!$C$17:$C$19,0),0)</f>
        <v>2.0035308778415004</v>
      </c>
      <c r="AD421" s="181" cm="1">
        <f t="array" ref="AD421">INDEX('Control panel'!$E$17:$E$19,MATCH(BEB!$F$421,'Control panel'!$C$17:$C$19,0),0)</f>
        <v>2.0035308778415004</v>
      </c>
      <c r="AE421" s="181" cm="1">
        <f t="array" ref="AE421">INDEX('Control panel'!$E$17:$E$19,MATCH(BEB!$F$421,'Control panel'!$C$17:$C$19,0),0)</f>
        <v>2.0035308778415004</v>
      </c>
      <c r="AF421" s="181" cm="1">
        <f t="array" ref="AF421">INDEX('Control panel'!$E$17:$E$19,MATCH(BEB!$F$421,'Control panel'!$C$17:$C$19,0),0)</f>
        <v>2.0035308778415004</v>
      </c>
      <c r="AG421" s="181" cm="1">
        <f t="array" ref="AG421">INDEX('Control panel'!$E$17:$E$19,MATCH(BEB!$F$421,'Control panel'!$C$17:$C$19,0),0)</f>
        <v>2.0035308778415004</v>
      </c>
      <c r="AH421" s="181" cm="1">
        <f t="array" ref="AH421">INDEX('Control panel'!$E$17:$E$19,MATCH(BEB!$F$421,'Control panel'!$C$17:$C$19,0),0)</f>
        <v>2.0035308778415004</v>
      </c>
      <c r="AI421" s="181" cm="1">
        <f t="array" ref="AI421">INDEX('Control panel'!$E$17:$E$19,MATCH(BEB!$F$421,'Control panel'!$C$17:$C$19,0),0)</f>
        <v>2.0035308778415004</v>
      </c>
      <c r="AJ421" s="181" cm="1">
        <f t="array" ref="AJ421">INDEX('Control panel'!$E$17:$E$19,MATCH(BEB!$F$421,'Control panel'!$C$17:$C$19,0),0)</f>
        <v>2.0035308778415004</v>
      </c>
      <c r="AK421" s="181" cm="1">
        <f t="array" ref="AK421">INDEX('Control panel'!$E$17:$E$19,MATCH(BEB!$F$421,'Control panel'!$C$17:$C$19,0),0)</f>
        <v>2.0035308778415004</v>
      </c>
      <c r="AL421" s="181" cm="1">
        <f t="array" ref="AL421">INDEX('Control panel'!$E$17:$E$19,MATCH(BEB!$F$421,'Control panel'!$C$17:$C$19,0),0)</f>
        <v>2.0035308778415004</v>
      </c>
      <c r="AM421" s="181" cm="1">
        <f t="array" ref="AM421">INDEX('Control panel'!$E$17:$E$19,MATCH(BEB!$F$421,'Control panel'!$C$17:$C$19,0),0)</f>
        <v>2.0035308778415004</v>
      </c>
      <c r="AN421" s="181" cm="1">
        <f t="array" ref="AN421">INDEX('Control panel'!$E$17:$E$19,MATCH(BEB!$F$421,'Control panel'!$C$17:$C$19,0),0)</f>
        <v>2.0035308778415004</v>
      </c>
      <c r="AO421" s="181" cm="1">
        <f t="array" ref="AO421">INDEX('Control panel'!$E$17:$E$19,MATCH(BEB!$F$421,'Control panel'!$C$17:$C$19,0),0)</f>
        <v>2.0035308778415004</v>
      </c>
      <c r="AP421" s="29"/>
    </row>
    <row r="422" spans="1:42" outlineLevel="1" x14ac:dyDescent="0.25">
      <c r="A422" s="12"/>
      <c r="B422" s="13"/>
      <c r="C422" s="45" t="s">
        <v>120</v>
      </c>
      <c r="D422" s="45"/>
      <c r="E422" s="15" t="s">
        <v>318</v>
      </c>
      <c r="F422" s="158" t="str">
        <f>Dashboard!$I$53</f>
        <v>3 Axle rigid</v>
      </c>
      <c r="G422" s="14"/>
      <c r="H422" s="62"/>
      <c r="I422" s="177">
        <f>IF($C$422=$F$422,I339*Data!$E$129*Data!H$61,0)*(1+I421)*(1+Data!$E$92)</f>
        <v>0</v>
      </c>
      <c r="J422" s="177">
        <f>IF($C$422=$F$422,J339*Data!$E$129*Data!I$61,0)*(1+J421)*(1+Data!$E$92)</f>
        <v>0</v>
      </c>
      <c r="K422" s="177">
        <f>IF($C$422=$F$422,K339*Data!$E$129*Data!J$61,0)*(1+K421)*(1+Data!$E$92)</f>
        <v>0</v>
      </c>
      <c r="L422" s="177">
        <f>IF($C$422=$F$422,L339*Data!$E$129*Data!K$61,0)*(1+L421)*(1+Data!$E$92)</f>
        <v>0</v>
      </c>
      <c r="M422" s="177">
        <f>IF($C$422=$F$422,M339*Data!$E$129*Data!L$61,0)*(1+M421)*(1+Data!$E$92)</f>
        <v>0</v>
      </c>
      <c r="N422" s="177">
        <f>IF($C$422=$F$422,N339*Data!$E$129*Data!M$61,0)*(1+N421)*(1+Data!$E$92)</f>
        <v>0</v>
      </c>
      <c r="O422" s="177">
        <f>IF($C$422=$F$422,O339*Data!$E$129*Data!N$61,0)*(1+O421)*(1+Data!$E$92)</f>
        <v>0</v>
      </c>
      <c r="P422" s="177">
        <f>IF($C$422=$F$422,P339*Data!$E$129*Data!O$61,0)*(1+P421)*(1+Data!$E$92)</f>
        <v>0</v>
      </c>
      <c r="Q422" s="177">
        <f>IF($C$422=$F$422,Q339*Data!$E$129*Data!P$61,0)*(1+Q421)*(1+Data!$E$92)</f>
        <v>0</v>
      </c>
      <c r="R422" s="177">
        <f>IF($C$422=$F$422,R339*Data!$E$129*Data!Q$61,0)*(1+R421)*(1+Data!$E$92)</f>
        <v>0</v>
      </c>
      <c r="S422" s="177">
        <f>IF($C$422=$F$422,S339*Data!$E$129*Data!R$61,0)*(1+S421)*(1+Data!$E$92)</f>
        <v>0</v>
      </c>
      <c r="T422" s="177">
        <f>IF($C$422=$F$422,T339*Data!$E$129*Data!S$61,0)*(1+T421)*(1+Data!$E$92)</f>
        <v>0</v>
      </c>
      <c r="U422" s="177">
        <f>IF($C$422=$F$422,U339*Data!$E$129*Data!T$61,0)*(1+U421)*(1+Data!$E$92)</f>
        <v>0</v>
      </c>
      <c r="V422" s="177">
        <f>IF($C$422=$F$422,V339*Data!$E$129*Data!U$61,0)*(1+V421)*(1+Data!$E$92)</f>
        <v>0</v>
      </c>
      <c r="W422" s="177">
        <f>IF($C$422=$F$422,W339*Data!$E$129*Data!V$61,0)*(1+W421)*(1+Data!$E$92)</f>
        <v>0</v>
      </c>
      <c r="X422" s="177">
        <f>IF($C$422=$F$422,X339*Data!$E$129*Data!W$61,0)*(1+X421)*(1+Data!$E$92)</f>
        <v>0</v>
      </c>
      <c r="Y422" s="177">
        <f>IF($C$422=$F$422,Y339*Data!$E$129*Data!X$61,0)*(1+Y421)*(1+Data!$E$92)</f>
        <v>0</v>
      </c>
      <c r="Z422" s="177">
        <f>IF($C$422=$F$422,Z339*Data!$E$129*Data!Y$61,0)*(1+Z421)*(1+Data!$E$92)</f>
        <v>0</v>
      </c>
      <c r="AA422" s="177">
        <f>IF($C$422=$F$422,AA339*Data!$E$129*Data!Z$61,0)*(1+AA421)*(1+Data!$E$92)</f>
        <v>0</v>
      </c>
      <c r="AB422" s="177">
        <f>IF($C$422=$F$422,AB339*Data!$E$129*Data!AA$61,0)*(1+AB421)*(1+Data!$E$92)</f>
        <v>0</v>
      </c>
      <c r="AC422" s="177">
        <f>IF($C$422=$F$422,AC339*Data!$E$129*Data!AB$61,0)*(1+AC421)*(1+Data!$E$92)</f>
        <v>0</v>
      </c>
      <c r="AD422" s="177">
        <f>IF($C$422=$F$422,AD339*Data!$E$129*Data!AC$61,0)*(1+AD421)*(1+Data!$E$92)</f>
        <v>0</v>
      </c>
      <c r="AE422" s="177">
        <f>IF($C$422=$F$422,AE339*Data!$E$129*Data!AD$61,0)*(1+AE421)*(1+Data!$E$92)</f>
        <v>0</v>
      </c>
      <c r="AF422" s="177">
        <f>IF($C$422=$F$422,AF339*Data!$E$129*Data!AE$61,0)*(1+AF421)*(1+Data!$E$92)</f>
        <v>0</v>
      </c>
      <c r="AG422" s="177">
        <f>IF($C$422=$F$422,AG339*Data!$E$129*Data!AF$61,0)*(1+AG421)*(1+Data!$E$92)</f>
        <v>0</v>
      </c>
      <c r="AH422" s="177">
        <f>IF($C$422=$F$422,AH339*Data!$E$129*Data!AG$61,0)*(1+AH421)*(1+Data!$E$92)</f>
        <v>0</v>
      </c>
      <c r="AI422" s="177">
        <f>IF($C$422=$F$422,AI339*Data!$E$129*Data!AH$61,0)*(1+AI421)*(1+Data!$E$92)</f>
        <v>0</v>
      </c>
      <c r="AJ422" s="177">
        <f>IF($C$422=$F$422,AJ339*Data!$E$129*Data!AI$61,0)*(1+AJ421)*(1+Data!$E$92)</f>
        <v>0</v>
      </c>
      <c r="AK422" s="177">
        <f>IF($C$422=$F$422,AK339*Data!$E$129*Data!AJ$61,0)*(1+AK421)*(1+Data!$E$92)</f>
        <v>0</v>
      </c>
      <c r="AL422" s="177">
        <f>IF($C$422=$F$422,AL339*Data!$E$129*Data!AK$61,0)*(1+AL421)*(1+Data!$E$92)</f>
        <v>0</v>
      </c>
      <c r="AM422" s="177">
        <f>IF($C$422=$F$422,AM339*Data!$E$129*Data!AL$61,0)*(1+AM421)*(1+Data!$E$92)</f>
        <v>0</v>
      </c>
      <c r="AN422" s="177">
        <f>IF($C$422=$F$422,AN339*Data!$E$129*Data!AM$61,0)*(1+AN421)*(1+Data!$E$92)</f>
        <v>0</v>
      </c>
      <c r="AO422" s="177">
        <f>IF($C$422=$F$422,AO339*Data!$E$129*Data!AN$61,0)*(1+AO421)*(1+Data!$E$92)</f>
        <v>0</v>
      </c>
      <c r="AP422" s="29"/>
    </row>
    <row r="423" spans="1:42" outlineLevel="1" x14ac:dyDescent="0.25">
      <c r="A423" s="12"/>
      <c r="B423" s="13"/>
      <c r="C423" s="45" t="s">
        <v>124</v>
      </c>
      <c r="D423" s="45"/>
      <c r="E423" s="15" t="s">
        <v>318</v>
      </c>
      <c r="F423" s="158" t="str">
        <f>Dashboard!$I$53</f>
        <v>3 Axle rigid</v>
      </c>
      <c r="G423" s="14"/>
      <c r="H423" s="62"/>
      <c r="I423" s="177">
        <f>IF($C$423=$F$423,I339*Data!$E$130*Data!H$61,0)*(1+I421)*(1+Data!$E$92)</f>
        <v>135680.60281634858</v>
      </c>
      <c r="J423" s="177">
        <f>IF($C$423=$F$423,J339*Data!$E$130*Data!I$61,0)*(1+J421)*(1+Data!$E$92)</f>
        <v>108389.87660695429</v>
      </c>
      <c r="K423" s="177">
        <f>IF($C$423=$F$423,K339*Data!$E$130*Data!J$61,0)*(1+K421)*(1+Data!$E$92)</f>
        <v>108389.87660695429</v>
      </c>
      <c r="L423" s="177">
        <f>IF($C$423=$F$423,L339*Data!$E$130*Data!K$61,0)*(1+L421)*(1+Data!$E$92)</f>
        <v>108389.87660695429</v>
      </c>
      <c r="M423" s="177">
        <f>IF($C$423=$F$423,M339*Data!$E$130*Data!L$61,0)*(1+M421)*(1+Data!$E$92)</f>
        <v>108389.87660695429</v>
      </c>
      <c r="N423" s="177">
        <f>IF($C$423=$F$423,N339*Data!$E$130*Data!M$61,0)*(1+N421)*(1+Data!$E$92)</f>
        <v>108389.87660695429</v>
      </c>
      <c r="O423" s="177">
        <f>IF($C$423=$F$423,O339*Data!$E$130*Data!N$61,0)*(1+O421)*(1+Data!$E$92)</f>
        <v>108389.87660695429</v>
      </c>
      <c r="P423" s="177">
        <f>IF($C$423=$F$423,P339*Data!$E$130*Data!O$61,0)*(1+P421)*(1+Data!$E$92)</f>
        <v>108389.87660695429</v>
      </c>
      <c r="Q423" s="177">
        <f>IF($C$423=$F$423,Q339*Data!$E$130*Data!P$61,0)*(1+Q421)*(1+Data!$E$92)</f>
        <v>108389.87660695429</v>
      </c>
      <c r="R423" s="177">
        <f>IF($C$423=$F$423,R339*Data!$E$130*Data!Q$61,0)*(1+R421)*(1+Data!$E$92)</f>
        <v>108389.87660695429</v>
      </c>
      <c r="S423" s="177">
        <f>IF($C$423=$F$423,S339*Data!$E$130*Data!R$61,0)*(1+S421)*(1+Data!$E$92)</f>
        <v>108389.87660695429</v>
      </c>
      <c r="T423" s="177">
        <f>IF($C$423=$F$423,T339*Data!$E$130*Data!S$61,0)*(1+T421)*(1+Data!$E$92)</f>
        <v>108389.87660695429</v>
      </c>
      <c r="U423" s="177">
        <f>IF($C$423=$F$423,U339*Data!$E$130*Data!T$61,0)*(1+U421)*(1+Data!$E$92)</f>
        <v>0</v>
      </c>
      <c r="V423" s="177">
        <f>IF($C$423=$F$423,V339*Data!$E$130*Data!U$61,0)*(1+V421)*(1+Data!$E$92)</f>
        <v>0</v>
      </c>
      <c r="W423" s="177">
        <f>IF($C$423=$F$423,W339*Data!$E$130*Data!V$61,0)*(1+W421)*(1+Data!$E$92)</f>
        <v>0</v>
      </c>
      <c r="X423" s="177">
        <f>IF($C$423=$F$423,X339*Data!$E$130*Data!W$61,0)*(1+X421)*(1+Data!$E$92)</f>
        <v>0</v>
      </c>
      <c r="Y423" s="177">
        <f>IF($C$423=$F$423,Y339*Data!$E$130*Data!X$61,0)*(1+Y421)*(1+Data!$E$92)</f>
        <v>0</v>
      </c>
      <c r="Z423" s="177">
        <f>IF($C$423=$F$423,Z339*Data!$E$130*Data!Y$61,0)*(1+Z421)*(1+Data!$E$92)</f>
        <v>0</v>
      </c>
      <c r="AA423" s="177">
        <f>IF($C$423=$F$423,AA339*Data!$E$130*Data!Z$61,0)*(1+AA421)*(1+Data!$E$92)</f>
        <v>0</v>
      </c>
      <c r="AB423" s="177">
        <f>IF($C$423=$F$423,AB339*Data!$E$130*Data!AA$61,0)*(1+AB421)*(1+Data!$E$92)</f>
        <v>0</v>
      </c>
      <c r="AC423" s="177">
        <f>IF($C$423=$F$423,AC339*Data!$E$130*Data!AB$61,0)*(1+AC421)*(1+Data!$E$92)</f>
        <v>0</v>
      </c>
      <c r="AD423" s="177">
        <f>IF($C$423=$F$423,AD339*Data!$E$130*Data!AC$61,0)*(1+AD421)*(1+Data!$E$92)</f>
        <v>0</v>
      </c>
      <c r="AE423" s="177">
        <f>IF($C$423=$F$423,AE339*Data!$E$130*Data!AD$61,0)*(1+AE421)*(1+Data!$E$92)</f>
        <v>0</v>
      </c>
      <c r="AF423" s="177">
        <f>IF($C$423=$F$423,AF339*Data!$E$130*Data!AE$61,0)*(1+AF421)*(1+Data!$E$92)</f>
        <v>0</v>
      </c>
      <c r="AG423" s="177">
        <f>IF($C$423=$F$423,AG339*Data!$E$130*Data!AF$61,0)*(1+AG421)*(1+Data!$E$92)</f>
        <v>0</v>
      </c>
      <c r="AH423" s="177">
        <f>IF($C$423=$F$423,AH339*Data!$E$130*Data!AG$61,0)*(1+AH421)*(1+Data!$E$92)</f>
        <v>0</v>
      </c>
      <c r="AI423" s="177">
        <f>IF($C$423=$F$423,AI339*Data!$E$130*Data!AH$61,0)*(1+AI421)*(1+Data!$E$92)</f>
        <v>0</v>
      </c>
      <c r="AJ423" s="177">
        <f>IF($C$423=$F$423,AJ339*Data!$E$130*Data!AI$61,0)*(1+AJ421)*(1+Data!$E$92)</f>
        <v>0</v>
      </c>
      <c r="AK423" s="177">
        <f>IF($C$423=$F$423,AK339*Data!$E$130*Data!AJ$61,0)*(1+AK421)*(1+Data!$E$92)</f>
        <v>0</v>
      </c>
      <c r="AL423" s="177">
        <f>IF($C$423=$F$423,AL339*Data!$E$130*Data!AK$61,0)*(1+AL421)*(1+Data!$E$92)</f>
        <v>0</v>
      </c>
      <c r="AM423" s="177">
        <f>IF($C$423=$F$423,AM339*Data!$E$130*Data!AL$61,0)*(1+AM421)*(1+Data!$E$92)</f>
        <v>0</v>
      </c>
      <c r="AN423" s="177">
        <f>IF($C$423=$F$423,AN339*Data!$E$130*Data!AM$61,0)*(1+AN421)*(1+Data!$E$92)</f>
        <v>0</v>
      </c>
      <c r="AO423" s="177">
        <f>IF($C$423=$F$423,AO339*Data!$E$130*Data!AN$61,0)*(1+AO421)*(1+Data!$E$92)</f>
        <v>0</v>
      </c>
      <c r="AP423" s="29"/>
    </row>
    <row r="424" spans="1:42" outlineLevel="1" x14ac:dyDescent="0.25">
      <c r="A424" s="12"/>
      <c r="B424" s="13"/>
      <c r="C424" s="45" t="s">
        <v>126</v>
      </c>
      <c r="D424" s="45"/>
      <c r="E424" s="15" t="s">
        <v>318</v>
      </c>
      <c r="F424" s="158" t="str">
        <f>Dashboard!$I$53</f>
        <v>3 Axle rigid</v>
      </c>
      <c r="G424" s="14"/>
      <c r="H424" s="62"/>
      <c r="I424" s="177">
        <f>IF($C$424=$F$424,I339*Data!$E$131*Data!H$61,0)*(1+I421)*(1+Data!$E$92)</f>
        <v>0</v>
      </c>
      <c r="J424" s="177">
        <f>IF($C$424=$F$424,J339*Data!$E$131*Data!I$61,0)*(1+J421)*(1+Data!$E$92)</f>
        <v>0</v>
      </c>
      <c r="K424" s="177">
        <f>IF($C$424=$F$424,K339*Data!$E$131*Data!J$61,0)*(1+K421)*(1+Data!$E$92)</f>
        <v>0</v>
      </c>
      <c r="L424" s="177">
        <f>IF($C$424=$F$424,L339*Data!$E$131*Data!K$61,0)*(1+L421)*(1+Data!$E$92)</f>
        <v>0</v>
      </c>
      <c r="M424" s="177">
        <f>IF($C$424=$F$424,M339*Data!$E$131*Data!L$61,0)*(1+M421)*(1+Data!$E$92)</f>
        <v>0</v>
      </c>
      <c r="N424" s="177">
        <f>IF($C$424=$F$424,N339*Data!$E$131*Data!M$61,0)*(1+N421)*(1+Data!$E$92)</f>
        <v>0</v>
      </c>
      <c r="O424" s="177">
        <f>IF($C$424=$F$424,O339*Data!$E$131*Data!N$61,0)*(1+O421)*(1+Data!$E$92)</f>
        <v>0</v>
      </c>
      <c r="P424" s="177">
        <f>IF($C$424=$F$424,P339*Data!$E$131*Data!O$61,0)*(1+P421)*(1+Data!$E$92)</f>
        <v>0</v>
      </c>
      <c r="Q424" s="177">
        <f>IF($C$424=$F$424,Q339*Data!$E$131*Data!P$61,0)*(1+Q421)*(1+Data!$E$92)</f>
        <v>0</v>
      </c>
      <c r="R424" s="177">
        <f>IF($C$424=$F$424,R339*Data!$E$131*Data!Q$61,0)*(1+R421)*(1+Data!$E$92)</f>
        <v>0</v>
      </c>
      <c r="S424" s="177">
        <f>IF($C$424=$F$424,S339*Data!$E$131*Data!R$61,0)*(1+S421)*(1+Data!$E$92)</f>
        <v>0</v>
      </c>
      <c r="T424" s="177">
        <f>IF($C$424=$F$424,T339*Data!$E$131*Data!S$61,0)*(1+T421)*(1+Data!$E$92)</f>
        <v>0</v>
      </c>
      <c r="U424" s="177">
        <f>IF($C$424=$F$424,U339*Data!$E$131*Data!T$61,0)*(1+U421)*(1+Data!$E$92)</f>
        <v>0</v>
      </c>
      <c r="V424" s="177">
        <f>IF($C$424=$F$424,V339*Data!$E$131*Data!U$61,0)*(1+V421)*(1+Data!$E$92)</f>
        <v>0</v>
      </c>
      <c r="W424" s="177">
        <f>IF($C$424=$F$424,W339*Data!$E$131*Data!V$61,0)*(1+W421)*(1+Data!$E$92)</f>
        <v>0</v>
      </c>
      <c r="X424" s="177">
        <f>IF($C$424=$F$424,X339*Data!$E$131*Data!W$61,0)*(1+X421)*(1+Data!$E$92)</f>
        <v>0</v>
      </c>
      <c r="Y424" s="177">
        <f>IF($C$424=$F$424,Y339*Data!$E$131*Data!X$61,0)*(1+Y421)*(1+Data!$E$92)</f>
        <v>0</v>
      </c>
      <c r="Z424" s="177">
        <f>IF($C$424=$F$424,Z339*Data!$E$131*Data!Y$61,0)*(1+Z421)*(1+Data!$E$92)</f>
        <v>0</v>
      </c>
      <c r="AA424" s="177">
        <f>IF($C$424=$F$424,AA339*Data!$E$131*Data!Z$61,0)*(1+AA421)*(1+Data!$E$92)</f>
        <v>0</v>
      </c>
      <c r="AB424" s="177">
        <f>IF($C$424=$F$424,AB339*Data!$E$131*Data!AA$61,0)*(1+AB421)*(1+Data!$E$92)</f>
        <v>0</v>
      </c>
      <c r="AC424" s="177">
        <f>IF($C$424=$F$424,AC339*Data!$E$131*Data!AB$61,0)*(1+AC421)*(1+Data!$E$92)</f>
        <v>0</v>
      </c>
      <c r="AD424" s="177">
        <f>IF($C$424=$F$424,AD339*Data!$E$131*Data!AC$61,0)*(1+AD421)*(1+Data!$E$92)</f>
        <v>0</v>
      </c>
      <c r="AE424" s="177">
        <f>IF($C$424=$F$424,AE339*Data!$E$131*Data!AD$61,0)*(1+AE421)*(1+Data!$E$92)</f>
        <v>0</v>
      </c>
      <c r="AF424" s="177">
        <f>IF($C$424=$F$424,AF339*Data!$E$131*Data!AE$61,0)*(1+AF421)*(1+Data!$E$92)</f>
        <v>0</v>
      </c>
      <c r="AG424" s="177">
        <f>IF($C$424=$F$424,AG339*Data!$E$131*Data!AF$61,0)*(1+AG421)*(1+Data!$E$92)</f>
        <v>0</v>
      </c>
      <c r="AH424" s="177">
        <f>IF($C$424=$F$424,AH339*Data!$E$131*Data!AG$61,0)*(1+AH421)*(1+Data!$E$92)</f>
        <v>0</v>
      </c>
      <c r="AI424" s="177">
        <f>IF($C$424=$F$424,AI339*Data!$E$131*Data!AH$61,0)*(1+AI421)*(1+Data!$E$92)</f>
        <v>0</v>
      </c>
      <c r="AJ424" s="177">
        <f>IF($C$424=$F$424,AJ339*Data!$E$131*Data!AI$61,0)*(1+AJ421)*(1+Data!$E$92)</f>
        <v>0</v>
      </c>
      <c r="AK424" s="177">
        <f>IF($C$424=$F$424,AK339*Data!$E$131*Data!AJ$61,0)*(1+AK421)*(1+Data!$E$92)</f>
        <v>0</v>
      </c>
      <c r="AL424" s="177">
        <f>IF($C$424=$F$424,AL339*Data!$E$131*Data!AK$61,0)*(1+AL421)*(1+Data!$E$92)</f>
        <v>0</v>
      </c>
      <c r="AM424" s="177">
        <f>IF($C$424=$F$424,AM339*Data!$E$131*Data!AL$61,0)*(1+AM421)*(1+Data!$E$92)</f>
        <v>0</v>
      </c>
      <c r="AN424" s="177">
        <f>IF($C$424=$F$424,AN339*Data!$E$131*Data!AM$61,0)*(1+AN421)*(1+Data!$E$92)</f>
        <v>0</v>
      </c>
      <c r="AO424" s="177">
        <f>IF($C$424=$F$424,AO339*Data!$E$131*Data!AN$61,0)*(1+AO421)*(1+Data!$E$92)</f>
        <v>0</v>
      </c>
      <c r="AP424" s="17"/>
    </row>
    <row r="425" spans="1:42" outlineLevel="1" x14ac:dyDescent="0.25">
      <c r="A425" s="12"/>
      <c r="B425" s="13"/>
      <c r="C425" s="19" t="s">
        <v>476</v>
      </c>
      <c r="D425" s="45"/>
      <c r="E425" s="15"/>
      <c r="F425" s="158"/>
      <c r="G425" s="14"/>
      <c r="H425" s="28"/>
      <c r="I425" s="182">
        <f>SUM(I413:I415)+I418+I417+SUM(I422:I424)</f>
        <v>198359.70910206286</v>
      </c>
      <c r="J425" s="182">
        <f t="shared" ref="J425:AN425" si="111">SUM(J413:J415)+J418+J417+SUM(J422:J424)</f>
        <v>171068.98289266857</v>
      </c>
      <c r="K425" s="182">
        <f t="shared" si="111"/>
        <v>171068.98289266857</v>
      </c>
      <c r="L425" s="182">
        <f t="shared" si="111"/>
        <v>171068.98289266857</v>
      </c>
      <c r="M425" s="182">
        <f t="shared" si="111"/>
        <v>171068.98289266857</v>
      </c>
      <c r="N425" s="182">
        <f t="shared" si="111"/>
        <v>171068.98289266857</v>
      </c>
      <c r="O425" s="182">
        <f t="shared" si="111"/>
        <v>171068.98289266857</v>
      </c>
      <c r="P425" s="182">
        <f t="shared" si="111"/>
        <v>171068.98289266857</v>
      </c>
      <c r="Q425" s="182">
        <f t="shared" si="111"/>
        <v>171068.98289266857</v>
      </c>
      <c r="R425" s="182">
        <f t="shared" si="111"/>
        <v>171068.98289266857</v>
      </c>
      <c r="S425" s="182">
        <f t="shared" si="111"/>
        <v>171068.98289266857</v>
      </c>
      <c r="T425" s="182">
        <f t="shared" si="111"/>
        <v>171068.98289266857</v>
      </c>
      <c r="U425" s="182">
        <f t="shared" si="111"/>
        <v>0</v>
      </c>
      <c r="V425" s="182">
        <f t="shared" si="111"/>
        <v>0</v>
      </c>
      <c r="W425" s="182">
        <f t="shared" si="111"/>
        <v>0</v>
      </c>
      <c r="X425" s="182">
        <f t="shared" si="111"/>
        <v>0</v>
      </c>
      <c r="Y425" s="182">
        <f t="shared" si="111"/>
        <v>0</v>
      </c>
      <c r="Z425" s="182">
        <f t="shared" si="111"/>
        <v>0</v>
      </c>
      <c r="AA425" s="182">
        <f t="shared" si="111"/>
        <v>0</v>
      </c>
      <c r="AB425" s="182">
        <f t="shared" si="111"/>
        <v>0</v>
      </c>
      <c r="AC425" s="182">
        <f t="shared" si="111"/>
        <v>0</v>
      </c>
      <c r="AD425" s="182">
        <f t="shared" si="111"/>
        <v>0</v>
      </c>
      <c r="AE425" s="182">
        <f t="shared" si="111"/>
        <v>0</v>
      </c>
      <c r="AF425" s="182">
        <f t="shared" si="111"/>
        <v>0</v>
      </c>
      <c r="AG425" s="182">
        <f t="shared" si="111"/>
        <v>0</v>
      </c>
      <c r="AH425" s="182">
        <f t="shared" si="111"/>
        <v>0</v>
      </c>
      <c r="AI425" s="182">
        <f t="shared" si="111"/>
        <v>0</v>
      </c>
      <c r="AJ425" s="182">
        <f t="shared" si="111"/>
        <v>0</v>
      </c>
      <c r="AK425" s="182">
        <f t="shared" si="111"/>
        <v>0</v>
      </c>
      <c r="AL425" s="182">
        <f t="shared" si="111"/>
        <v>0</v>
      </c>
      <c r="AM425" s="182">
        <f t="shared" si="111"/>
        <v>0</v>
      </c>
      <c r="AN425" s="182">
        <f t="shared" si="111"/>
        <v>0</v>
      </c>
      <c r="AO425" s="182">
        <f>SUM(AO413:AO415)+AO418+AO417+SUM(AO422:AO424)</f>
        <v>0</v>
      </c>
      <c r="AP425" s="29"/>
    </row>
    <row r="426" spans="1:42" outlineLevel="1" x14ac:dyDescent="0.25">
      <c r="A426" s="12"/>
      <c r="B426" s="13"/>
      <c r="C426" s="96"/>
      <c r="D426" s="45"/>
      <c r="E426" s="15"/>
      <c r="F426" s="158"/>
      <c r="G426" s="14"/>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9"/>
    </row>
    <row r="427" spans="1:42" outlineLevel="1" x14ac:dyDescent="0.25">
      <c r="A427" s="12"/>
      <c r="B427" s="13"/>
      <c r="C427" s="37" t="s">
        <v>477</v>
      </c>
      <c r="D427" s="37"/>
      <c r="E427" s="38"/>
      <c r="F427" s="39"/>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17"/>
    </row>
    <row r="428" spans="1:42" s="140" customFormat="1" x14ac:dyDescent="0.25">
      <c r="A428" s="78"/>
      <c r="B428" s="19"/>
      <c r="C428" s="44" t="s">
        <v>249</v>
      </c>
      <c r="D428" s="44"/>
      <c r="E428" s="21" t="s">
        <v>142</v>
      </c>
      <c r="F428" s="375" t="str">
        <f>Dashboard!I53</f>
        <v>3 Axle rigid</v>
      </c>
      <c r="G428" s="20"/>
      <c r="H428" s="49"/>
      <c r="I428" s="182">
        <f>-IF(COUNT($I$3:I$3)=(Dashboard!$I$31+1),INDEX(Data!$E$99:$E$101,MATCH($F$428,Data!$B$99:$B$101,0)),0)</f>
        <v>0</v>
      </c>
      <c r="J428" s="182">
        <f>-IF(COUNT($I$3:J$3)=(Dashboard!$I$31+1),INDEX(Data!$E$99:$E$101,MATCH($F$428,Data!$B$99:$B$101,0)),0)</f>
        <v>0</v>
      </c>
      <c r="K428" s="182">
        <f>-IF(COUNT($I$3:K$3)=(Dashboard!$I$31+1),INDEX(Data!$E$99:$E$101,MATCH($F$428,Data!$B$99:$B$101,0)),0)</f>
        <v>0</v>
      </c>
      <c r="L428" s="182">
        <f>-IF(COUNT($I$3:L$3)=(Dashboard!$I$31+1),INDEX(Data!$E$99:$E$101,MATCH($F$428,Data!$B$99:$B$101,0)),0)</f>
        <v>0</v>
      </c>
      <c r="M428" s="182">
        <f>-IF(COUNT($I$3:M$3)=(Dashboard!$I$31+1),INDEX(Data!$E$99:$E$101,MATCH($F$428,Data!$B$99:$B$101,0)),0)</f>
        <v>0</v>
      </c>
      <c r="N428" s="182">
        <f>-IF(COUNT($I$3:N$3)=(Dashboard!$I$31+1),INDEX(Data!$E$99:$E$101,MATCH($F$428,Data!$B$99:$B$101,0)),0)</f>
        <v>0</v>
      </c>
      <c r="O428" s="182">
        <f>-IF(COUNT($I$3:O$3)=(Dashboard!$I$31+1),INDEX(Data!$E$99:$E$101,MATCH($F$428,Data!$B$99:$B$101,0)),0)</f>
        <v>0</v>
      </c>
      <c r="P428" s="182">
        <f>-IF(COUNT($I$3:P$3)=(Dashboard!$I$31+1),INDEX(Data!$E$99:$E$101,MATCH($F$428,Data!$B$99:$B$101,0)),0)</f>
        <v>0</v>
      </c>
      <c r="Q428" s="182">
        <f>-IF(COUNT($I$3:Q$3)=(Dashboard!$I$31+1),INDEX(Data!$E$99:$E$101,MATCH($F$428,Data!$B$99:$B$101,0)),0)</f>
        <v>0</v>
      </c>
      <c r="R428" s="182">
        <f>-IF(COUNT($I$3:R$3)=(Dashboard!$I$31+1),INDEX(Data!$E$99:$E$101,MATCH($F$428,Data!$B$99:$B$101,0)),0)</f>
        <v>0</v>
      </c>
      <c r="S428" s="182">
        <f>-IF(COUNT($I$3:S$3)=(Dashboard!$I$31+1),INDEX(Data!$E$99:$E$101,MATCH($F$428,Data!$B$99:$B$101,0)),0)</f>
        <v>0</v>
      </c>
      <c r="T428" s="182">
        <f>-IF(COUNT($I$3:T$3)=(Dashboard!$I$31+1),INDEX(Data!$E$99:$E$101,MATCH($F$428,Data!$B$99:$B$101,0)),0)</f>
        <v>0</v>
      </c>
      <c r="U428" s="182">
        <f>-IF(COUNT($I$3:U$3)=(Dashboard!$I$31+1),INDEX(Data!$E$99:$E$101,MATCH($F$428,Data!$B$99:$B$101,0)),0)</f>
        <v>-60000</v>
      </c>
      <c r="V428" s="182">
        <f>-IF(COUNT($I$3:V$3)=(Dashboard!$I$31+1),INDEX(Data!$E$99:$E$101,MATCH($F$428,Data!$B$99:$B$101,0)),0)</f>
        <v>0</v>
      </c>
      <c r="W428" s="182">
        <f>-IF(COUNT($I$3:W$3)=(Dashboard!$I$31+1),INDEX(Data!$E$99:$E$101,MATCH($F$428,Data!$B$99:$B$101,0)),0)</f>
        <v>0</v>
      </c>
      <c r="X428" s="182">
        <f>-IF(COUNT($I$3:X$3)=(Dashboard!$I$31+1),INDEX(Data!$E$99:$E$101,MATCH($F$428,Data!$B$99:$B$101,0)),0)</f>
        <v>0</v>
      </c>
      <c r="Y428" s="182">
        <f>-IF(COUNT($I$3:Y$3)=(Dashboard!$I$31+1),INDEX(Data!$E$99:$E$101,MATCH($F$428,Data!$B$99:$B$101,0)),0)</f>
        <v>0</v>
      </c>
      <c r="Z428" s="182">
        <f>-IF(COUNT($I$3:Z$3)=(Dashboard!$I$31+1),INDEX(Data!$E$99:$E$101,MATCH($F$428,Data!$B$99:$B$101,0)),0)</f>
        <v>0</v>
      </c>
      <c r="AA428" s="182">
        <f>-IF(COUNT($I$3:AA$3)=(Dashboard!$I$31+1),INDEX(Data!$E$99:$E$101,MATCH($F$428,Data!$B$99:$B$101,0)),0)</f>
        <v>0</v>
      </c>
      <c r="AB428" s="182">
        <f>-IF(COUNT($I$3:AB$3)=(Dashboard!$I$31+1),INDEX(Data!$E$99:$E$101,MATCH($F$428,Data!$B$99:$B$101,0)),0)</f>
        <v>0</v>
      </c>
      <c r="AC428" s="182">
        <f>-IF(COUNT($I$3:AC$3)=(Dashboard!$I$31+1),INDEX(Data!$E$99:$E$101,MATCH($F$428,Data!$B$99:$B$101,0)),0)</f>
        <v>0</v>
      </c>
      <c r="AD428" s="182">
        <f>-IF(COUNT($I$3:AD$3)=(Dashboard!$I$31+1),INDEX(Data!$E$99:$E$101,MATCH($F$428,Data!$B$99:$B$101,0)),0)</f>
        <v>0</v>
      </c>
      <c r="AE428" s="182">
        <f>-IF(COUNT($I$3:AE$3)=(Dashboard!$I$31+1),INDEX(Data!$E$99:$E$101,MATCH($F$428,Data!$B$99:$B$101,0)),0)</f>
        <v>0</v>
      </c>
      <c r="AF428" s="182">
        <f>-IF(COUNT($I$3:AF$3)=(Dashboard!$I$31+1),INDEX(Data!$E$99:$E$101,MATCH($F$428,Data!$B$99:$B$101,0)),0)</f>
        <v>0</v>
      </c>
      <c r="AG428" s="182">
        <f>-IF(COUNT($I$3:AG$3)=(Dashboard!$I$31+1),INDEX(Data!$E$99:$E$101,MATCH($F$428,Data!$B$99:$B$101,0)),0)</f>
        <v>0</v>
      </c>
      <c r="AH428" s="182">
        <f>-IF(COUNT($I$3:AH$3)=(Dashboard!$I$31+1),INDEX(Data!$E$99:$E$101,MATCH($F$428,Data!$B$99:$B$101,0)),0)</f>
        <v>0</v>
      </c>
      <c r="AI428" s="182">
        <f>-IF(COUNT($I$3:AI$3)=(Dashboard!$I$31+1),INDEX(Data!$E$99:$E$101,MATCH($F$428,Data!$B$99:$B$101,0)),0)</f>
        <v>0</v>
      </c>
      <c r="AJ428" s="182">
        <f>-IF(COUNT($I$3:AJ$3)=(Dashboard!$I$31+1),INDEX(Data!$E$99:$E$101,MATCH($F$428,Data!$B$99:$B$101,0)),0)</f>
        <v>0</v>
      </c>
      <c r="AK428" s="182">
        <f>-IF(COUNT($I$3:AK$3)=(Dashboard!$I$31+1),INDEX(Data!$E$99:$E$101,MATCH($F$428,Data!$B$99:$B$101,0)),0)</f>
        <v>0</v>
      </c>
      <c r="AL428" s="182">
        <f>-IF(COUNT($I$3:AL$3)=(Dashboard!$I$31+1),INDEX(Data!$E$99:$E$101,MATCH($F$428,Data!$B$99:$B$101,0)),0)</f>
        <v>0</v>
      </c>
      <c r="AM428" s="182">
        <f>-IF(COUNT($I$3:AM$3)=(Dashboard!$I$31+1),INDEX(Data!$E$99:$E$101,MATCH($F$428,Data!$B$99:$B$101,0)),0)</f>
        <v>0</v>
      </c>
      <c r="AN428" s="182">
        <f>-IF(COUNT($I$3:AN$3)=(Dashboard!$I$31+1),INDEX(Data!$E$99:$E$101,MATCH($F$428,Data!$B$99:$B$101,0)),0)</f>
        <v>0</v>
      </c>
      <c r="AO428" s="182">
        <f>-IF(COUNT($I$3:AO$3)=(Dashboard!$I$31+1),INDEX(Data!$E$99:$E$101,MATCH($F$428,Data!$B$99:$B$101,0)),0)</f>
        <v>0</v>
      </c>
      <c r="AP428" s="50"/>
    </row>
    <row r="429" spans="1:42" outlineLevel="1" x14ac:dyDescent="0.25">
      <c r="A429" s="12"/>
      <c r="B429" s="13"/>
      <c r="C429" s="96"/>
      <c r="D429" s="45"/>
      <c r="E429" s="15"/>
      <c r="F429" s="16"/>
      <c r="G429" s="14"/>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9"/>
    </row>
    <row r="430" spans="1:42" outlineLevel="1" x14ac:dyDescent="0.25">
      <c r="A430" s="12"/>
      <c r="B430" s="13"/>
      <c r="C430" s="37" t="s">
        <v>479</v>
      </c>
      <c r="D430" s="37"/>
      <c r="E430" s="38"/>
      <c r="F430" s="39"/>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17"/>
    </row>
    <row r="431" spans="1:42" outlineLevel="1" x14ac:dyDescent="0.25">
      <c r="A431" s="12"/>
      <c r="B431" s="13"/>
      <c r="C431" s="14" t="s">
        <v>479</v>
      </c>
      <c r="D431" s="14"/>
      <c r="E431" s="15" t="s">
        <v>318</v>
      </c>
      <c r="F431" s="16"/>
      <c r="G431" s="14"/>
      <c r="H431" s="165"/>
      <c r="I431" s="165">
        <f>I387+I406+I425-I409+I428</f>
        <v>198359.70910206286</v>
      </c>
      <c r="J431" s="165">
        <f t="shared" ref="J431:AO431" si="112">J387+J406+J425-J409+J428</f>
        <v>171068.98289266857</v>
      </c>
      <c r="K431" s="165">
        <f t="shared" si="112"/>
        <v>171068.98289266857</v>
      </c>
      <c r="L431" s="165">
        <f t="shared" si="112"/>
        <v>171068.98289266857</v>
      </c>
      <c r="M431" s="165">
        <f t="shared" si="112"/>
        <v>171068.98289266857</v>
      </c>
      <c r="N431" s="165">
        <f t="shared" si="112"/>
        <v>171068.98289266857</v>
      </c>
      <c r="O431" s="165">
        <f t="shared" si="112"/>
        <v>171068.98289266857</v>
      </c>
      <c r="P431" s="165">
        <f t="shared" si="112"/>
        <v>171068.98289266857</v>
      </c>
      <c r="Q431" s="165">
        <f t="shared" si="112"/>
        <v>171068.98289266857</v>
      </c>
      <c r="R431" s="165">
        <f t="shared" si="112"/>
        <v>171068.98289266857</v>
      </c>
      <c r="S431" s="165">
        <f t="shared" si="112"/>
        <v>171068.98289266857</v>
      </c>
      <c r="T431" s="165">
        <f>T387+T406+T425-T409+T428</f>
        <v>233548.21853932671</v>
      </c>
      <c r="U431" s="165">
        <f t="shared" si="112"/>
        <v>52572.594087458769</v>
      </c>
      <c r="V431" s="165">
        <f t="shared" si="112"/>
        <v>112556.61745244043</v>
      </c>
      <c r="W431" s="165">
        <f t="shared" si="112"/>
        <v>112539.95287259997</v>
      </c>
      <c r="X431" s="165">
        <f t="shared" si="112"/>
        <v>112523.81070732504</v>
      </c>
      <c r="Y431" s="165">
        <f t="shared" si="112"/>
        <v>112508.70136167538</v>
      </c>
      <c r="Z431" s="165">
        <f t="shared" si="112"/>
        <v>112494.6239161546</v>
      </c>
      <c r="AA431" s="165">
        <f t="shared" si="112"/>
        <v>112481.39082273666</v>
      </c>
      <c r="AB431" s="165">
        <f t="shared" si="112"/>
        <v>112468.81809037935</v>
      </c>
      <c r="AC431" s="165">
        <f t="shared" si="112"/>
        <v>121504.44106645568</v>
      </c>
      <c r="AD431" s="165">
        <f t="shared" si="112"/>
        <v>121492.38452812048</v>
      </c>
      <c r="AE431" s="165">
        <f t="shared" si="112"/>
        <v>121480.41287293399</v>
      </c>
      <c r="AF431" s="165">
        <f t="shared" si="112"/>
        <v>121467.96789212081</v>
      </c>
      <c r="AG431" s="165">
        <f t="shared" si="112"/>
        <v>121461.94031532881</v>
      </c>
      <c r="AH431" s="165">
        <f t="shared" si="112"/>
        <v>121455.56628585566</v>
      </c>
      <c r="AI431" s="165">
        <f t="shared" si="112"/>
        <v>121448.06842241882</v>
      </c>
      <c r="AJ431" s="165">
        <f t="shared" si="112"/>
        <v>121439.87419197534</v>
      </c>
      <c r="AK431" s="165">
        <f t="shared" si="112"/>
        <v>121439.87419197534</v>
      </c>
      <c r="AL431" s="165">
        <f t="shared" si="112"/>
        <v>121439.87419197534</v>
      </c>
      <c r="AM431" s="165">
        <f t="shared" si="112"/>
        <v>121439.87419197534</v>
      </c>
      <c r="AN431" s="165">
        <f t="shared" si="112"/>
        <v>49912.136213408645</v>
      </c>
      <c r="AO431" s="165">
        <f t="shared" si="112"/>
        <v>-107450</v>
      </c>
      <c r="AP431" s="29"/>
    </row>
    <row r="432" spans="1:42" s="140" customFormat="1" outlineLevel="1" x14ac:dyDescent="0.25">
      <c r="A432" s="78"/>
      <c r="B432" s="19"/>
      <c r="C432" s="20" t="s">
        <v>480</v>
      </c>
      <c r="D432" s="20"/>
      <c r="E432" s="21" t="s">
        <v>318</v>
      </c>
      <c r="F432" s="48"/>
      <c r="G432" s="20"/>
      <c r="H432" s="182"/>
      <c r="I432" s="182">
        <f>I431*Data!H$9</f>
        <v>190730.48952121427</v>
      </c>
      <c r="J432" s="182">
        <f>J431*Data!I$9</f>
        <v>158162.89098804415</v>
      </c>
      <c r="K432" s="182">
        <f>K431*Data!J$9</f>
        <v>152079.70287311939</v>
      </c>
      <c r="L432" s="182">
        <f>L431*Data!K$9</f>
        <v>146230.48353184556</v>
      </c>
      <c r="M432" s="182">
        <f>M431*Data!L$9</f>
        <v>140606.23416523609</v>
      </c>
      <c r="N432" s="182">
        <f>N431*Data!M$9</f>
        <v>135198.30208195778</v>
      </c>
      <c r="O432" s="182">
        <f>O431*Data!N$9</f>
        <v>129998.36738649788</v>
      </c>
      <c r="P432" s="182">
        <f>P431*Data!O$9</f>
        <v>124998.43017932486</v>
      </c>
      <c r="Q432" s="182">
        <f>Q431*Data!P$9</f>
        <v>120190.7982493508</v>
      </c>
      <c r="R432" s="182">
        <f>R431*Data!Q$9</f>
        <v>115568.07523976039</v>
      </c>
      <c r="S432" s="182">
        <f>S431*Data!R$9</f>
        <v>111123.14926900039</v>
      </c>
      <c r="T432" s="182">
        <f>T431*Data!S$9</f>
        <v>145873.52823434374</v>
      </c>
      <c r="U432" s="182">
        <f>U431*Data!T$9</f>
        <v>31573.737649804927</v>
      </c>
      <c r="V432" s="182">
        <f>V431*Data!U$9</f>
        <v>64998.641985490351</v>
      </c>
      <c r="W432" s="182">
        <f>W431*Data!V$9</f>
        <v>62489.440967179602</v>
      </c>
      <c r="X432" s="182">
        <f>X431*Data!W$9</f>
        <v>60077.38249596682</v>
      </c>
      <c r="Y432" s="182">
        <f>Y431*Data!X$9</f>
        <v>57758.957204610771</v>
      </c>
      <c r="Z432" s="182">
        <f>Z431*Data!Y$9</f>
        <v>55530.509827606213</v>
      </c>
      <c r="AA432" s="182">
        <f>AA431*Data!Z$9</f>
        <v>53388.440000545335</v>
      </c>
      <c r="AB432" s="182">
        <f>AB431*Data!AA$9</f>
        <v>51329.300431136864</v>
      </c>
      <c r="AC432" s="182">
        <f>AC431*Data!AB$9</f>
        <v>53320.231546360148</v>
      </c>
      <c r="AD432" s="182">
        <f>AD431*Data!AC$9</f>
        <v>51264.366088666793</v>
      </c>
      <c r="AE432" s="182">
        <f>AE431*Data!AD$9</f>
        <v>49287.802484878586</v>
      </c>
      <c r="AF432" s="182">
        <f>AF431*Data!AE$9</f>
        <v>47387.262719658698</v>
      </c>
      <c r="AG432" s="182">
        <f>AG431*Data!AF$9</f>
        <v>45562.414646647951</v>
      </c>
      <c r="AH432" s="182">
        <f>AH431*Data!AG$9</f>
        <v>43807.715039513954</v>
      </c>
      <c r="AI432" s="182">
        <f>AI431*Data!AH$9</f>
        <v>42120.20253932909</v>
      </c>
      <c r="AJ432" s="182">
        <f>AJ431*Data!AI$9</f>
        <v>40497.462158107512</v>
      </c>
      <c r="AK432" s="182">
        <f>AK431*Data!AJ$9</f>
        <v>38939.867459718756</v>
      </c>
      <c r="AL432" s="182">
        <f>AL431*Data!AK$9</f>
        <v>37442.180249729579</v>
      </c>
      <c r="AM432" s="182">
        <f>AM431*Data!AL$9</f>
        <v>36002.096393970744</v>
      </c>
      <c r="AN432" s="182">
        <f>AN431*Data!AM$9</f>
        <v>14227.850733197176</v>
      </c>
      <c r="AO432" s="182">
        <f>AO431*Data!AN$9</f>
        <v>-29451.418903746591</v>
      </c>
      <c r="AP432" s="50"/>
    </row>
    <row r="433" spans="1:42" outlineLevel="1" x14ac:dyDescent="0.25">
      <c r="A433" s="12"/>
      <c r="B433" s="13"/>
      <c r="C433" s="14" t="s">
        <v>479</v>
      </c>
      <c r="D433" s="14"/>
      <c r="E433" s="15" t="s">
        <v>54</v>
      </c>
      <c r="F433" s="16"/>
      <c r="G433" s="159">
        <f>SUM(H432:AO432)</f>
        <v>2578314.895438069</v>
      </c>
      <c r="H433" s="165"/>
      <c r="I433" s="165"/>
      <c r="J433" s="165"/>
      <c r="K433" s="165"/>
      <c r="L433" s="165"/>
      <c r="M433" s="165"/>
      <c r="N433" s="165"/>
      <c r="O433" s="165"/>
      <c r="P433" s="165"/>
      <c r="Q433" s="165"/>
      <c r="R433" s="165"/>
      <c r="S433" s="165"/>
      <c r="T433" s="165"/>
      <c r="U433" s="165"/>
      <c r="V433" s="165"/>
      <c r="W433" s="28"/>
      <c r="X433" s="28"/>
      <c r="Y433" s="28"/>
      <c r="Z433" s="28"/>
      <c r="AA433" s="28"/>
      <c r="AB433" s="28"/>
      <c r="AC433" s="28"/>
      <c r="AD433" s="28"/>
      <c r="AE433" s="28"/>
      <c r="AF433" s="28"/>
      <c r="AG433" s="28"/>
      <c r="AH433" s="28"/>
      <c r="AI433" s="28"/>
      <c r="AJ433" s="28"/>
      <c r="AK433" s="28"/>
      <c r="AL433" s="28"/>
      <c r="AM433" s="28"/>
      <c r="AN433" s="28"/>
      <c r="AO433" s="28"/>
      <c r="AP433" s="29"/>
    </row>
    <row r="434" spans="1:42" outlineLevel="1" x14ac:dyDescent="0.25">
      <c r="A434" s="12"/>
      <c r="B434" s="13"/>
      <c r="C434" s="44" t="s">
        <v>481</v>
      </c>
      <c r="D434" s="45"/>
      <c r="E434" s="15" t="s">
        <v>261</v>
      </c>
      <c r="F434" s="16"/>
      <c r="G434" s="183">
        <f>G433/((SUM(H339:AO339)+SUM(H341:AO341)))</f>
        <v>1.5651192789906694</v>
      </c>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9"/>
    </row>
    <row r="435" spans="1:42" outlineLevel="1" x14ac:dyDescent="0.25">
      <c r="A435" s="12"/>
      <c r="B435" s="13"/>
      <c r="C435" s="41"/>
      <c r="D435" s="41"/>
      <c r="E435" s="15"/>
      <c r="F435" s="16"/>
      <c r="G435" s="14"/>
      <c r="I435" s="141"/>
      <c r="J435" s="141"/>
      <c r="K435" s="141"/>
      <c r="L435" s="141"/>
      <c r="M435" s="141"/>
      <c r="N435" s="141"/>
      <c r="O435" s="141"/>
      <c r="P435" s="141"/>
      <c r="Q435" s="141"/>
      <c r="R435" s="141"/>
      <c r="S435" s="141"/>
      <c r="T435" s="141"/>
      <c r="U435" s="141"/>
      <c r="V435" s="141"/>
      <c r="W435" s="141"/>
      <c r="X435" s="141"/>
      <c r="Y435" s="141"/>
      <c r="Z435" s="141"/>
      <c r="AA435" s="141"/>
      <c r="AB435" s="141"/>
      <c r="AC435" s="14"/>
      <c r="AD435" s="14"/>
      <c r="AE435" s="14"/>
      <c r="AF435" s="14"/>
      <c r="AG435" s="14"/>
      <c r="AH435" s="14"/>
      <c r="AI435" s="14"/>
      <c r="AJ435" s="14"/>
      <c r="AK435" s="14"/>
      <c r="AL435" s="14"/>
      <c r="AM435" s="14"/>
      <c r="AN435" s="14"/>
      <c r="AO435" s="14"/>
      <c r="AP435" s="17"/>
    </row>
    <row r="436" spans="1:42" outlineLevel="1" x14ac:dyDescent="0.25">
      <c r="A436" s="12"/>
      <c r="B436" s="13"/>
      <c r="C436" s="37" t="s">
        <v>515</v>
      </c>
      <c r="D436" s="37"/>
      <c r="E436" s="38"/>
      <c r="F436" s="39"/>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17"/>
    </row>
    <row r="437" spans="1:42" outlineLevel="1" x14ac:dyDescent="0.25">
      <c r="A437" s="12"/>
      <c r="B437" s="13"/>
      <c r="C437" s="14"/>
      <c r="D437" s="14"/>
      <c r="E437" s="15"/>
      <c r="F437" s="16"/>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row>
    <row r="438" spans="1:42" outlineLevel="1" x14ac:dyDescent="0.25">
      <c r="A438" s="12"/>
      <c r="B438" s="13"/>
      <c r="C438" s="20" t="s">
        <v>573</v>
      </c>
      <c r="D438" s="45"/>
      <c r="E438" s="15"/>
      <c r="F438" s="16"/>
      <c r="G438" s="165"/>
      <c r="H438" s="165"/>
      <c r="I438" s="165"/>
      <c r="J438" s="165"/>
      <c r="K438" s="165"/>
      <c r="L438" s="165"/>
      <c r="M438" s="165"/>
      <c r="N438" s="165"/>
      <c r="O438" s="165"/>
      <c r="P438" s="165"/>
      <c r="Q438" s="165"/>
      <c r="R438" s="165"/>
      <c r="S438" s="165"/>
      <c r="T438" s="165"/>
      <c r="U438" s="28"/>
      <c r="V438" s="28"/>
      <c r="W438" s="28"/>
      <c r="X438" s="28"/>
      <c r="Y438" s="28"/>
      <c r="Z438" s="28"/>
      <c r="AA438" s="28"/>
      <c r="AB438" s="28"/>
      <c r="AC438" s="28"/>
      <c r="AD438" s="28"/>
      <c r="AE438" s="28"/>
      <c r="AF438" s="28"/>
      <c r="AG438" s="28"/>
      <c r="AH438" s="28"/>
      <c r="AI438" s="28"/>
      <c r="AJ438" s="28"/>
      <c r="AK438" s="28"/>
      <c r="AL438" s="28"/>
      <c r="AM438" s="28"/>
      <c r="AN438" s="28"/>
      <c r="AO438" s="28"/>
      <c r="AP438" s="29"/>
    </row>
    <row r="439" spans="1:42" outlineLevel="1" x14ac:dyDescent="0.25">
      <c r="A439" s="12"/>
      <c r="B439" s="13"/>
      <c r="C439" s="45" t="s">
        <v>517</v>
      </c>
      <c r="D439" s="45"/>
      <c r="E439" s="15" t="s">
        <v>342</v>
      </c>
      <c r="F439" s="179">
        <f>Data!$E$354</f>
        <v>147000</v>
      </c>
      <c r="G439" s="165"/>
      <c r="H439" s="165"/>
      <c r="I439" s="165"/>
      <c r="J439" s="165"/>
      <c r="K439" s="165"/>
      <c r="L439" s="165"/>
      <c r="M439" s="165"/>
      <c r="N439" s="165"/>
      <c r="O439" s="165"/>
      <c r="P439" s="165"/>
      <c r="Q439" s="165"/>
      <c r="R439" s="165"/>
      <c r="S439" s="165"/>
      <c r="T439" s="165"/>
      <c r="U439" s="28"/>
      <c r="V439" s="28"/>
      <c r="W439" s="28"/>
      <c r="X439" s="28"/>
      <c r="Y439" s="28"/>
      <c r="Z439" s="28"/>
      <c r="AA439" s="28"/>
      <c r="AB439" s="28"/>
      <c r="AC439" s="28"/>
      <c r="AD439" s="28"/>
      <c r="AE439" s="28"/>
      <c r="AF439" s="28"/>
      <c r="AG439" s="28"/>
      <c r="AH439" s="28"/>
      <c r="AI439" s="28"/>
      <c r="AJ439" s="28"/>
      <c r="AK439" s="28"/>
      <c r="AL439" s="28"/>
      <c r="AM439" s="28"/>
      <c r="AN439" s="28"/>
      <c r="AO439" s="28"/>
      <c r="AP439" s="29"/>
    </row>
    <row r="440" spans="1:42" outlineLevel="1" x14ac:dyDescent="0.25">
      <c r="A440" s="12"/>
      <c r="B440" s="13"/>
      <c r="C440" s="45" t="s">
        <v>574</v>
      </c>
      <c r="D440" s="45"/>
      <c r="E440" s="15" t="s">
        <v>342</v>
      </c>
      <c r="F440" s="179">
        <f>Data!$E$355</f>
        <v>47000</v>
      </c>
      <c r="G440" s="165"/>
      <c r="H440" s="165"/>
      <c r="I440" s="165"/>
      <c r="J440" s="165"/>
      <c r="K440" s="165"/>
      <c r="L440" s="165"/>
      <c r="M440" s="165"/>
      <c r="N440" s="165"/>
      <c r="O440" s="165"/>
      <c r="P440" s="165"/>
      <c r="Q440" s="165"/>
      <c r="R440" s="165"/>
      <c r="S440" s="165"/>
      <c r="T440" s="165"/>
      <c r="U440" s="28"/>
      <c r="V440" s="28"/>
      <c r="W440" s="28"/>
      <c r="X440" s="28"/>
      <c r="Y440" s="28"/>
      <c r="Z440" s="28"/>
      <c r="AA440" s="28"/>
      <c r="AB440" s="28"/>
      <c r="AC440" s="28"/>
      <c r="AD440" s="28"/>
      <c r="AE440" s="28"/>
      <c r="AF440" s="28"/>
      <c r="AG440" s="28"/>
      <c r="AH440" s="28"/>
      <c r="AI440" s="28"/>
      <c r="AJ440" s="28"/>
      <c r="AK440" s="28"/>
      <c r="AL440" s="28"/>
      <c r="AM440" s="28"/>
      <c r="AN440" s="28"/>
      <c r="AO440" s="28"/>
      <c r="AP440" s="29"/>
    </row>
    <row r="441" spans="1:42" outlineLevel="1" x14ac:dyDescent="0.25">
      <c r="A441" s="12"/>
      <c r="B441" s="13"/>
      <c r="C441" s="45" t="s">
        <v>518</v>
      </c>
      <c r="D441" s="45"/>
      <c r="E441" s="15" t="s">
        <v>142</v>
      </c>
      <c r="F441" s="179"/>
      <c r="G441" s="186">
        <f>F439*Data!$G$16/1000</f>
        <v>12789</v>
      </c>
      <c r="H441" s="165"/>
      <c r="I441" s="165"/>
      <c r="J441" s="165"/>
      <c r="K441" s="165"/>
      <c r="L441" s="165"/>
      <c r="M441" s="165"/>
      <c r="N441" s="165"/>
      <c r="O441" s="165"/>
      <c r="P441" s="165"/>
      <c r="Q441" s="165"/>
      <c r="R441" s="165"/>
      <c r="S441" s="165"/>
      <c r="T441" s="165"/>
      <c r="U441" s="28"/>
      <c r="V441" s="28"/>
      <c r="W441" s="28"/>
      <c r="X441" s="28"/>
      <c r="Y441" s="28"/>
      <c r="Z441" s="28"/>
      <c r="AA441" s="28"/>
      <c r="AB441" s="28"/>
      <c r="AC441" s="28"/>
      <c r="AD441" s="28"/>
      <c r="AE441" s="28"/>
      <c r="AF441" s="28"/>
      <c r="AG441" s="28"/>
      <c r="AH441" s="28"/>
      <c r="AI441" s="28"/>
      <c r="AJ441" s="28"/>
      <c r="AK441" s="28"/>
      <c r="AL441" s="28"/>
      <c r="AM441" s="28"/>
      <c r="AN441" s="28"/>
      <c r="AO441" s="28"/>
      <c r="AP441" s="29"/>
    </row>
    <row r="442" spans="1:42" outlineLevel="1" x14ac:dyDescent="0.25">
      <c r="A442" s="12"/>
      <c r="B442" s="13"/>
      <c r="C442" s="45" t="s">
        <v>575</v>
      </c>
      <c r="D442" s="45"/>
      <c r="E442" s="15" t="s">
        <v>142</v>
      </c>
      <c r="F442" s="179"/>
      <c r="G442" s="186"/>
      <c r="H442" s="165">
        <f>IF(SUM(H363:H365)&gt;0,($F$440*Data!G$16*Data!G$9)/1000,0)</f>
        <v>0</v>
      </c>
      <c r="I442" s="165">
        <f>IF(SUM(I363:I365)&gt;0,($F$440*Data!H$16*Data!H$9)/1000,0)</f>
        <v>0</v>
      </c>
      <c r="J442" s="165">
        <f>IF(SUM(J363:J365)&gt;0,($F$440*Data!I$16*Data!I$9)/1000,0)</f>
        <v>0</v>
      </c>
      <c r="K442" s="165">
        <f>IF(SUM(K363:K365)&gt;0,($F$440*Data!J$16*Data!J$9)/1000,0)</f>
        <v>0</v>
      </c>
      <c r="L442" s="165">
        <f>IF(SUM(L363:L365)&gt;0,($F$440*Data!K$16*Data!K$9)/1000,0)</f>
        <v>0</v>
      </c>
      <c r="M442" s="165">
        <f>IF(SUM(M363:M365)&gt;0,($F$440*Data!L$16*Data!L$9)/1000,0)</f>
        <v>0</v>
      </c>
      <c r="N442" s="165">
        <f>IF(SUM(N363:N365)&gt;0,($F$440*Data!M$16*Data!M$9)/1000,0)</f>
        <v>0</v>
      </c>
      <c r="O442" s="165">
        <f>IF(SUM(O363:O365)&gt;0,($F$440*Data!N$16*Data!N$9)/1000,0)</f>
        <v>0</v>
      </c>
      <c r="P442" s="165">
        <f>IF(SUM(P363:P365)&gt;0,($F$440*Data!O$16*Data!O$9)/1000,0)</f>
        <v>0</v>
      </c>
      <c r="Q442" s="165">
        <f>IF(SUM(Q363:Q365)&gt;0,($F$440*Data!P$16*Data!P$9)/1000,0)</f>
        <v>0</v>
      </c>
      <c r="R442" s="165">
        <f>IF(SUM(R363:R365)&gt;0,($F$440*Data!Q$16*Data!Q$9)/1000,0)</f>
        <v>0</v>
      </c>
      <c r="S442" s="165">
        <f>IF(SUM(S363:S365)&gt;0,($F$440*Data!R$16*Data!R$9)/1000,0)</f>
        <v>0</v>
      </c>
      <c r="T442" s="165">
        <f>IF(SUM(T363:T365)&gt;0,($F$440*Data!S$16*Data!S$9)/1000,0)</f>
        <v>0</v>
      </c>
      <c r="U442" s="165">
        <f>IF(SUM(U363:U365)&gt;0,($F$440*Data!T$16*Data!T$9)/1000,0)</f>
        <v>0</v>
      </c>
      <c r="V442" s="165">
        <f>IF(SUM(V363:V365)&gt;0,($F$440*Data!U$16*Data!U$9)/1000,0)</f>
        <v>0</v>
      </c>
      <c r="W442" s="165">
        <f>IF(SUM(W363:W365)&gt;0,($F$440*Data!V$16*Data!V$9)/1000,0)</f>
        <v>0</v>
      </c>
      <c r="X442" s="165">
        <f>IF(SUM(X363:X365)&gt;0,($F$440*Data!W$16*Data!W$9)/1000,0)</f>
        <v>0</v>
      </c>
      <c r="Y442" s="165">
        <f>IF(SUM(Y363:Y365)&gt;0,($F$440*Data!X$16*Data!X$9)/1000,0)</f>
        <v>0</v>
      </c>
      <c r="Z442" s="165">
        <f>IF(SUM(Z363:Z365)&gt;0,($F$440*Data!Y$16*Data!Y$9)/1000,0)</f>
        <v>0</v>
      </c>
      <c r="AA442" s="165">
        <f>IF(SUM(AA363:AA365)&gt;0,($F$440*Data!Z$16*Data!Z$9)/1000,0)</f>
        <v>0</v>
      </c>
      <c r="AB442" s="165">
        <f>IF(SUM(AB363:AB365)&gt;0,($F$440*Data!AA$16*Data!AA$9)/1000,0)</f>
        <v>0</v>
      </c>
      <c r="AC442" s="165">
        <f>IF(SUM(AC363:AC365)&gt;0,($F$440*Data!AB$16*Data!AB$9)/1000,0)</f>
        <v>4970.6682111750333</v>
      </c>
      <c r="AD442" s="165">
        <f>IF(SUM(AD363:AD365)&gt;0,($F$440*Data!AC$16*Data!AC$9)/1000,0)</f>
        <v>0</v>
      </c>
      <c r="AE442" s="165">
        <f>IF(SUM(AE363:AE365)&gt;0,($F$440*Data!AD$16*Data!AD$9)/1000,0)</f>
        <v>0</v>
      </c>
      <c r="AF442" s="165">
        <f>IF(SUM(AF363:AF365)&gt;0,($F$440*Data!AE$16*Data!AE$9)/1000,0)</f>
        <v>0</v>
      </c>
      <c r="AG442" s="165">
        <f>IF(SUM(AG363:AG365)&gt;0,($F$440*Data!AF$16*Data!AF$9)/1000,0)</f>
        <v>0</v>
      </c>
      <c r="AH442" s="165">
        <f>IF(SUM(AH363:AH365)&gt;0,($F$440*Data!AG$16*Data!AG$9)/1000,0)</f>
        <v>0</v>
      </c>
      <c r="AI442" s="165">
        <f>IF(SUM(AI363:AI365)&gt;0,($F$440*Data!AH$16*Data!AH$9)/1000,0)</f>
        <v>0</v>
      </c>
      <c r="AJ442" s="165">
        <f>IF(SUM(AJ363:AJ365)&gt;0,($F$440*Data!AI$16*Data!AI$9)/1000,0)</f>
        <v>0</v>
      </c>
      <c r="AK442" s="165">
        <f>IF(SUM(AK363:AK365)&gt;0,($F$440*Data!AJ$16*Data!AJ$9)/1000,0)</f>
        <v>0</v>
      </c>
      <c r="AL442" s="165">
        <f>IF(SUM(AL363:AL365)&gt;0,($F$440*Data!AK$16*Data!AK$9)/1000,0)</f>
        <v>0</v>
      </c>
      <c r="AM442" s="165">
        <f>IF(SUM(AM363:AM365)&gt;0,($F$440*Data!AL$16*Data!AL$9)/1000,0)</f>
        <v>0</v>
      </c>
      <c r="AN442" s="165">
        <f>IF(SUM(AN363:AN365)&gt;0,($F$440*Data!AM$16*Data!AM$9)/1000,0)</f>
        <v>0</v>
      </c>
      <c r="AO442" s="165">
        <f>IF(SUM(AO363:AO365)&gt;0,($F$440*Data!AN$16*Data!AN$9)/1000,0)</f>
        <v>0</v>
      </c>
      <c r="AP442" s="29"/>
    </row>
    <row r="443" spans="1:42" outlineLevel="1" x14ac:dyDescent="0.25">
      <c r="A443" s="12"/>
      <c r="B443" s="13"/>
      <c r="C443" s="45" t="s">
        <v>518</v>
      </c>
      <c r="D443" s="45"/>
      <c r="E443" s="15" t="s">
        <v>261</v>
      </c>
      <c r="F443" s="179"/>
      <c r="G443" s="184">
        <f>(G441+SUM(H442:AO442))/SUM(H341:AN341)</f>
        <v>1.7249094999198751E-2</v>
      </c>
      <c r="H443" s="165"/>
      <c r="I443" s="165"/>
      <c r="J443" s="165"/>
      <c r="K443" s="165"/>
      <c r="L443" s="165"/>
      <c r="M443" s="165"/>
      <c r="N443" s="165"/>
      <c r="O443" s="165"/>
      <c r="P443" s="165"/>
      <c r="Q443" s="165"/>
      <c r="R443" s="165"/>
      <c r="S443" s="165"/>
      <c r="T443" s="165"/>
      <c r="U443" s="28"/>
      <c r="V443" s="28"/>
      <c r="W443" s="28"/>
      <c r="X443" s="28"/>
      <c r="Y443" s="28"/>
      <c r="Z443" s="28"/>
      <c r="AA443" s="28"/>
      <c r="AB443" s="28"/>
      <c r="AC443" s="28"/>
      <c r="AD443" s="28"/>
      <c r="AE443" s="28"/>
      <c r="AF443" s="28"/>
      <c r="AG443" s="28"/>
      <c r="AH443" s="28"/>
      <c r="AI443" s="28"/>
      <c r="AJ443" s="28"/>
      <c r="AK443" s="28"/>
      <c r="AL443" s="28"/>
      <c r="AM443" s="28"/>
      <c r="AN443" s="28"/>
      <c r="AO443" s="28"/>
      <c r="AP443" s="29"/>
    </row>
    <row r="444" spans="1:42" outlineLevel="1" x14ac:dyDescent="0.25">
      <c r="A444" s="12"/>
      <c r="B444" s="13"/>
      <c r="C444" s="45"/>
      <c r="D444" s="45"/>
      <c r="E444" s="15"/>
      <c r="F444" s="179"/>
      <c r="G444" s="165"/>
      <c r="H444" s="165"/>
      <c r="I444" s="165"/>
      <c r="J444" s="165"/>
      <c r="K444" s="165"/>
      <c r="L444" s="165"/>
      <c r="M444" s="165"/>
      <c r="N444" s="165"/>
      <c r="O444" s="165"/>
      <c r="P444" s="165"/>
      <c r="Q444" s="165"/>
      <c r="R444" s="165"/>
      <c r="S444" s="165"/>
      <c r="T444" s="165"/>
      <c r="U444" s="28"/>
      <c r="V444" s="28"/>
      <c r="W444" s="28"/>
      <c r="X444" s="28"/>
      <c r="Y444" s="28"/>
      <c r="Z444" s="28"/>
      <c r="AA444" s="28"/>
      <c r="AB444" s="28"/>
      <c r="AC444" s="28"/>
      <c r="AD444" s="28"/>
      <c r="AE444" s="28"/>
      <c r="AF444" s="28"/>
      <c r="AG444" s="28"/>
      <c r="AH444" s="28"/>
      <c r="AI444" s="28"/>
      <c r="AJ444" s="28"/>
      <c r="AK444" s="28"/>
      <c r="AL444" s="28"/>
      <c r="AM444" s="28"/>
      <c r="AN444" s="28"/>
      <c r="AO444" s="28"/>
      <c r="AP444" s="29"/>
    </row>
    <row r="445" spans="1:42" outlineLevel="1" x14ac:dyDescent="0.25">
      <c r="A445" s="12"/>
      <c r="B445" s="13"/>
      <c r="C445" s="20" t="s">
        <v>483</v>
      </c>
      <c r="D445" s="19"/>
      <c r="E445" s="15"/>
      <c r="F445" s="16"/>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7"/>
    </row>
    <row r="446" spans="1:42" outlineLevel="1" x14ac:dyDescent="0.25">
      <c r="A446" s="12"/>
      <c r="B446" s="13"/>
      <c r="C446" s="19" t="s">
        <v>28</v>
      </c>
      <c r="D446" s="19"/>
      <c r="E446" s="15"/>
      <c r="F446" s="16"/>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7"/>
    </row>
    <row r="447" spans="1:42" outlineLevel="1" x14ac:dyDescent="0.25">
      <c r="A447" s="12"/>
      <c r="B447" s="13"/>
      <c r="C447" s="45" t="s">
        <v>520</v>
      </c>
      <c r="D447" s="14"/>
      <c r="E447" s="15" t="s">
        <v>521</v>
      </c>
      <c r="F447" s="16"/>
      <c r="G447" s="14"/>
      <c r="H447" s="141"/>
      <c r="I447" s="141">
        <f t="shared" ref="I447:AO447" si="113">I341</f>
        <v>0</v>
      </c>
      <c r="J447" s="141">
        <f t="shared" si="113"/>
        <v>0</v>
      </c>
      <c r="K447" s="141">
        <f t="shared" si="113"/>
        <v>0</v>
      </c>
      <c r="L447" s="141">
        <f t="shared" si="113"/>
        <v>0</v>
      </c>
      <c r="M447" s="141">
        <f t="shared" si="113"/>
        <v>0</v>
      </c>
      <c r="N447" s="141">
        <f t="shared" si="113"/>
        <v>0</v>
      </c>
      <c r="O447" s="141">
        <f t="shared" si="113"/>
        <v>0</v>
      </c>
      <c r="P447" s="141">
        <f t="shared" si="113"/>
        <v>0</v>
      </c>
      <c r="Q447" s="141">
        <f t="shared" si="113"/>
        <v>0</v>
      </c>
      <c r="R447" s="141">
        <f t="shared" si="113"/>
        <v>0</v>
      </c>
      <c r="S447" s="141">
        <f t="shared" si="113"/>
        <v>0</v>
      </c>
      <c r="T447" s="141">
        <f t="shared" si="113"/>
        <v>0</v>
      </c>
      <c r="U447" s="141">
        <f t="shared" si="113"/>
        <v>51480</v>
      </c>
      <c r="V447" s="141">
        <f t="shared" si="113"/>
        <v>51480</v>
      </c>
      <c r="W447" s="141">
        <f t="shared" si="113"/>
        <v>51480</v>
      </c>
      <c r="X447" s="141">
        <f t="shared" si="113"/>
        <v>51480</v>
      </c>
      <c r="Y447" s="141">
        <f t="shared" si="113"/>
        <v>51480</v>
      </c>
      <c r="Z447" s="141">
        <f t="shared" si="113"/>
        <v>51480</v>
      </c>
      <c r="AA447" s="141">
        <f t="shared" si="113"/>
        <v>51480</v>
      </c>
      <c r="AB447" s="141">
        <f t="shared" si="113"/>
        <v>51480</v>
      </c>
      <c r="AC447" s="141">
        <f t="shared" si="113"/>
        <v>51480</v>
      </c>
      <c r="AD447" s="141">
        <f t="shared" si="113"/>
        <v>51480</v>
      </c>
      <c r="AE447" s="141">
        <f t="shared" si="113"/>
        <v>51480</v>
      </c>
      <c r="AF447" s="141">
        <f t="shared" si="113"/>
        <v>51480</v>
      </c>
      <c r="AG447" s="141">
        <f t="shared" si="113"/>
        <v>51480</v>
      </c>
      <c r="AH447" s="141">
        <f t="shared" si="113"/>
        <v>51480</v>
      </c>
      <c r="AI447" s="141">
        <f t="shared" si="113"/>
        <v>51480</v>
      </c>
      <c r="AJ447" s="141">
        <f t="shared" si="113"/>
        <v>51480</v>
      </c>
      <c r="AK447" s="141">
        <f t="shared" si="113"/>
        <v>51480</v>
      </c>
      <c r="AL447" s="141">
        <f t="shared" si="113"/>
        <v>51480</v>
      </c>
      <c r="AM447" s="141">
        <f t="shared" si="113"/>
        <v>51480</v>
      </c>
      <c r="AN447" s="141">
        <f t="shared" si="113"/>
        <v>51480</v>
      </c>
      <c r="AO447" s="141">
        <f t="shared" si="113"/>
        <v>0</v>
      </c>
      <c r="AP447" s="14"/>
    </row>
    <row r="448" spans="1:42" outlineLevel="1" x14ac:dyDescent="0.25">
      <c r="A448" s="12"/>
      <c r="B448" s="13"/>
      <c r="C448" s="20" t="s">
        <v>483</v>
      </c>
      <c r="D448" s="14"/>
      <c r="E448" s="15"/>
      <c r="F448" s="16"/>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159"/>
      <c r="AG448" s="14"/>
      <c r="AH448" s="14"/>
      <c r="AI448" s="14"/>
      <c r="AJ448" s="14"/>
      <c r="AK448" s="14"/>
      <c r="AL448" s="14"/>
      <c r="AM448" s="14"/>
      <c r="AN448" s="14"/>
      <c r="AO448" s="14"/>
      <c r="AP448" s="14"/>
    </row>
    <row r="449" spans="1:42" ht="14.25" customHeight="1" outlineLevel="1" x14ac:dyDescent="0.25">
      <c r="A449" s="54"/>
      <c r="B449" s="13"/>
      <c r="C449" s="45" t="s">
        <v>205</v>
      </c>
      <c r="D449" s="14"/>
      <c r="E449" s="70" t="s">
        <v>352</v>
      </c>
      <c r="F449" s="201">
        <f>Data!E525/1000</f>
        <v>0</v>
      </c>
      <c r="G449" s="56"/>
      <c r="H449" s="56"/>
      <c r="I449" s="56">
        <f>I$447*$F$449</f>
        <v>0</v>
      </c>
      <c r="J449" s="56">
        <f t="shared" ref="J449:AO449" si="114">J$447*$F$449</f>
        <v>0</v>
      </c>
      <c r="K449" s="56">
        <f t="shared" si="114"/>
        <v>0</v>
      </c>
      <c r="L449" s="56">
        <f t="shared" si="114"/>
        <v>0</v>
      </c>
      <c r="M449" s="56">
        <f t="shared" si="114"/>
        <v>0</v>
      </c>
      <c r="N449" s="56">
        <f t="shared" si="114"/>
        <v>0</v>
      </c>
      <c r="O449" s="56">
        <f t="shared" si="114"/>
        <v>0</v>
      </c>
      <c r="P449" s="56">
        <f t="shared" si="114"/>
        <v>0</v>
      </c>
      <c r="Q449" s="56">
        <f t="shared" si="114"/>
        <v>0</v>
      </c>
      <c r="R449" s="56">
        <f t="shared" si="114"/>
        <v>0</v>
      </c>
      <c r="S449" s="56">
        <f t="shared" si="114"/>
        <v>0</v>
      </c>
      <c r="T449" s="56">
        <f t="shared" si="114"/>
        <v>0</v>
      </c>
      <c r="U449" s="56">
        <f t="shared" si="114"/>
        <v>0</v>
      </c>
      <c r="V449" s="56">
        <f t="shared" si="114"/>
        <v>0</v>
      </c>
      <c r="W449" s="56">
        <f t="shared" si="114"/>
        <v>0</v>
      </c>
      <c r="X449" s="56">
        <f t="shared" si="114"/>
        <v>0</v>
      </c>
      <c r="Y449" s="56">
        <f t="shared" si="114"/>
        <v>0</v>
      </c>
      <c r="Z449" s="56">
        <f t="shared" si="114"/>
        <v>0</v>
      </c>
      <c r="AA449" s="56">
        <f t="shared" si="114"/>
        <v>0</v>
      </c>
      <c r="AB449" s="56">
        <f t="shared" si="114"/>
        <v>0</v>
      </c>
      <c r="AC449" s="56">
        <f t="shared" si="114"/>
        <v>0</v>
      </c>
      <c r="AD449" s="56">
        <f t="shared" si="114"/>
        <v>0</v>
      </c>
      <c r="AE449" s="56">
        <f t="shared" si="114"/>
        <v>0</v>
      </c>
      <c r="AF449" s="56">
        <f t="shared" si="114"/>
        <v>0</v>
      </c>
      <c r="AG449" s="56">
        <f t="shared" si="114"/>
        <v>0</v>
      </c>
      <c r="AH449" s="56">
        <f t="shared" si="114"/>
        <v>0</v>
      </c>
      <c r="AI449" s="56">
        <f t="shared" si="114"/>
        <v>0</v>
      </c>
      <c r="AJ449" s="56">
        <f t="shared" si="114"/>
        <v>0</v>
      </c>
      <c r="AK449" s="56">
        <f t="shared" si="114"/>
        <v>0</v>
      </c>
      <c r="AL449" s="56">
        <f t="shared" si="114"/>
        <v>0</v>
      </c>
      <c r="AM449" s="56">
        <f t="shared" si="114"/>
        <v>0</v>
      </c>
      <c r="AN449" s="56">
        <f t="shared" si="114"/>
        <v>0</v>
      </c>
      <c r="AO449" s="56">
        <f t="shared" si="114"/>
        <v>0</v>
      </c>
      <c r="AP449" s="29"/>
    </row>
    <row r="450" spans="1:42" outlineLevel="1" x14ac:dyDescent="0.25">
      <c r="A450" s="54"/>
      <c r="B450" s="13"/>
      <c r="C450" s="45" t="s">
        <v>484</v>
      </c>
      <c r="D450" s="14"/>
      <c r="E450" s="70" t="s">
        <v>352</v>
      </c>
      <c r="F450" s="201">
        <f>Data!E526</f>
        <v>0.17887155708091804</v>
      </c>
      <c r="G450" s="56"/>
      <c r="H450" s="56"/>
      <c r="I450" s="56">
        <f>I$447*$F$450</f>
        <v>0</v>
      </c>
      <c r="J450" s="56">
        <f t="shared" ref="J450:AO450" si="115">J$447*$F$450</f>
        <v>0</v>
      </c>
      <c r="K450" s="56">
        <f t="shared" si="115"/>
        <v>0</v>
      </c>
      <c r="L450" s="56">
        <f t="shared" si="115"/>
        <v>0</v>
      </c>
      <c r="M450" s="56">
        <f t="shared" si="115"/>
        <v>0</v>
      </c>
      <c r="N450" s="56">
        <f t="shared" si="115"/>
        <v>0</v>
      </c>
      <c r="O450" s="56">
        <f t="shared" si="115"/>
        <v>0</v>
      </c>
      <c r="P450" s="56">
        <f t="shared" si="115"/>
        <v>0</v>
      </c>
      <c r="Q450" s="56">
        <f t="shared" si="115"/>
        <v>0</v>
      </c>
      <c r="R450" s="56">
        <f t="shared" si="115"/>
        <v>0</v>
      </c>
      <c r="S450" s="56">
        <f t="shared" si="115"/>
        <v>0</v>
      </c>
      <c r="T450" s="56">
        <f t="shared" si="115"/>
        <v>0</v>
      </c>
      <c r="U450" s="56">
        <f t="shared" si="115"/>
        <v>9208.3077585256597</v>
      </c>
      <c r="V450" s="56">
        <f t="shared" si="115"/>
        <v>9208.3077585256597</v>
      </c>
      <c r="W450" s="56">
        <f t="shared" si="115"/>
        <v>9208.3077585256597</v>
      </c>
      <c r="X450" s="56">
        <f t="shared" si="115"/>
        <v>9208.3077585256597</v>
      </c>
      <c r="Y450" s="56">
        <f t="shared" si="115"/>
        <v>9208.3077585256597</v>
      </c>
      <c r="Z450" s="56">
        <f t="shared" si="115"/>
        <v>9208.3077585256597</v>
      </c>
      <c r="AA450" s="56">
        <f t="shared" si="115"/>
        <v>9208.3077585256597</v>
      </c>
      <c r="AB450" s="56">
        <f t="shared" si="115"/>
        <v>9208.3077585256597</v>
      </c>
      <c r="AC450" s="56">
        <f t="shared" si="115"/>
        <v>9208.3077585256597</v>
      </c>
      <c r="AD450" s="56">
        <f t="shared" si="115"/>
        <v>9208.3077585256597</v>
      </c>
      <c r="AE450" s="56">
        <f t="shared" si="115"/>
        <v>9208.3077585256597</v>
      </c>
      <c r="AF450" s="56">
        <f t="shared" si="115"/>
        <v>9208.3077585256597</v>
      </c>
      <c r="AG450" s="56">
        <f t="shared" si="115"/>
        <v>9208.3077585256597</v>
      </c>
      <c r="AH450" s="56">
        <f t="shared" si="115"/>
        <v>9208.3077585256597</v>
      </c>
      <c r="AI450" s="56">
        <f t="shared" si="115"/>
        <v>9208.3077585256597</v>
      </c>
      <c r="AJ450" s="56">
        <f t="shared" si="115"/>
        <v>9208.3077585256597</v>
      </c>
      <c r="AK450" s="56">
        <f t="shared" si="115"/>
        <v>9208.3077585256597</v>
      </c>
      <c r="AL450" s="56">
        <f t="shared" si="115"/>
        <v>9208.3077585256597</v>
      </c>
      <c r="AM450" s="56">
        <f t="shared" si="115"/>
        <v>9208.3077585256597</v>
      </c>
      <c r="AN450" s="56">
        <f t="shared" si="115"/>
        <v>9208.3077585256597</v>
      </c>
      <c r="AO450" s="56">
        <f t="shared" si="115"/>
        <v>0</v>
      </c>
      <c r="AP450" s="29"/>
    </row>
    <row r="451" spans="1:42" outlineLevel="1" x14ac:dyDescent="0.25">
      <c r="A451" s="54"/>
      <c r="B451" s="13"/>
      <c r="C451" s="45" t="s">
        <v>285</v>
      </c>
      <c r="D451" s="14"/>
      <c r="E451" s="70" t="s">
        <v>352</v>
      </c>
      <c r="F451" s="201">
        <f>Data!E527/1000</f>
        <v>0</v>
      </c>
      <c r="G451" s="56"/>
      <c r="H451" s="56"/>
      <c r="I451" s="56">
        <f>I$447*$F$451</f>
        <v>0</v>
      </c>
      <c r="J451" s="56">
        <f t="shared" ref="J451:AO451" si="116">J$447*$F$451</f>
        <v>0</v>
      </c>
      <c r="K451" s="56">
        <f t="shared" si="116"/>
        <v>0</v>
      </c>
      <c r="L451" s="56">
        <f t="shared" si="116"/>
        <v>0</v>
      </c>
      <c r="M451" s="56">
        <f t="shared" si="116"/>
        <v>0</v>
      </c>
      <c r="N451" s="56">
        <f t="shared" si="116"/>
        <v>0</v>
      </c>
      <c r="O451" s="56">
        <f t="shared" si="116"/>
        <v>0</v>
      </c>
      <c r="P451" s="56">
        <f t="shared" si="116"/>
        <v>0</v>
      </c>
      <c r="Q451" s="56">
        <f t="shared" si="116"/>
        <v>0</v>
      </c>
      <c r="R451" s="56">
        <f t="shared" si="116"/>
        <v>0</v>
      </c>
      <c r="S451" s="56">
        <f t="shared" si="116"/>
        <v>0</v>
      </c>
      <c r="T451" s="56">
        <f t="shared" si="116"/>
        <v>0</v>
      </c>
      <c r="U451" s="56">
        <f t="shared" si="116"/>
        <v>0</v>
      </c>
      <c r="V451" s="56">
        <f t="shared" si="116"/>
        <v>0</v>
      </c>
      <c r="W451" s="56">
        <f t="shared" si="116"/>
        <v>0</v>
      </c>
      <c r="X451" s="56">
        <f t="shared" si="116"/>
        <v>0</v>
      </c>
      <c r="Y451" s="56">
        <f t="shared" si="116"/>
        <v>0</v>
      </c>
      <c r="Z451" s="56">
        <f t="shared" si="116"/>
        <v>0</v>
      </c>
      <c r="AA451" s="56">
        <f t="shared" si="116"/>
        <v>0</v>
      </c>
      <c r="AB451" s="56">
        <f t="shared" si="116"/>
        <v>0</v>
      </c>
      <c r="AC451" s="56">
        <f t="shared" si="116"/>
        <v>0</v>
      </c>
      <c r="AD451" s="56">
        <f t="shared" si="116"/>
        <v>0</v>
      </c>
      <c r="AE451" s="56">
        <f t="shared" si="116"/>
        <v>0</v>
      </c>
      <c r="AF451" s="56">
        <f t="shared" si="116"/>
        <v>0</v>
      </c>
      <c r="AG451" s="56">
        <f t="shared" si="116"/>
        <v>0</v>
      </c>
      <c r="AH451" s="56">
        <f t="shared" si="116"/>
        <v>0</v>
      </c>
      <c r="AI451" s="56">
        <f t="shared" si="116"/>
        <v>0</v>
      </c>
      <c r="AJ451" s="56">
        <f t="shared" si="116"/>
        <v>0</v>
      </c>
      <c r="AK451" s="56">
        <f t="shared" si="116"/>
        <v>0</v>
      </c>
      <c r="AL451" s="56">
        <f t="shared" si="116"/>
        <v>0</v>
      </c>
      <c r="AM451" s="56">
        <f t="shared" si="116"/>
        <v>0</v>
      </c>
      <c r="AN451" s="56">
        <f t="shared" si="116"/>
        <v>0</v>
      </c>
      <c r="AO451" s="56">
        <f t="shared" si="116"/>
        <v>0</v>
      </c>
      <c r="AP451" s="29"/>
    </row>
    <row r="452" spans="1:42" outlineLevel="1" x14ac:dyDescent="0.25">
      <c r="A452" s="54"/>
      <c r="B452" s="13"/>
      <c r="C452" s="45" t="s">
        <v>220</v>
      </c>
      <c r="D452" s="14"/>
      <c r="E452" s="70" t="s">
        <v>352</v>
      </c>
      <c r="F452" s="201">
        <f>Data!E528/1000</f>
        <v>0</v>
      </c>
      <c r="G452" s="56"/>
      <c r="H452" s="56"/>
      <c r="I452" s="56">
        <f>I$447*$F$452</f>
        <v>0</v>
      </c>
      <c r="J452" s="56">
        <f t="shared" ref="J452:AO452" si="117">J$447*$F$452</f>
        <v>0</v>
      </c>
      <c r="K452" s="56">
        <f t="shared" si="117"/>
        <v>0</v>
      </c>
      <c r="L452" s="56">
        <f t="shared" si="117"/>
        <v>0</v>
      </c>
      <c r="M452" s="56">
        <f t="shared" si="117"/>
        <v>0</v>
      </c>
      <c r="N452" s="56">
        <f t="shared" si="117"/>
        <v>0</v>
      </c>
      <c r="O452" s="56">
        <f t="shared" si="117"/>
        <v>0</v>
      </c>
      <c r="P452" s="56">
        <f t="shared" si="117"/>
        <v>0</v>
      </c>
      <c r="Q452" s="56">
        <f t="shared" si="117"/>
        <v>0</v>
      </c>
      <c r="R452" s="56">
        <f t="shared" si="117"/>
        <v>0</v>
      </c>
      <c r="S452" s="56">
        <f t="shared" si="117"/>
        <v>0</v>
      </c>
      <c r="T452" s="56">
        <f t="shared" si="117"/>
        <v>0</v>
      </c>
      <c r="U452" s="56">
        <f t="shared" si="117"/>
        <v>0</v>
      </c>
      <c r="V452" s="56">
        <f t="shared" si="117"/>
        <v>0</v>
      </c>
      <c r="W452" s="56">
        <f t="shared" si="117"/>
        <v>0</v>
      </c>
      <c r="X452" s="56">
        <f t="shared" si="117"/>
        <v>0</v>
      </c>
      <c r="Y452" s="56">
        <f t="shared" si="117"/>
        <v>0</v>
      </c>
      <c r="Z452" s="56">
        <f t="shared" si="117"/>
        <v>0</v>
      </c>
      <c r="AA452" s="56">
        <f t="shared" si="117"/>
        <v>0</v>
      </c>
      <c r="AB452" s="56">
        <f t="shared" si="117"/>
        <v>0</v>
      </c>
      <c r="AC452" s="56">
        <f t="shared" si="117"/>
        <v>0</v>
      </c>
      <c r="AD452" s="56">
        <f t="shared" si="117"/>
        <v>0</v>
      </c>
      <c r="AE452" s="56">
        <f t="shared" si="117"/>
        <v>0</v>
      </c>
      <c r="AF452" s="56">
        <f t="shared" si="117"/>
        <v>0</v>
      </c>
      <c r="AG452" s="56">
        <f t="shared" si="117"/>
        <v>0</v>
      </c>
      <c r="AH452" s="56">
        <f t="shared" si="117"/>
        <v>0</v>
      </c>
      <c r="AI452" s="56">
        <f t="shared" si="117"/>
        <v>0</v>
      </c>
      <c r="AJ452" s="56">
        <f t="shared" si="117"/>
        <v>0</v>
      </c>
      <c r="AK452" s="56">
        <f t="shared" si="117"/>
        <v>0</v>
      </c>
      <c r="AL452" s="56">
        <f t="shared" si="117"/>
        <v>0</v>
      </c>
      <c r="AM452" s="56">
        <f t="shared" si="117"/>
        <v>0</v>
      </c>
      <c r="AN452" s="56">
        <f t="shared" si="117"/>
        <v>0</v>
      </c>
      <c r="AO452" s="56">
        <f t="shared" si="117"/>
        <v>0</v>
      </c>
      <c r="AP452" s="29"/>
    </row>
    <row r="453" spans="1:42" outlineLevel="1" x14ac:dyDescent="0.25">
      <c r="A453" s="54"/>
      <c r="B453" s="13"/>
      <c r="C453" s="45" t="s">
        <v>212</v>
      </c>
      <c r="D453" s="14"/>
      <c r="E453" s="70" t="s">
        <v>352</v>
      </c>
      <c r="F453" s="201">
        <f>Data!E529/1000</f>
        <v>0</v>
      </c>
      <c r="G453" s="56"/>
      <c r="H453" s="56"/>
      <c r="I453" s="56">
        <f>I$447*$F$453</f>
        <v>0</v>
      </c>
      <c r="J453" s="56">
        <f t="shared" ref="J453:AO453" si="118">J$447*$F$453</f>
        <v>0</v>
      </c>
      <c r="K453" s="56">
        <f t="shared" si="118"/>
        <v>0</v>
      </c>
      <c r="L453" s="56">
        <f t="shared" si="118"/>
        <v>0</v>
      </c>
      <c r="M453" s="56">
        <f t="shared" si="118"/>
        <v>0</v>
      </c>
      <c r="N453" s="56">
        <f t="shared" si="118"/>
        <v>0</v>
      </c>
      <c r="O453" s="56">
        <f t="shared" si="118"/>
        <v>0</v>
      </c>
      <c r="P453" s="56">
        <f t="shared" si="118"/>
        <v>0</v>
      </c>
      <c r="Q453" s="56">
        <f t="shared" si="118"/>
        <v>0</v>
      </c>
      <c r="R453" s="56">
        <f t="shared" si="118"/>
        <v>0</v>
      </c>
      <c r="S453" s="56">
        <f t="shared" si="118"/>
        <v>0</v>
      </c>
      <c r="T453" s="56">
        <f t="shared" si="118"/>
        <v>0</v>
      </c>
      <c r="U453" s="56">
        <f t="shared" si="118"/>
        <v>0</v>
      </c>
      <c r="V453" s="56">
        <f t="shared" si="118"/>
        <v>0</v>
      </c>
      <c r="W453" s="56">
        <f t="shared" si="118"/>
        <v>0</v>
      </c>
      <c r="X453" s="56">
        <f t="shared" si="118"/>
        <v>0</v>
      </c>
      <c r="Y453" s="56">
        <f t="shared" si="118"/>
        <v>0</v>
      </c>
      <c r="Z453" s="56">
        <f t="shared" si="118"/>
        <v>0</v>
      </c>
      <c r="AA453" s="56">
        <f t="shared" si="118"/>
        <v>0</v>
      </c>
      <c r="AB453" s="56">
        <f t="shared" si="118"/>
        <v>0</v>
      </c>
      <c r="AC453" s="56">
        <f t="shared" si="118"/>
        <v>0</v>
      </c>
      <c r="AD453" s="56">
        <f t="shared" si="118"/>
        <v>0</v>
      </c>
      <c r="AE453" s="56">
        <f t="shared" si="118"/>
        <v>0</v>
      </c>
      <c r="AF453" s="56">
        <f t="shared" si="118"/>
        <v>0</v>
      </c>
      <c r="AG453" s="56">
        <f t="shared" si="118"/>
        <v>0</v>
      </c>
      <c r="AH453" s="56">
        <f t="shared" si="118"/>
        <v>0</v>
      </c>
      <c r="AI453" s="56">
        <f t="shared" si="118"/>
        <v>0</v>
      </c>
      <c r="AJ453" s="56">
        <f t="shared" si="118"/>
        <v>0</v>
      </c>
      <c r="AK453" s="56">
        <f t="shared" si="118"/>
        <v>0</v>
      </c>
      <c r="AL453" s="56">
        <f t="shared" si="118"/>
        <v>0</v>
      </c>
      <c r="AM453" s="56">
        <f t="shared" si="118"/>
        <v>0</v>
      </c>
      <c r="AN453" s="56">
        <f t="shared" si="118"/>
        <v>0</v>
      </c>
      <c r="AO453" s="56">
        <f t="shared" si="118"/>
        <v>0</v>
      </c>
      <c r="AP453" s="29"/>
    </row>
    <row r="454" spans="1:42" outlineLevel="1" x14ac:dyDescent="0.25">
      <c r="A454" s="54"/>
      <c r="B454" s="13"/>
      <c r="C454" s="45" t="s">
        <v>485</v>
      </c>
      <c r="D454" s="14"/>
      <c r="E454" s="70" t="s">
        <v>352</v>
      </c>
      <c r="F454" s="201">
        <f>Data!E530/1000</f>
        <v>0</v>
      </c>
      <c r="G454" s="56"/>
      <c r="H454" s="56"/>
      <c r="I454" s="56">
        <f>I$447*$F$454</f>
        <v>0</v>
      </c>
      <c r="J454" s="56">
        <f t="shared" ref="J454:AO454" si="119">J$447*$F$454</f>
        <v>0</v>
      </c>
      <c r="K454" s="56">
        <f t="shared" si="119"/>
        <v>0</v>
      </c>
      <c r="L454" s="56">
        <f t="shared" si="119"/>
        <v>0</v>
      </c>
      <c r="M454" s="56">
        <f t="shared" si="119"/>
        <v>0</v>
      </c>
      <c r="N454" s="56">
        <f t="shared" si="119"/>
        <v>0</v>
      </c>
      <c r="O454" s="56">
        <f t="shared" si="119"/>
        <v>0</v>
      </c>
      <c r="P454" s="56">
        <f t="shared" si="119"/>
        <v>0</v>
      </c>
      <c r="Q454" s="56">
        <f t="shared" si="119"/>
        <v>0</v>
      </c>
      <c r="R454" s="56">
        <f t="shared" si="119"/>
        <v>0</v>
      </c>
      <c r="S454" s="56">
        <f t="shared" si="119"/>
        <v>0</v>
      </c>
      <c r="T454" s="56">
        <f t="shared" si="119"/>
        <v>0</v>
      </c>
      <c r="U454" s="56">
        <f t="shared" si="119"/>
        <v>0</v>
      </c>
      <c r="V454" s="56">
        <f t="shared" si="119"/>
        <v>0</v>
      </c>
      <c r="W454" s="56">
        <f t="shared" si="119"/>
        <v>0</v>
      </c>
      <c r="X454" s="56">
        <f t="shared" si="119"/>
        <v>0</v>
      </c>
      <c r="Y454" s="56">
        <f t="shared" si="119"/>
        <v>0</v>
      </c>
      <c r="Z454" s="56">
        <f t="shared" si="119"/>
        <v>0</v>
      </c>
      <c r="AA454" s="56">
        <f t="shared" si="119"/>
        <v>0</v>
      </c>
      <c r="AB454" s="56">
        <f t="shared" si="119"/>
        <v>0</v>
      </c>
      <c r="AC454" s="56">
        <f t="shared" si="119"/>
        <v>0</v>
      </c>
      <c r="AD454" s="56">
        <f t="shared" si="119"/>
        <v>0</v>
      </c>
      <c r="AE454" s="56">
        <f t="shared" si="119"/>
        <v>0</v>
      </c>
      <c r="AF454" s="56">
        <f t="shared" si="119"/>
        <v>0</v>
      </c>
      <c r="AG454" s="56">
        <f t="shared" si="119"/>
        <v>0</v>
      </c>
      <c r="AH454" s="56">
        <f t="shared" si="119"/>
        <v>0</v>
      </c>
      <c r="AI454" s="56">
        <f t="shared" si="119"/>
        <v>0</v>
      </c>
      <c r="AJ454" s="56">
        <f t="shared" si="119"/>
        <v>0</v>
      </c>
      <c r="AK454" s="56">
        <f t="shared" si="119"/>
        <v>0</v>
      </c>
      <c r="AL454" s="56">
        <f t="shared" si="119"/>
        <v>0</v>
      </c>
      <c r="AM454" s="56">
        <f t="shared" si="119"/>
        <v>0</v>
      </c>
      <c r="AN454" s="56">
        <f t="shared" si="119"/>
        <v>0</v>
      </c>
      <c r="AO454" s="56">
        <f t="shared" si="119"/>
        <v>0</v>
      </c>
      <c r="AP454" s="29"/>
    </row>
    <row r="455" spans="1:42" outlineLevel="1" x14ac:dyDescent="0.25">
      <c r="A455" s="54"/>
      <c r="B455" s="13"/>
      <c r="C455" s="45" t="s">
        <v>214</v>
      </c>
      <c r="D455" s="14"/>
      <c r="E455" s="70" t="s">
        <v>352</v>
      </c>
      <c r="F455" s="201">
        <f>Data!E531/1000</f>
        <v>7.7953456755433772E-5</v>
      </c>
      <c r="G455" s="56"/>
      <c r="H455" s="56"/>
      <c r="I455" s="56">
        <f>I$447*$F$455</f>
        <v>0</v>
      </c>
      <c r="J455" s="56">
        <f t="shared" ref="J455:AO455" si="120">J$447*$F$455</f>
        <v>0</v>
      </c>
      <c r="K455" s="56">
        <f t="shared" si="120"/>
        <v>0</v>
      </c>
      <c r="L455" s="56">
        <f t="shared" si="120"/>
        <v>0</v>
      </c>
      <c r="M455" s="56">
        <f t="shared" si="120"/>
        <v>0</v>
      </c>
      <c r="N455" s="56">
        <f t="shared" si="120"/>
        <v>0</v>
      </c>
      <c r="O455" s="56">
        <f t="shared" si="120"/>
        <v>0</v>
      </c>
      <c r="P455" s="56">
        <f t="shared" si="120"/>
        <v>0</v>
      </c>
      <c r="Q455" s="56">
        <f t="shared" si="120"/>
        <v>0</v>
      </c>
      <c r="R455" s="56">
        <f t="shared" si="120"/>
        <v>0</v>
      </c>
      <c r="S455" s="56">
        <f t="shared" si="120"/>
        <v>0</v>
      </c>
      <c r="T455" s="56">
        <f t="shared" si="120"/>
        <v>0</v>
      </c>
      <c r="U455" s="56">
        <f t="shared" si="120"/>
        <v>4.0130439537697304</v>
      </c>
      <c r="V455" s="56">
        <f t="shared" si="120"/>
        <v>4.0130439537697304</v>
      </c>
      <c r="W455" s="56">
        <f t="shared" si="120"/>
        <v>4.0130439537697304</v>
      </c>
      <c r="X455" s="56">
        <f t="shared" si="120"/>
        <v>4.0130439537697304</v>
      </c>
      <c r="Y455" s="56">
        <f t="shared" si="120"/>
        <v>4.0130439537697304</v>
      </c>
      <c r="Z455" s="56">
        <f t="shared" si="120"/>
        <v>4.0130439537697304</v>
      </c>
      <c r="AA455" s="56">
        <f t="shared" si="120"/>
        <v>4.0130439537697304</v>
      </c>
      <c r="AB455" s="56">
        <f t="shared" si="120"/>
        <v>4.0130439537697304</v>
      </c>
      <c r="AC455" s="56">
        <f t="shared" si="120"/>
        <v>4.0130439537697304</v>
      </c>
      <c r="AD455" s="56">
        <f t="shared" si="120"/>
        <v>4.0130439537697304</v>
      </c>
      <c r="AE455" s="56">
        <f t="shared" si="120"/>
        <v>4.0130439537697304</v>
      </c>
      <c r="AF455" s="56">
        <f t="shared" si="120"/>
        <v>4.0130439537697304</v>
      </c>
      <c r="AG455" s="56">
        <f t="shared" si="120"/>
        <v>4.0130439537697304</v>
      </c>
      <c r="AH455" s="56">
        <f t="shared" si="120"/>
        <v>4.0130439537697304</v>
      </c>
      <c r="AI455" s="56">
        <f t="shared" si="120"/>
        <v>4.0130439537697304</v>
      </c>
      <c r="AJ455" s="56">
        <f t="shared" si="120"/>
        <v>4.0130439537697304</v>
      </c>
      <c r="AK455" s="56">
        <f t="shared" si="120"/>
        <v>4.0130439537697304</v>
      </c>
      <c r="AL455" s="56">
        <f t="shared" si="120"/>
        <v>4.0130439537697304</v>
      </c>
      <c r="AM455" s="56">
        <f t="shared" si="120"/>
        <v>4.0130439537697304</v>
      </c>
      <c r="AN455" s="56">
        <f t="shared" si="120"/>
        <v>4.0130439537697304</v>
      </c>
      <c r="AO455" s="56">
        <f t="shared" si="120"/>
        <v>0</v>
      </c>
      <c r="AP455" s="29"/>
    </row>
    <row r="456" spans="1:42" outlineLevel="1" x14ac:dyDescent="0.25">
      <c r="A456" s="12"/>
      <c r="B456" s="13"/>
      <c r="C456" s="14"/>
      <c r="D456" s="14"/>
      <c r="E456" s="15"/>
      <c r="F456" s="16"/>
      <c r="G456" s="159"/>
      <c r="H456" s="159"/>
      <c r="I456" s="56"/>
      <c r="J456" s="56"/>
      <c r="K456" s="56"/>
      <c r="L456" s="56"/>
      <c r="M456" s="56"/>
      <c r="N456" s="56"/>
      <c r="O456" s="56"/>
      <c r="P456" s="56"/>
      <c r="Q456" s="56"/>
      <c r="R456" s="56"/>
      <c r="S456" s="56"/>
      <c r="T456" s="56"/>
      <c r="U456" s="56"/>
      <c r="V456" s="56"/>
      <c r="W456" s="56"/>
      <c r="X456" s="56"/>
      <c r="Y456" s="56"/>
      <c r="Z456" s="56"/>
      <c r="AA456" s="56"/>
      <c r="AB456" s="56"/>
      <c r="AC456" s="14"/>
      <c r="AD456" s="14"/>
      <c r="AE456" s="14"/>
      <c r="AF456" s="14"/>
      <c r="AG456" s="14"/>
      <c r="AH456" s="14"/>
      <c r="AI456" s="14"/>
      <c r="AJ456" s="14"/>
      <c r="AK456" s="14"/>
      <c r="AL456" s="14"/>
      <c r="AM456" s="14"/>
      <c r="AN456" s="14"/>
      <c r="AO456" s="14"/>
      <c r="AP456" s="14"/>
    </row>
    <row r="457" spans="1:42" outlineLevel="1" x14ac:dyDescent="0.25">
      <c r="A457" s="54"/>
      <c r="B457" s="13"/>
      <c r="C457" s="45" t="s">
        <v>205</v>
      </c>
      <c r="D457" s="14"/>
      <c r="E457" s="70" t="s">
        <v>474</v>
      </c>
      <c r="F457" s="200">
        <f>Data!$E$35/1000</f>
        <v>3.4099438202247192E-3</v>
      </c>
      <c r="G457" s="56"/>
      <c r="H457" s="56"/>
      <c r="I457" s="56">
        <f>I449*$F$457</f>
        <v>0</v>
      </c>
      <c r="J457" s="56">
        <f t="shared" ref="J457:AO457" si="121">J449*$F$457</f>
        <v>0</v>
      </c>
      <c r="K457" s="56">
        <f t="shared" si="121"/>
        <v>0</v>
      </c>
      <c r="L457" s="56">
        <f t="shared" si="121"/>
        <v>0</v>
      </c>
      <c r="M457" s="56">
        <f t="shared" si="121"/>
        <v>0</v>
      </c>
      <c r="N457" s="56">
        <f t="shared" si="121"/>
        <v>0</v>
      </c>
      <c r="O457" s="56">
        <f t="shared" si="121"/>
        <v>0</v>
      </c>
      <c r="P457" s="56">
        <f t="shared" si="121"/>
        <v>0</v>
      </c>
      <c r="Q457" s="56">
        <f t="shared" si="121"/>
        <v>0</v>
      </c>
      <c r="R457" s="56">
        <f t="shared" si="121"/>
        <v>0</v>
      </c>
      <c r="S457" s="56">
        <f t="shared" si="121"/>
        <v>0</v>
      </c>
      <c r="T457" s="56">
        <f t="shared" si="121"/>
        <v>0</v>
      </c>
      <c r="U457" s="56">
        <f t="shared" si="121"/>
        <v>0</v>
      </c>
      <c r="V457" s="56">
        <f t="shared" si="121"/>
        <v>0</v>
      </c>
      <c r="W457" s="56">
        <f t="shared" si="121"/>
        <v>0</v>
      </c>
      <c r="X457" s="56">
        <f t="shared" si="121"/>
        <v>0</v>
      </c>
      <c r="Y457" s="56">
        <f t="shared" si="121"/>
        <v>0</v>
      </c>
      <c r="Z457" s="56">
        <f t="shared" si="121"/>
        <v>0</v>
      </c>
      <c r="AA457" s="56">
        <f t="shared" si="121"/>
        <v>0</v>
      </c>
      <c r="AB457" s="56">
        <f t="shared" si="121"/>
        <v>0</v>
      </c>
      <c r="AC457" s="56">
        <f t="shared" si="121"/>
        <v>0</v>
      </c>
      <c r="AD457" s="56">
        <f t="shared" si="121"/>
        <v>0</v>
      </c>
      <c r="AE457" s="56">
        <f t="shared" si="121"/>
        <v>0</v>
      </c>
      <c r="AF457" s="56">
        <f t="shared" si="121"/>
        <v>0</v>
      </c>
      <c r="AG457" s="56">
        <f t="shared" si="121"/>
        <v>0</v>
      </c>
      <c r="AH457" s="56">
        <f t="shared" si="121"/>
        <v>0</v>
      </c>
      <c r="AI457" s="56">
        <f t="shared" si="121"/>
        <v>0</v>
      </c>
      <c r="AJ457" s="56">
        <f t="shared" si="121"/>
        <v>0</v>
      </c>
      <c r="AK457" s="56">
        <f t="shared" si="121"/>
        <v>0</v>
      </c>
      <c r="AL457" s="56">
        <f t="shared" si="121"/>
        <v>0</v>
      </c>
      <c r="AM457" s="56">
        <f t="shared" si="121"/>
        <v>0</v>
      </c>
      <c r="AN457" s="56">
        <f t="shared" si="121"/>
        <v>0</v>
      </c>
      <c r="AO457" s="56">
        <f t="shared" si="121"/>
        <v>0</v>
      </c>
      <c r="AP457" s="29"/>
    </row>
    <row r="458" spans="1:42" outlineLevel="1" x14ac:dyDescent="0.25">
      <c r="A458" s="54"/>
      <c r="B458" s="13"/>
      <c r="C458" s="45" t="s">
        <v>484</v>
      </c>
      <c r="D458" s="14"/>
      <c r="E458" s="70" t="s">
        <v>474</v>
      </c>
      <c r="F458" s="200"/>
      <c r="G458" s="56"/>
      <c r="H458" s="56"/>
      <c r="I458" s="56">
        <f>I450*Data!H$16/1000</f>
        <v>0</v>
      </c>
      <c r="J458" s="56">
        <f>J450*Data!I$16/1000</f>
        <v>0</v>
      </c>
      <c r="K458" s="56">
        <f>K450*Data!J$16/1000</f>
        <v>0</v>
      </c>
      <c r="L458" s="56">
        <f>L450*Data!K$16/1000</f>
        <v>0</v>
      </c>
      <c r="M458" s="56">
        <f>M450*Data!L$16/1000</f>
        <v>0</v>
      </c>
      <c r="N458" s="56">
        <f>N450*Data!M$16/1000</f>
        <v>0</v>
      </c>
      <c r="O458" s="56">
        <f>O450*Data!N$16/1000</f>
        <v>0</v>
      </c>
      <c r="P458" s="56">
        <f>P450*Data!O$16/1000</f>
        <v>0</v>
      </c>
      <c r="Q458" s="56">
        <f>Q450*Data!P$16/1000</f>
        <v>0</v>
      </c>
      <c r="R458" s="56">
        <f>R450*Data!Q$16/1000</f>
        <v>0</v>
      </c>
      <c r="S458" s="56">
        <f>S450*Data!R$16/1000</f>
        <v>0</v>
      </c>
      <c r="T458" s="56">
        <f>T450*Data!S$16/1000</f>
        <v>0</v>
      </c>
      <c r="U458" s="56">
        <f>U450*Data!T$16/1000</f>
        <v>1767.9950896369267</v>
      </c>
      <c r="V458" s="56">
        <f>V450*Data!U$16/1000</f>
        <v>1823.2449361880806</v>
      </c>
      <c r="W458" s="56">
        <f>W450*Data!V$16/1000</f>
        <v>1878.4947827392346</v>
      </c>
      <c r="X458" s="56">
        <f>X450*Data!W$16/1000</f>
        <v>1933.7446292903885</v>
      </c>
      <c r="Y458" s="56">
        <f>Y450*Data!X$16/1000</f>
        <v>1988.9944758415425</v>
      </c>
      <c r="Z458" s="56">
        <f>Z450*Data!Y$16/1000</f>
        <v>2044.2443223926964</v>
      </c>
      <c r="AA458" s="56">
        <f>AA450*Data!Z$16/1000</f>
        <v>2099.4941689438501</v>
      </c>
      <c r="AB458" s="56">
        <f>AB450*Data!AA$16/1000</f>
        <v>2163.9523232535303</v>
      </c>
      <c r="AC458" s="56">
        <f>AC450*Data!AB$16/1000</f>
        <v>2219.2021698046838</v>
      </c>
      <c r="AD458" s="56">
        <f>AD450*Data!AC$16/1000</f>
        <v>2274.4520163558382</v>
      </c>
      <c r="AE458" s="56">
        <f>AE450*Data!AD$16/1000</f>
        <v>2329.7018629069921</v>
      </c>
      <c r="AF458" s="56">
        <f>AF450*Data!AE$16/1000</f>
        <v>2384.9517094581456</v>
      </c>
      <c r="AG458" s="56">
        <f>AG450*Data!AF$16/1000</f>
        <v>2440.2015560092996</v>
      </c>
      <c r="AH458" s="56">
        <f>AH450*Data!AG$16/1000</f>
        <v>2495.451402560454</v>
      </c>
      <c r="AI458" s="56">
        <f>AI450*Data!AH$16/1000</f>
        <v>2550.7012491116075</v>
      </c>
      <c r="AJ458" s="56">
        <f>AJ450*Data!AI$16/1000</f>
        <v>2633.5760189383391</v>
      </c>
      <c r="AK458" s="56">
        <f>AK450*Data!AJ$16/1000</f>
        <v>2707.242481006544</v>
      </c>
      <c r="AL458" s="56">
        <f>AL450*Data!AK$16/1000</f>
        <v>2790.1172508332747</v>
      </c>
      <c r="AM458" s="56">
        <f>AM450*Data!AL$16/1000</f>
        <v>2872.9920206600059</v>
      </c>
      <c r="AN458" s="56">
        <f>AN450*Data!AM$16/1000</f>
        <v>2955.8667904867366</v>
      </c>
      <c r="AO458" s="56">
        <f>AO450*Data!AN$16/1000</f>
        <v>0</v>
      </c>
      <c r="AP458" s="29"/>
    </row>
    <row r="459" spans="1:42" outlineLevel="1" x14ac:dyDescent="0.25">
      <c r="A459" s="54"/>
      <c r="B459" s="13"/>
      <c r="C459" s="45" t="s">
        <v>285</v>
      </c>
      <c r="D459" s="14"/>
      <c r="E459" s="70" t="s">
        <v>474</v>
      </c>
      <c r="F459" s="200">
        <f>Data!$E$36/1000</f>
        <v>1.0822865168539326</v>
      </c>
      <c r="G459" s="56"/>
      <c r="H459" s="56"/>
      <c r="I459" s="56">
        <f>I451*$F$459</f>
        <v>0</v>
      </c>
      <c r="J459" s="56">
        <f t="shared" ref="J459:AO459" si="122">J451*$F$459</f>
        <v>0</v>
      </c>
      <c r="K459" s="56">
        <f t="shared" si="122"/>
        <v>0</v>
      </c>
      <c r="L459" s="56">
        <f t="shared" si="122"/>
        <v>0</v>
      </c>
      <c r="M459" s="56">
        <f t="shared" si="122"/>
        <v>0</v>
      </c>
      <c r="N459" s="56">
        <f t="shared" si="122"/>
        <v>0</v>
      </c>
      <c r="O459" s="56">
        <f t="shared" si="122"/>
        <v>0</v>
      </c>
      <c r="P459" s="56">
        <f t="shared" si="122"/>
        <v>0</v>
      </c>
      <c r="Q459" s="56">
        <f t="shared" si="122"/>
        <v>0</v>
      </c>
      <c r="R459" s="56">
        <f t="shared" si="122"/>
        <v>0</v>
      </c>
      <c r="S459" s="56">
        <f t="shared" si="122"/>
        <v>0</v>
      </c>
      <c r="T459" s="56">
        <f t="shared" si="122"/>
        <v>0</v>
      </c>
      <c r="U459" s="56">
        <f t="shared" si="122"/>
        <v>0</v>
      </c>
      <c r="V459" s="56">
        <f t="shared" si="122"/>
        <v>0</v>
      </c>
      <c r="W459" s="56">
        <f t="shared" si="122"/>
        <v>0</v>
      </c>
      <c r="X459" s="56">
        <f t="shared" si="122"/>
        <v>0</v>
      </c>
      <c r="Y459" s="56">
        <f t="shared" si="122"/>
        <v>0</v>
      </c>
      <c r="Z459" s="56">
        <f t="shared" si="122"/>
        <v>0</v>
      </c>
      <c r="AA459" s="56">
        <f t="shared" si="122"/>
        <v>0</v>
      </c>
      <c r="AB459" s="56">
        <f t="shared" si="122"/>
        <v>0</v>
      </c>
      <c r="AC459" s="56">
        <f t="shared" si="122"/>
        <v>0</v>
      </c>
      <c r="AD459" s="56">
        <f t="shared" si="122"/>
        <v>0</v>
      </c>
      <c r="AE459" s="56">
        <f t="shared" si="122"/>
        <v>0</v>
      </c>
      <c r="AF459" s="56">
        <f t="shared" si="122"/>
        <v>0</v>
      </c>
      <c r="AG459" s="56">
        <f t="shared" si="122"/>
        <v>0</v>
      </c>
      <c r="AH459" s="56">
        <f t="shared" si="122"/>
        <v>0</v>
      </c>
      <c r="AI459" s="56">
        <f t="shared" si="122"/>
        <v>0</v>
      </c>
      <c r="AJ459" s="56">
        <f t="shared" si="122"/>
        <v>0</v>
      </c>
      <c r="AK459" s="56">
        <f t="shared" si="122"/>
        <v>0</v>
      </c>
      <c r="AL459" s="56">
        <f t="shared" si="122"/>
        <v>0</v>
      </c>
      <c r="AM459" s="56">
        <f t="shared" si="122"/>
        <v>0</v>
      </c>
      <c r="AN459" s="56">
        <f t="shared" si="122"/>
        <v>0</v>
      </c>
      <c r="AO459" s="56">
        <f t="shared" si="122"/>
        <v>0</v>
      </c>
      <c r="AP459" s="29"/>
    </row>
    <row r="460" spans="1:42" outlineLevel="1" x14ac:dyDescent="0.25">
      <c r="A460" s="54"/>
      <c r="B460" s="13"/>
      <c r="C460" s="45" t="s">
        <v>220</v>
      </c>
      <c r="D460" s="14"/>
      <c r="E460" s="70" t="s">
        <v>474</v>
      </c>
      <c r="F460" s="200">
        <f>Data!$E$37/1000</f>
        <v>371.00188764044947</v>
      </c>
      <c r="G460" s="56"/>
      <c r="H460" s="56"/>
      <c r="I460" s="56">
        <f>I452*$F$460</f>
        <v>0</v>
      </c>
      <c r="J460" s="56">
        <f t="shared" ref="J460:AO460" si="123">J452*$F$460</f>
        <v>0</v>
      </c>
      <c r="K460" s="56">
        <f t="shared" si="123"/>
        <v>0</v>
      </c>
      <c r="L460" s="56">
        <f t="shared" si="123"/>
        <v>0</v>
      </c>
      <c r="M460" s="56">
        <f t="shared" si="123"/>
        <v>0</v>
      </c>
      <c r="N460" s="56">
        <f t="shared" si="123"/>
        <v>0</v>
      </c>
      <c r="O460" s="56">
        <f t="shared" si="123"/>
        <v>0</v>
      </c>
      <c r="P460" s="56">
        <f t="shared" si="123"/>
        <v>0</v>
      </c>
      <c r="Q460" s="56">
        <f t="shared" si="123"/>
        <v>0</v>
      </c>
      <c r="R460" s="56">
        <f t="shared" si="123"/>
        <v>0</v>
      </c>
      <c r="S460" s="56">
        <f t="shared" si="123"/>
        <v>0</v>
      </c>
      <c r="T460" s="56">
        <f t="shared" si="123"/>
        <v>0</v>
      </c>
      <c r="U460" s="56">
        <f t="shared" si="123"/>
        <v>0</v>
      </c>
      <c r="V460" s="56">
        <f t="shared" si="123"/>
        <v>0</v>
      </c>
      <c r="W460" s="56">
        <f t="shared" si="123"/>
        <v>0</v>
      </c>
      <c r="X460" s="56">
        <f t="shared" si="123"/>
        <v>0</v>
      </c>
      <c r="Y460" s="56">
        <f t="shared" si="123"/>
        <v>0</v>
      </c>
      <c r="Z460" s="56">
        <f t="shared" si="123"/>
        <v>0</v>
      </c>
      <c r="AA460" s="56">
        <f t="shared" si="123"/>
        <v>0</v>
      </c>
      <c r="AB460" s="56">
        <f t="shared" si="123"/>
        <v>0</v>
      </c>
      <c r="AC460" s="56">
        <f t="shared" si="123"/>
        <v>0</v>
      </c>
      <c r="AD460" s="56">
        <f t="shared" si="123"/>
        <v>0</v>
      </c>
      <c r="AE460" s="56">
        <f t="shared" si="123"/>
        <v>0</v>
      </c>
      <c r="AF460" s="56">
        <f t="shared" si="123"/>
        <v>0</v>
      </c>
      <c r="AG460" s="56">
        <f t="shared" si="123"/>
        <v>0</v>
      </c>
      <c r="AH460" s="56">
        <f t="shared" si="123"/>
        <v>0</v>
      </c>
      <c r="AI460" s="56">
        <f t="shared" si="123"/>
        <v>0</v>
      </c>
      <c r="AJ460" s="56">
        <f t="shared" si="123"/>
        <v>0</v>
      </c>
      <c r="AK460" s="56">
        <f t="shared" si="123"/>
        <v>0</v>
      </c>
      <c r="AL460" s="56">
        <f t="shared" si="123"/>
        <v>0</v>
      </c>
      <c r="AM460" s="56">
        <f t="shared" si="123"/>
        <v>0</v>
      </c>
      <c r="AN460" s="56">
        <f t="shared" si="123"/>
        <v>0</v>
      </c>
      <c r="AO460" s="56">
        <f t="shared" si="123"/>
        <v>0</v>
      </c>
      <c r="AP460" s="29"/>
    </row>
    <row r="461" spans="1:42" outlineLevel="1" x14ac:dyDescent="0.25">
      <c r="A461" s="54"/>
      <c r="B461" s="13"/>
      <c r="C461" s="45" t="s">
        <v>212</v>
      </c>
      <c r="D461" s="14"/>
      <c r="E461" s="70" t="s">
        <v>474</v>
      </c>
      <c r="F461" s="200">
        <f>Data!$E$39/1000</f>
        <v>0</v>
      </c>
      <c r="G461" s="56"/>
      <c r="H461" s="56"/>
      <c r="I461" s="56">
        <f>I453*$F$461</f>
        <v>0</v>
      </c>
      <c r="J461" s="56">
        <f t="shared" ref="J461:AO461" si="124">J453*$F$461</f>
        <v>0</v>
      </c>
      <c r="K461" s="56">
        <f t="shared" si="124"/>
        <v>0</v>
      </c>
      <c r="L461" s="56">
        <f t="shared" si="124"/>
        <v>0</v>
      </c>
      <c r="M461" s="56">
        <f t="shared" si="124"/>
        <v>0</v>
      </c>
      <c r="N461" s="56">
        <f t="shared" si="124"/>
        <v>0</v>
      </c>
      <c r="O461" s="56">
        <f t="shared" si="124"/>
        <v>0</v>
      </c>
      <c r="P461" s="56">
        <f t="shared" si="124"/>
        <v>0</v>
      </c>
      <c r="Q461" s="56">
        <f t="shared" si="124"/>
        <v>0</v>
      </c>
      <c r="R461" s="56">
        <f t="shared" si="124"/>
        <v>0</v>
      </c>
      <c r="S461" s="56">
        <f t="shared" si="124"/>
        <v>0</v>
      </c>
      <c r="T461" s="56">
        <f t="shared" si="124"/>
        <v>0</v>
      </c>
      <c r="U461" s="56">
        <f t="shared" si="124"/>
        <v>0</v>
      </c>
      <c r="V461" s="56">
        <f t="shared" si="124"/>
        <v>0</v>
      </c>
      <c r="W461" s="56">
        <f t="shared" si="124"/>
        <v>0</v>
      </c>
      <c r="X461" s="56">
        <f t="shared" si="124"/>
        <v>0</v>
      </c>
      <c r="Y461" s="56">
        <f t="shared" si="124"/>
        <v>0</v>
      </c>
      <c r="Z461" s="56">
        <f t="shared" si="124"/>
        <v>0</v>
      </c>
      <c r="AA461" s="56">
        <f t="shared" si="124"/>
        <v>0</v>
      </c>
      <c r="AB461" s="56">
        <f t="shared" si="124"/>
        <v>0</v>
      </c>
      <c r="AC461" s="56">
        <f t="shared" si="124"/>
        <v>0</v>
      </c>
      <c r="AD461" s="56">
        <f t="shared" si="124"/>
        <v>0</v>
      </c>
      <c r="AE461" s="56">
        <f t="shared" si="124"/>
        <v>0</v>
      </c>
      <c r="AF461" s="56">
        <f t="shared" si="124"/>
        <v>0</v>
      </c>
      <c r="AG461" s="56">
        <f t="shared" si="124"/>
        <v>0</v>
      </c>
      <c r="AH461" s="56">
        <f t="shared" si="124"/>
        <v>0</v>
      </c>
      <c r="AI461" s="56">
        <f t="shared" si="124"/>
        <v>0</v>
      </c>
      <c r="AJ461" s="56">
        <f t="shared" si="124"/>
        <v>0</v>
      </c>
      <c r="AK461" s="56">
        <f t="shared" si="124"/>
        <v>0</v>
      </c>
      <c r="AL461" s="56">
        <f t="shared" si="124"/>
        <v>0</v>
      </c>
      <c r="AM461" s="56">
        <f t="shared" si="124"/>
        <v>0</v>
      </c>
      <c r="AN461" s="56">
        <f t="shared" si="124"/>
        <v>0</v>
      </c>
      <c r="AO461" s="56">
        <f t="shared" si="124"/>
        <v>0</v>
      </c>
      <c r="AP461" s="29"/>
    </row>
    <row r="462" spans="1:42" outlineLevel="1" x14ac:dyDescent="0.25">
      <c r="A462" s="54"/>
      <c r="B462" s="13"/>
      <c r="C462" s="45" t="s">
        <v>485</v>
      </c>
      <c r="D462" s="14"/>
      <c r="E462" s="70" t="s">
        <v>474</v>
      </c>
      <c r="F462" s="200">
        <f>Data!$E$40/1000</f>
        <v>605.20914606741576</v>
      </c>
      <c r="G462" s="56"/>
      <c r="H462" s="56"/>
      <c r="I462" s="56">
        <f>I454*$F$462</f>
        <v>0</v>
      </c>
      <c r="J462" s="56">
        <f t="shared" ref="J462:AO462" si="125">J454*$F$462</f>
        <v>0</v>
      </c>
      <c r="K462" s="56">
        <f t="shared" si="125"/>
        <v>0</v>
      </c>
      <c r="L462" s="56">
        <f t="shared" si="125"/>
        <v>0</v>
      </c>
      <c r="M462" s="56">
        <f t="shared" si="125"/>
        <v>0</v>
      </c>
      <c r="N462" s="56">
        <f t="shared" si="125"/>
        <v>0</v>
      </c>
      <c r="O462" s="56">
        <f t="shared" si="125"/>
        <v>0</v>
      </c>
      <c r="P462" s="56">
        <f t="shared" si="125"/>
        <v>0</v>
      </c>
      <c r="Q462" s="56">
        <f t="shared" si="125"/>
        <v>0</v>
      </c>
      <c r="R462" s="56">
        <f t="shared" si="125"/>
        <v>0</v>
      </c>
      <c r="S462" s="56">
        <f t="shared" si="125"/>
        <v>0</v>
      </c>
      <c r="T462" s="56">
        <f t="shared" si="125"/>
        <v>0</v>
      </c>
      <c r="U462" s="56">
        <f t="shared" si="125"/>
        <v>0</v>
      </c>
      <c r="V462" s="56">
        <f t="shared" si="125"/>
        <v>0</v>
      </c>
      <c r="W462" s="56">
        <f t="shared" si="125"/>
        <v>0</v>
      </c>
      <c r="X462" s="56">
        <f t="shared" si="125"/>
        <v>0</v>
      </c>
      <c r="Y462" s="56">
        <f t="shared" si="125"/>
        <v>0</v>
      </c>
      <c r="Z462" s="56">
        <f t="shared" si="125"/>
        <v>0</v>
      </c>
      <c r="AA462" s="56">
        <f t="shared" si="125"/>
        <v>0</v>
      </c>
      <c r="AB462" s="56">
        <f t="shared" si="125"/>
        <v>0</v>
      </c>
      <c r="AC462" s="56">
        <f t="shared" si="125"/>
        <v>0</v>
      </c>
      <c r="AD462" s="56">
        <f t="shared" si="125"/>
        <v>0</v>
      </c>
      <c r="AE462" s="56">
        <f t="shared" si="125"/>
        <v>0</v>
      </c>
      <c r="AF462" s="56">
        <f t="shared" si="125"/>
        <v>0</v>
      </c>
      <c r="AG462" s="56">
        <f t="shared" si="125"/>
        <v>0</v>
      </c>
      <c r="AH462" s="56">
        <f t="shared" si="125"/>
        <v>0</v>
      </c>
      <c r="AI462" s="56">
        <f t="shared" si="125"/>
        <v>0</v>
      </c>
      <c r="AJ462" s="56">
        <f t="shared" si="125"/>
        <v>0</v>
      </c>
      <c r="AK462" s="56">
        <f t="shared" si="125"/>
        <v>0</v>
      </c>
      <c r="AL462" s="56">
        <f t="shared" si="125"/>
        <v>0</v>
      </c>
      <c r="AM462" s="56">
        <f t="shared" si="125"/>
        <v>0</v>
      </c>
      <c r="AN462" s="56">
        <f t="shared" si="125"/>
        <v>0</v>
      </c>
      <c r="AO462" s="56">
        <f t="shared" si="125"/>
        <v>0</v>
      </c>
      <c r="AP462" s="29"/>
    </row>
    <row r="463" spans="1:42" outlineLevel="1" x14ac:dyDescent="0.25">
      <c r="A463" s="54"/>
      <c r="B463" s="13"/>
      <c r="C463" s="45" t="s">
        <v>214</v>
      </c>
      <c r="D463" s="14"/>
      <c r="E463" s="70" t="s">
        <v>474</v>
      </c>
      <c r="F463" s="200">
        <f>Data!$E$41/1000</f>
        <v>0</v>
      </c>
      <c r="G463" s="56"/>
      <c r="H463" s="56"/>
      <c r="I463" s="56">
        <f>I455*$F$463</f>
        <v>0</v>
      </c>
      <c r="J463" s="56">
        <f t="shared" ref="J463:AO463" si="126">J455*$F$463</f>
        <v>0</v>
      </c>
      <c r="K463" s="56">
        <f t="shared" si="126"/>
        <v>0</v>
      </c>
      <c r="L463" s="56">
        <f t="shared" si="126"/>
        <v>0</v>
      </c>
      <c r="M463" s="56">
        <f t="shared" si="126"/>
        <v>0</v>
      </c>
      <c r="N463" s="56">
        <f t="shared" si="126"/>
        <v>0</v>
      </c>
      <c r="O463" s="56">
        <f t="shared" si="126"/>
        <v>0</v>
      </c>
      <c r="P463" s="56">
        <f t="shared" si="126"/>
        <v>0</v>
      </c>
      <c r="Q463" s="56">
        <f t="shared" si="126"/>
        <v>0</v>
      </c>
      <c r="R463" s="56">
        <f t="shared" si="126"/>
        <v>0</v>
      </c>
      <c r="S463" s="56">
        <f t="shared" si="126"/>
        <v>0</v>
      </c>
      <c r="T463" s="56">
        <f t="shared" si="126"/>
        <v>0</v>
      </c>
      <c r="U463" s="56">
        <f>U455*$F$463</f>
        <v>0</v>
      </c>
      <c r="V463" s="56">
        <f t="shared" si="126"/>
        <v>0</v>
      </c>
      <c r="W463" s="56">
        <f t="shared" si="126"/>
        <v>0</v>
      </c>
      <c r="X463" s="56">
        <f t="shared" si="126"/>
        <v>0</v>
      </c>
      <c r="Y463" s="56">
        <f t="shared" si="126"/>
        <v>0</v>
      </c>
      <c r="Z463" s="56">
        <f t="shared" si="126"/>
        <v>0</v>
      </c>
      <c r="AA463" s="56">
        <f t="shared" si="126"/>
        <v>0</v>
      </c>
      <c r="AB463" s="56">
        <f t="shared" si="126"/>
        <v>0</v>
      </c>
      <c r="AC463" s="56">
        <f t="shared" si="126"/>
        <v>0</v>
      </c>
      <c r="AD463" s="56">
        <f t="shared" si="126"/>
        <v>0</v>
      </c>
      <c r="AE463" s="56">
        <f t="shared" si="126"/>
        <v>0</v>
      </c>
      <c r="AF463" s="56">
        <f t="shared" si="126"/>
        <v>0</v>
      </c>
      <c r="AG463" s="56">
        <f t="shared" si="126"/>
        <v>0</v>
      </c>
      <c r="AH463" s="56">
        <f t="shared" si="126"/>
        <v>0</v>
      </c>
      <c r="AI463" s="56">
        <f t="shared" si="126"/>
        <v>0</v>
      </c>
      <c r="AJ463" s="56">
        <f t="shared" si="126"/>
        <v>0</v>
      </c>
      <c r="AK463" s="56">
        <f t="shared" si="126"/>
        <v>0</v>
      </c>
      <c r="AL463" s="56">
        <f t="shared" si="126"/>
        <v>0</v>
      </c>
      <c r="AM463" s="56">
        <f t="shared" si="126"/>
        <v>0</v>
      </c>
      <c r="AN463" s="56">
        <f t="shared" si="126"/>
        <v>0</v>
      </c>
      <c r="AO463" s="56">
        <f t="shared" si="126"/>
        <v>0</v>
      </c>
      <c r="AP463" s="29"/>
    </row>
    <row r="464" spans="1:42" outlineLevel="1" x14ac:dyDescent="0.25">
      <c r="A464" s="12"/>
      <c r="B464" s="13"/>
      <c r="C464" s="20" t="s">
        <v>486</v>
      </c>
      <c r="D464" s="14"/>
      <c r="E464" s="70" t="s">
        <v>474</v>
      </c>
      <c r="F464" s="16"/>
      <c r="G464" s="159"/>
      <c r="H464" s="185"/>
      <c r="I464" s="185">
        <f>SUM(I457:I463)</f>
        <v>0</v>
      </c>
      <c r="J464" s="185">
        <f t="shared" ref="J464:AO464" si="127">SUM(J457:J463)</f>
        <v>0</v>
      </c>
      <c r="K464" s="185">
        <f t="shared" si="127"/>
        <v>0</v>
      </c>
      <c r="L464" s="185">
        <f t="shared" si="127"/>
        <v>0</v>
      </c>
      <c r="M464" s="185">
        <f t="shared" si="127"/>
        <v>0</v>
      </c>
      <c r="N464" s="185">
        <f t="shared" si="127"/>
        <v>0</v>
      </c>
      <c r="O464" s="185">
        <f t="shared" si="127"/>
        <v>0</v>
      </c>
      <c r="P464" s="185">
        <f t="shared" si="127"/>
        <v>0</v>
      </c>
      <c r="Q464" s="185">
        <f t="shared" si="127"/>
        <v>0</v>
      </c>
      <c r="R464" s="185">
        <f t="shared" si="127"/>
        <v>0</v>
      </c>
      <c r="S464" s="185">
        <f t="shared" si="127"/>
        <v>0</v>
      </c>
      <c r="T464" s="185">
        <f t="shared" si="127"/>
        <v>0</v>
      </c>
      <c r="U464" s="185">
        <f>SUM(U457:U463)</f>
        <v>1767.9950896369267</v>
      </c>
      <c r="V464" s="185">
        <f t="shared" si="127"/>
        <v>1823.2449361880806</v>
      </c>
      <c r="W464" s="185">
        <f t="shared" si="127"/>
        <v>1878.4947827392346</v>
      </c>
      <c r="X464" s="185">
        <f t="shared" si="127"/>
        <v>1933.7446292903885</v>
      </c>
      <c r="Y464" s="185">
        <f t="shared" si="127"/>
        <v>1988.9944758415425</v>
      </c>
      <c r="Z464" s="185">
        <f t="shared" si="127"/>
        <v>2044.2443223926964</v>
      </c>
      <c r="AA464" s="185">
        <f t="shared" si="127"/>
        <v>2099.4941689438501</v>
      </c>
      <c r="AB464" s="185">
        <f t="shared" si="127"/>
        <v>2163.9523232535303</v>
      </c>
      <c r="AC464" s="185">
        <f t="shared" si="127"/>
        <v>2219.2021698046838</v>
      </c>
      <c r="AD464" s="185">
        <f t="shared" si="127"/>
        <v>2274.4520163558382</v>
      </c>
      <c r="AE464" s="185">
        <f t="shared" si="127"/>
        <v>2329.7018629069921</v>
      </c>
      <c r="AF464" s="185">
        <f t="shared" si="127"/>
        <v>2384.9517094581456</v>
      </c>
      <c r="AG464" s="185">
        <f t="shared" si="127"/>
        <v>2440.2015560092996</v>
      </c>
      <c r="AH464" s="185">
        <f t="shared" si="127"/>
        <v>2495.451402560454</v>
      </c>
      <c r="AI464" s="185">
        <f t="shared" si="127"/>
        <v>2550.7012491116075</v>
      </c>
      <c r="AJ464" s="185">
        <f t="shared" si="127"/>
        <v>2633.5760189383391</v>
      </c>
      <c r="AK464" s="185">
        <f t="shared" si="127"/>
        <v>2707.242481006544</v>
      </c>
      <c r="AL464" s="185">
        <f t="shared" si="127"/>
        <v>2790.1172508332747</v>
      </c>
      <c r="AM464" s="185">
        <f t="shared" si="127"/>
        <v>2872.9920206600059</v>
      </c>
      <c r="AN464" s="185">
        <f t="shared" si="127"/>
        <v>2955.8667904867366</v>
      </c>
      <c r="AO464" s="185">
        <f t="shared" si="127"/>
        <v>0</v>
      </c>
      <c r="AP464" s="14"/>
    </row>
    <row r="465" spans="1:42" outlineLevel="1" x14ac:dyDescent="0.25">
      <c r="A465" s="12"/>
      <c r="B465" s="13"/>
      <c r="C465" s="14" t="s">
        <v>523</v>
      </c>
      <c r="D465" s="14"/>
      <c r="E465" s="15" t="s">
        <v>474</v>
      </c>
      <c r="F465" s="48"/>
      <c r="G465" s="185"/>
      <c r="H465" s="185"/>
      <c r="I465" s="185">
        <f>I464*Data!H$9</f>
        <v>0</v>
      </c>
      <c r="J465" s="185">
        <f>J464*Data!I$9</f>
        <v>0</v>
      </c>
      <c r="K465" s="185">
        <f>K464*Data!J$9</f>
        <v>0</v>
      </c>
      <c r="L465" s="185">
        <f>L464*Data!K$9</f>
        <v>0</v>
      </c>
      <c r="M465" s="185">
        <f>M464*Data!L$9</f>
        <v>0</v>
      </c>
      <c r="N465" s="185">
        <f>N464*Data!M$9</f>
        <v>0</v>
      </c>
      <c r="O465" s="185">
        <f>O464*Data!N$9</f>
        <v>0</v>
      </c>
      <c r="P465" s="185">
        <f>P464*Data!O$9</f>
        <v>0</v>
      </c>
      <c r="Q465" s="185">
        <f>Q464*Data!P$9</f>
        <v>0</v>
      </c>
      <c r="R465" s="185">
        <f>R464*Data!Q$9</f>
        <v>0</v>
      </c>
      <c r="S465" s="185">
        <f>S464*Data!R$9</f>
        <v>0</v>
      </c>
      <c r="T465" s="185">
        <f>T464*Data!S$9</f>
        <v>0</v>
      </c>
      <c r="U465" s="185">
        <f>U464*Data!T$9</f>
        <v>1061.8120352492954</v>
      </c>
      <c r="V465" s="185">
        <f>V464*Data!U$9</f>
        <v>1052.8785205296499</v>
      </c>
      <c r="W465" s="185">
        <f>W464*Data!V$9</f>
        <v>1043.0614713871821</v>
      </c>
      <c r="X465" s="185">
        <f>X464*Data!W$9</f>
        <v>1032.4420672667243</v>
      </c>
      <c r="Y465" s="185">
        <f>Y464*Data!X$9</f>
        <v>1021.096550044013</v>
      </c>
      <c r="Z465" s="185">
        <f>Z464*Data!Y$9</f>
        <v>1009.0964837507606</v>
      </c>
      <c r="AA465" s="185">
        <f>AA464*Data!Z$9</f>
        <v>996.50900162497146</v>
      </c>
      <c r="AB465" s="185">
        <f>AB464*Data!AA$9</f>
        <v>987.59959253486988</v>
      </c>
      <c r="AC465" s="185">
        <f>AC464*Data!AB$9</f>
        <v>973.86048200042364</v>
      </c>
      <c r="AD465" s="185">
        <f>AD464*Data!AC$9</f>
        <v>959.71727997967082</v>
      </c>
      <c r="AE465" s="185">
        <f>AE464*Data!AD$9</f>
        <v>945.22139456110528</v>
      </c>
      <c r="AF465" s="185">
        <f>AF464*Data!AE$9</f>
        <v>930.42087713334683</v>
      </c>
      <c r="AG465" s="185">
        <f>AG464*Data!AF$9</f>
        <v>915.36060454535516</v>
      </c>
      <c r="AH465" s="185">
        <f>AH464*Data!AG$9</f>
        <v>900.08245221985237</v>
      </c>
      <c r="AI465" s="185">
        <f>AI464*Data!AH$9</f>
        <v>884.62545864639173</v>
      </c>
      <c r="AJ465" s="185">
        <f>AJ464*Data!AI$9</f>
        <v>878.2382712193421</v>
      </c>
      <c r="AK465" s="185">
        <f>AK464*Data!AJ$9</f>
        <v>868.08113144999504</v>
      </c>
      <c r="AL465" s="185">
        <f>AL464*Data!AK$9</f>
        <v>860.24523426657674</v>
      </c>
      <c r="AM465" s="185">
        <f>AM464*Data!AL$9</f>
        <v>851.72795471938286</v>
      </c>
      <c r="AN465" s="185">
        <f>AN464*Data!AM$9</f>
        <v>842.59329840027692</v>
      </c>
      <c r="AO465" s="185">
        <f>AO464*Data!AN$9</f>
        <v>0</v>
      </c>
      <c r="AP465" s="14"/>
    </row>
    <row r="466" spans="1:42" outlineLevel="1" x14ac:dyDescent="0.25">
      <c r="A466" s="12"/>
      <c r="B466" s="13"/>
      <c r="C466" s="14" t="s">
        <v>489</v>
      </c>
      <c r="D466" s="13"/>
      <c r="E466" s="15" t="s">
        <v>142</v>
      </c>
      <c r="F466" s="16"/>
      <c r="G466" s="159">
        <f>SUM(H465:AO465)</f>
        <v>19014.670161529186</v>
      </c>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row>
    <row r="467" spans="1:42" outlineLevel="1" x14ac:dyDescent="0.25">
      <c r="A467" s="12"/>
      <c r="B467" s="13"/>
      <c r="C467" s="41" t="s">
        <v>62</v>
      </c>
      <c r="D467" s="41"/>
      <c r="E467" s="15" t="s">
        <v>261</v>
      </c>
      <c r="F467" s="16"/>
      <c r="G467" s="184">
        <f>G466/(SUM(H447:AO447))</f>
        <v>1.8468016862402084E-2</v>
      </c>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7"/>
    </row>
    <row r="468" spans="1:42" outlineLevel="1" x14ac:dyDescent="0.25">
      <c r="A468" s="12"/>
      <c r="B468" s="13"/>
      <c r="C468" s="41"/>
      <c r="D468" s="41"/>
      <c r="E468" s="15"/>
      <c r="F468" s="16"/>
      <c r="G468" s="14"/>
      <c r="H468" s="141"/>
      <c r="I468" s="141"/>
      <c r="J468" s="141"/>
      <c r="K468" s="141"/>
      <c r="L468" s="141"/>
      <c r="M468" s="141"/>
      <c r="N468" s="141"/>
      <c r="O468" s="141"/>
      <c r="P468" s="141"/>
      <c r="Q468" s="141"/>
      <c r="R468" s="141"/>
      <c r="S468" s="141"/>
      <c r="T468" s="141"/>
      <c r="U468" s="141"/>
      <c r="V468" s="141"/>
      <c r="W468" s="141"/>
      <c r="X468" s="141"/>
      <c r="Y468" s="141"/>
      <c r="Z468" s="141"/>
      <c r="AA468" s="141"/>
      <c r="AB468" s="141"/>
      <c r="AC468" s="14"/>
      <c r="AD468" s="14"/>
      <c r="AE468" s="14"/>
      <c r="AF468" s="14"/>
      <c r="AG468" s="14"/>
      <c r="AH468" s="14"/>
      <c r="AI468" s="14"/>
      <c r="AJ468" s="14"/>
      <c r="AK468" s="14"/>
      <c r="AL468" s="14"/>
      <c r="AM468" s="14"/>
      <c r="AN468" s="14"/>
      <c r="AO468" s="14"/>
      <c r="AP468" s="17"/>
    </row>
    <row r="469" spans="1:42" outlineLevel="1" x14ac:dyDescent="0.25">
      <c r="A469" s="12"/>
      <c r="B469" s="13"/>
      <c r="C469" s="19" t="s">
        <v>252</v>
      </c>
      <c r="D469" s="14"/>
      <c r="E469" s="15"/>
      <c r="F469" s="16"/>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row>
    <row r="470" spans="1:42" outlineLevel="1" x14ac:dyDescent="0.25">
      <c r="A470" s="12"/>
      <c r="B470" s="13"/>
      <c r="C470" s="45" t="s">
        <v>520</v>
      </c>
      <c r="D470" s="14"/>
      <c r="E470" s="15" t="s">
        <v>521</v>
      </c>
      <c r="F470" s="16"/>
      <c r="G470" s="14"/>
      <c r="H470" s="141"/>
      <c r="I470" s="141">
        <f t="shared" ref="I470:AO470" si="128">I339</f>
        <v>51480</v>
      </c>
      <c r="J470" s="141">
        <f t="shared" si="128"/>
        <v>51480</v>
      </c>
      <c r="K470" s="141">
        <f t="shared" si="128"/>
        <v>51480</v>
      </c>
      <c r="L470" s="141">
        <f t="shared" si="128"/>
        <v>51480</v>
      </c>
      <c r="M470" s="141">
        <f t="shared" si="128"/>
        <v>51480</v>
      </c>
      <c r="N470" s="141">
        <f t="shared" si="128"/>
        <v>51480</v>
      </c>
      <c r="O470" s="141">
        <f t="shared" si="128"/>
        <v>51480</v>
      </c>
      <c r="P470" s="141">
        <f t="shared" si="128"/>
        <v>51480</v>
      </c>
      <c r="Q470" s="141">
        <f t="shared" si="128"/>
        <v>51480</v>
      </c>
      <c r="R470" s="141">
        <f t="shared" si="128"/>
        <v>51480</v>
      </c>
      <c r="S470" s="141">
        <f t="shared" si="128"/>
        <v>51480</v>
      </c>
      <c r="T470" s="141">
        <f t="shared" si="128"/>
        <v>51480</v>
      </c>
      <c r="U470" s="141">
        <f t="shared" si="128"/>
        <v>0</v>
      </c>
      <c r="V470" s="141">
        <f t="shared" si="128"/>
        <v>0</v>
      </c>
      <c r="W470" s="141">
        <f t="shared" si="128"/>
        <v>0</v>
      </c>
      <c r="X470" s="141">
        <f t="shared" si="128"/>
        <v>0</v>
      </c>
      <c r="Y470" s="141">
        <f t="shared" si="128"/>
        <v>0</v>
      </c>
      <c r="Z470" s="141">
        <f t="shared" si="128"/>
        <v>0</v>
      </c>
      <c r="AA470" s="141">
        <f t="shared" si="128"/>
        <v>0</v>
      </c>
      <c r="AB470" s="141">
        <f t="shared" si="128"/>
        <v>0</v>
      </c>
      <c r="AC470" s="141">
        <f t="shared" si="128"/>
        <v>0</v>
      </c>
      <c r="AD470" s="141">
        <f t="shared" si="128"/>
        <v>0</v>
      </c>
      <c r="AE470" s="141">
        <f t="shared" si="128"/>
        <v>0</v>
      </c>
      <c r="AF470" s="141">
        <f t="shared" si="128"/>
        <v>0</v>
      </c>
      <c r="AG470" s="141">
        <f t="shared" si="128"/>
        <v>0</v>
      </c>
      <c r="AH470" s="141">
        <f t="shared" si="128"/>
        <v>0</v>
      </c>
      <c r="AI470" s="141">
        <f t="shared" si="128"/>
        <v>0</v>
      </c>
      <c r="AJ470" s="141">
        <f t="shared" si="128"/>
        <v>0</v>
      </c>
      <c r="AK470" s="141">
        <f t="shared" si="128"/>
        <v>0</v>
      </c>
      <c r="AL470" s="141">
        <f t="shared" si="128"/>
        <v>0</v>
      </c>
      <c r="AM470" s="141">
        <f t="shared" si="128"/>
        <v>0</v>
      </c>
      <c r="AN470" s="141">
        <f t="shared" si="128"/>
        <v>0</v>
      </c>
      <c r="AO470" s="141">
        <f t="shared" si="128"/>
        <v>0</v>
      </c>
      <c r="AP470" s="14"/>
    </row>
    <row r="471" spans="1:42" outlineLevel="1" x14ac:dyDescent="0.25">
      <c r="A471" s="12"/>
      <c r="B471" s="13"/>
      <c r="C471" s="44" t="s">
        <v>483</v>
      </c>
      <c r="D471" s="14"/>
      <c r="E471" s="15"/>
      <c r="F471" s="16"/>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159"/>
      <c r="AG471" s="14"/>
      <c r="AH471" s="14"/>
      <c r="AI471" s="14"/>
      <c r="AJ471" s="14"/>
      <c r="AK471" s="14"/>
      <c r="AL471" s="14"/>
      <c r="AM471" s="14"/>
      <c r="AN471" s="14"/>
      <c r="AO471" s="14"/>
      <c r="AP471" s="14"/>
    </row>
    <row r="472" spans="1:42" ht="14.25" customHeight="1" outlineLevel="1" x14ac:dyDescent="0.25">
      <c r="A472" s="54"/>
      <c r="B472" s="13"/>
      <c r="C472" s="45" t="s">
        <v>205</v>
      </c>
      <c r="D472" s="14"/>
      <c r="E472" s="70" t="s">
        <v>352</v>
      </c>
      <c r="F472" s="201">
        <f>Data!$E$485/1000</f>
        <v>4.3953694163207466E-3</v>
      </c>
      <c r="G472" s="56"/>
      <c r="H472" s="56"/>
      <c r="I472" s="56">
        <f>I$470*$F$472</f>
        <v>226.27361755219204</v>
      </c>
      <c r="J472" s="56">
        <f t="shared" ref="J472:AO472" si="129">J$470*$F$472</f>
        <v>226.27361755219204</v>
      </c>
      <c r="K472" s="56">
        <f t="shared" si="129"/>
        <v>226.27361755219204</v>
      </c>
      <c r="L472" s="56">
        <f t="shared" si="129"/>
        <v>226.27361755219204</v>
      </c>
      <c r="M472" s="56">
        <f t="shared" si="129"/>
        <v>226.27361755219204</v>
      </c>
      <c r="N472" s="56">
        <f t="shared" si="129"/>
        <v>226.27361755219204</v>
      </c>
      <c r="O472" s="56">
        <f t="shared" si="129"/>
        <v>226.27361755219204</v>
      </c>
      <c r="P472" s="56">
        <f t="shared" si="129"/>
        <v>226.27361755219204</v>
      </c>
      <c r="Q472" s="56">
        <f t="shared" si="129"/>
        <v>226.27361755219204</v>
      </c>
      <c r="R472" s="56">
        <f t="shared" si="129"/>
        <v>226.27361755219204</v>
      </c>
      <c r="S472" s="56">
        <f t="shared" si="129"/>
        <v>226.27361755219204</v>
      </c>
      <c r="T472" s="56">
        <f t="shared" si="129"/>
        <v>226.27361755219204</v>
      </c>
      <c r="U472" s="56">
        <f t="shared" si="129"/>
        <v>0</v>
      </c>
      <c r="V472" s="56">
        <f t="shared" si="129"/>
        <v>0</v>
      </c>
      <c r="W472" s="56">
        <f t="shared" si="129"/>
        <v>0</v>
      </c>
      <c r="X472" s="56">
        <f t="shared" si="129"/>
        <v>0</v>
      </c>
      <c r="Y472" s="56">
        <f t="shared" si="129"/>
        <v>0</v>
      </c>
      <c r="Z472" s="56">
        <f t="shared" si="129"/>
        <v>0</v>
      </c>
      <c r="AA472" s="56">
        <f t="shared" si="129"/>
        <v>0</v>
      </c>
      <c r="AB472" s="56">
        <f t="shared" si="129"/>
        <v>0</v>
      </c>
      <c r="AC472" s="56">
        <f t="shared" si="129"/>
        <v>0</v>
      </c>
      <c r="AD472" s="56">
        <f t="shared" si="129"/>
        <v>0</v>
      </c>
      <c r="AE472" s="56">
        <f t="shared" si="129"/>
        <v>0</v>
      </c>
      <c r="AF472" s="56">
        <f t="shared" si="129"/>
        <v>0</v>
      </c>
      <c r="AG472" s="56">
        <f t="shared" si="129"/>
        <v>0</v>
      </c>
      <c r="AH472" s="56">
        <f t="shared" si="129"/>
        <v>0</v>
      </c>
      <c r="AI472" s="56">
        <f t="shared" si="129"/>
        <v>0</v>
      </c>
      <c r="AJ472" s="56">
        <f t="shared" si="129"/>
        <v>0</v>
      </c>
      <c r="AK472" s="56">
        <f t="shared" si="129"/>
        <v>0</v>
      </c>
      <c r="AL472" s="56">
        <f t="shared" si="129"/>
        <v>0</v>
      </c>
      <c r="AM472" s="56">
        <f t="shared" si="129"/>
        <v>0</v>
      </c>
      <c r="AN472" s="56">
        <f t="shared" si="129"/>
        <v>0</v>
      </c>
      <c r="AO472" s="56">
        <f t="shared" si="129"/>
        <v>0</v>
      </c>
      <c r="AP472" s="29"/>
    </row>
    <row r="473" spans="1:42" outlineLevel="1" x14ac:dyDescent="0.25">
      <c r="A473" s="54"/>
      <c r="B473" s="13"/>
      <c r="C473" s="45" t="s">
        <v>484</v>
      </c>
      <c r="D473" s="14"/>
      <c r="E473" s="70" t="s">
        <v>352</v>
      </c>
      <c r="F473" s="201">
        <f>Data!$E$486/1000</f>
        <v>2.7723529845073447</v>
      </c>
      <c r="G473" s="56"/>
      <c r="H473" s="56"/>
      <c r="I473" s="56">
        <f>I$470*$F$473</f>
        <v>142720.7316424381</v>
      </c>
      <c r="J473" s="56">
        <f t="shared" ref="J473:AO473" si="130">J$470*$F$473</f>
        <v>142720.7316424381</v>
      </c>
      <c r="K473" s="56">
        <f t="shared" si="130"/>
        <v>142720.7316424381</v>
      </c>
      <c r="L473" s="56">
        <f t="shared" si="130"/>
        <v>142720.7316424381</v>
      </c>
      <c r="M473" s="56">
        <f t="shared" si="130"/>
        <v>142720.7316424381</v>
      </c>
      <c r="N473" s="56">
        <f t="shared" si="130"/>
        <v>142720.7316424381</v>
      </c>
      <c r="O473" s="56">
        <f t="shared" si="130"/>
        <v>142720.7316424381</v>
      </c>
      <c r="P473" s="56">
        <f t="shared" si="130"/>
        <v>142720.7316424381</v>
      </c>
      <c r="Q473" s="56">
        <f t="shared" si="130"/>
        <v>142720.7316424381</v>
      </c>
      <c r="R473" s="56">
        <f t="shared" si="130"/>
        <v>142720.7316424381</v>
      </c>
      <c r="S473" s="56">
        <f t="shared" si="130"/>
        <v>142720.7316424381</v>
      </c>
      <c r="T473" s="56">
        <f t="shared" si="130"/>
        <v>142720.7316424381</v>
      </c>
      <c r="U473" s="56">
        <f t="shared" si="130"/>
        <v>0</v>
      </c>
      <c r="V473" s="56">
        <f t="shared" si="130"/>
        <v>0</v>
      </c>
      <c r="W473" s="56">
        <f t="shared" si="130"/>
        <v>0</v>
      </c>
      <c r="X473" s="56">
        <f t="shared" si="130"/>
        <v>0</v>
      </c>
      <c r="Y473" s="56">
        <f t="shared" si="130"/>
        <v>0</v>
      </c>
      <c r="Z473" s="56">
        <f t="shared" si="130"/>
        <v>0</v>
      </c>
      <c r="AA473" s="56">
        <f t="shared" si="130"/>
        <v>0</v>
      </c>
      <c r="AB473" s="56">
        <f t="shared" si="130"/>
        <v>0</v>
      </c>
      <c r="AC473" s="56">
        <f t="shared" si="130"/>
        <v>0</v>
      </c>
      <c r="AD473" s="56">
        <f t="shared" si="130"/>
        <v>0</v>
      </c>
      <c r="AE473" s="56">
        <f t="shared" si="130"/>
        <v>0</v>
      </c>
      <c r="AF473" s="56">
        <f t="shared" si="130"/>
        <v>0</v>
      </c>
      <c r="AG473" s="56">
        <f t="shared" si="130"/>
        <v>0</v>
      </c>
      <c r="AH473" s="56">
        <f t="shared" si="130"/>
        <v>0</v>
      </c>
      <c r="AI473" s="56">
        <f t="shared" si="130"/>
        <v>0</v>
      </c>
      <c r="AJ473" s="56">
        <f t="shared" si="130"/>
        <v>0</v>
      </c>
      <c r="AK473" s="56">
        <f t="shared" si="130"/>
        <v>0</v>
      </c>
      <c r="AL473" s="56">
        <f t="shared" si="130"/>
        <v>0</v>
      </c>
      <c r="AM473" s="56">
        <f t="shared" si="130"/>
        <v>0</v>
      </c>
      <c r="AN473" s="56">
        <f t="shared" si="130"/>
        <v>0</v>
      </c>
      <c r="AO473" s="56">
        <f t="shared" si="130"/>
        <v>0</v>
      </c>
      <c r="AP473" s="29"/>
    </row>
    <row r="474" spans="1:42" outlineLevel="1" x14ac:dyDescent="0.25">
      <c r="A474" s="54"/>
      <c r="B474" s="13"/>
      <c r="C474" s="45" t="s">
        <v>285</v>
      </c>
      <c r="D474" s="14"/>
      <c r="E474" s="70" t="s">
        <v>352</v>
      </c>
      <c r="F474" s="201">
        <f>Data!$E$487/1000</f>
        <v>3.4917477856892727E-4</v>
      </c>
      <c r="G474" s="56"/>
      <c r="H474" s="56"/>
      <c r="I474" s="56">
        <f>I$470*$F$474</f>
        <v>17.975517600728377</v>
      </c>
      <c r="J474" s="56">
        <f t="shared" ref="J474:AO474" si="131">J$470*$F$474</f>
        <v>17.975517600728377</v>
      </c>
      <c r="K474" s="56">
        <f t="shared" si="131"/>
        <v>17.975517600728377</v>
      </c>
      <c r="L474" s="56">
        <f t="shared" si="131"/>
        <v>17.975517600728377</v>
      </c>
      <c r="M474" s="56">
        <f t="shared" si="131"/>
        <v>17.975517600728377</v>
      </c>
      <c r="N474" s="56">
        <f t="shared" si="131"/>
        <v>17.975517600728377</v>
      </c>
      <c r="O474" s="56">
        <f t="shared" si="131"/>
        <v>17.975517600728377</v>
      </c>
      <c r="P474" s="56">
        <f t="shared" si="131"/>
        <v>17.975517600728377</v>
      </c>
      <c r="Q474" s="56">
        <f t="shared" si="131"/>
        <v>17.975517600728377</v>
      </c>
      <c r="R474" s="56">
        <f t="shared" si="131"/>
        <v>17.975517600728377</v>
      </c>
      <c r="S474" s="56">
        <f t="shared" si="131"/>
        <v>17.975517600728377</v>
      </c>
      <c r="T474" s="56">
        <f t="shared" si="131"/>
        <v>17.975517600728377</v>
      </c>
      <c r="U474" s="56">
        <f t="shared" si="131"/>
        <v>0</v>
      </c>
      <c r="V474" s="56">
        <f t="shared" si="131"/>
        <v>0</v>
      </c>
      <c r="W474" s="56">
        <f t="shared" si="131"/>
        <v>0</v>
      </c>
      <c r="X474" s="56">
        <f t="shared" si="131"/>
        <v>0</v>
      </c>
      <c r="Y474" s="56">
        <f t="shared" si="131"/>
        <v>0</v>
      </c>
      <c r="Z474" s="56">
        <f t="shared" si="131"/>
        <v>0</v>
      </c>
      <c r="AA474" s="56">
        <f t="shared" si="131"/>
        <v>0</v>
      </c>
      <c r="AB474" s="56">
        <f t="shared" si="131"/>
        <v>0</v>
      </c>
      <c r="AC474" s="56">
        <f t="shared" si="131"/>
        <v>0</v>
      </c>
      <c r="AD474" s="56">
        <f t="shared" si="131"/>
        <v>0</v>
      </c>
      <c r="AE474" s="56">
        <f t="shared" si="131"/>
        <v>0</v>
      </c>
      <c r="AF474" s="56">
        <f t="shared" si="131"/>
        <v>0</v>
      </c>
      <c r="AG474" s="56">
        <f t="shared" si="131"/>
        <v>0</v>
      </c>
      <c r="AH474" s="56">
        <f t="shared" si="131"/>
        <v>0</v>
      </c>
      <c r="AI474" s="56">
        <f t="shared" si="131"/>
        <v>0</v>
      </c>
      <c r="AJ474" s="56">
        <f t="shared" si="131"/>
        <v>0</v>
      </c>
      <c r="AK474" s="56">
        <f t="shared" si="131"/>
        <v>0</v>
      </c>
      <c r="AL474" s="56">
        <f t="shared" si="131"/>
        <v>0</v>
      </c>
      <c r="AM474" s="56">
        <f t="shared" si="131"/>
        <v>0</v>
      </c>
      <c r="AN474" s="56">
        <f t="shared" si="131"/>
        <v>0</v>
      </c>
      <c r="AO474" s="56">
        <f t="shared" si="131"/>
        <v>0</v>
      </c>
      <c r="AP474" s="29"/>
    </row>
    <row r="475" spans="1:42" outlineLevel="1" x14ac:dyDescent="0.25">
      <c r="A475" s="54"/>
      <c r="B475" s="13"/>
      <c r="C475" s="45" t="s">
        <v>220</v>
      </c>
      <c r="D475" s="14"/>
      <c r="E475" s="70" t="s">
        <v>352</v>
      </c>
      <c r="F475" s="201">
        <f>Data!$E$488/1000</f>
        <v>1.5499642131509336E-2</v>
      </c>
      <c r="G475" s="56"/>
      <c r="H475" s="56"/>
      <c r="I475" s="56">
        <f>I$470*$F$475</f>
        <v>797.92157693010063</v>
      </c>
      <c r="J475" s="56">
        <f t="shared" ref="J475:AO475" si="132">J$470*$F$475</f>
        <v>797.92157693010063</v>
      </c>
      <c r="K475" s="56">
        <f t="shared" si="132"/>
        <v>797.92157693010063</v>
      </c>
      <c r="L475" s="56">
        <f t="shared" si="132"/>
        <v>797.92157693010063</v>
      </c>
      <c r="M475" s="56">
        <f t="shared" si="132"/>
        <v>797.92157693010063</v>
      </c>
      <c r="N475" s="56">
        <f t="shared" si="132"/>
        <v>797.92157693010063</v>
      </c>
      <c r="O475" s="56">
        <f t="shared" si="132"/>
        <v>797.92157693010063</v>
      </c>
      <c r="P475" s="56">
        <f t="shared" si="132"/>
        <v>797.92157693010063</v>
      </c>
      <c r="Q475" s="56">
        <f t="shared" si="132"/>
        <v>797.92157693010063</v>
      </c>
      <c r="R475" s="56">
        <f t="shared" si="132"/>
        <v>797.92157693010063</v>
      </c>
      <c r="S475" s="56">
        <f t="shared" si="132"/>
        <v>797.92157693010063</v>
      </c>
      <c r="T475" s="56">
        <f t="shared" si="132"/>
        <v>797.92157693010063</v>
      </c>
      <c r="U475" s="56">
        <f t="shared" si="132"/>
        <v>0</v>
      </c>
      <c r="V475" s="56">
        <f t="shared" si="132"/>
        <v>0</v>
      </c>
      <c r="W475" s="56">
        <f t="shared" si="132"/>
        <v>0</v>
      </c>
      <c r="X475" s="56">
        <f t="shared" si="132"/>
        <v>0</v>
      </c>
      <c r="Y475" s="56">
        <f t="shared" si="132"/>
        <v>0</v>
      </c>
      <c r="Z475" s="56">
        <f t="shared" si="132"/>
        <v>0</v>
      </c>
      <c r="AA475" s="56">
        <f t="shared" si="132"/>
        <v>0</v>
      </c>
      <c r="AB475" s="56">
        <f t="shared" si="132"/>
        <v>0</v>
      </c>
      <c r="AC475" s="56">
        <f t="shared" si="132"/>
        <v>0</v>
      </c>
      <c r="AD475" s="56">
        <f t="shared" si="132"/>
        <v>0</v>
      </c>
      <c r="AE475" s="56">
        <f t="shared" si="132"/>
        <v>0</v>
      </c>
      <c r="AF475" s="56">
        <f t="shared" si="132"/>
        <v>0</v>
      </c>
      <c r="AG475" s="56">
        <f t="shared" si="132"/>
        <v>0</v>
      </c>
      <c r="AH475" s="56">
        <f t="shared" si="132"/>
        <v>0</v>
      </c>
      <c r="AI475" s="56">
        <f t="shared" si="132"/>
        <v>0</v>
      </c>
      <c r="AJ475" s="56">
        <f t="shared" si="132"/>
        <v>0</v>
      </c>
      <c r="AK475" s="56">
        <f t="shared" si="132"/>
        <v>0</v>
      </c>
      <c r="AL475" s="56">
        <f t="shared" si="132"/>
        <v>0</v>
      </c>
      <c r="AM475" s="56">
        <f t="shared" si="132"/>
        <v>0</v>
      </c>
      <c r="AN475" s="56">
        <f t="shared" si="132"/>
        <v>0</v>
      </c>
      <c r="AO475" s="56">
        <f t="shared" si="132"/>
        <v>0</v>
      </c>
      <c r="AP475" s="29"/>
    </row>
    <row r="476" spans="1:42" outlineLevel="1" x14ac:dyDescent="0.25">
      <c r="A476" s="54"/>
      <c r="B476" s="13"/>
      <c r="C476" s="45" t="s">
        <v>212</v>
      </c>
      <c r="D476" s="14"/>
      <c r="E476" s="70" t="s">
        <v>352</v>
      </c>
      <c r="F476" s="201">
        <f>Data!$E$489/1000</f>
        <v>1.7773516852597467E-3</v>
      </c>
      <c r="G476" s="56"/>
      <c r="H476" s="56"/>
      <c r="I476" s="56">
        <f>I$470*$F$476</f>
        <v>91.498064757171761</v>
      </c>
      <c r="J476" s="56">
        <f t="shared" ref="J476:AO476" si="133">J$470*$F$476</f>
        <v>91.498064757171761</v>
      </c>
      <c r="K476" s="56">
        <f t="shared" si="133"/>
        <v>91.498064757171761</v>
      </c>
      <c r="L476" s="56">
        <f t="shared" si="133"/>
        <v>91.498064757171761</v>
      </c>
      <c r="M476" s="56">
        <f t="shared" si="133"/>
        <v>91.498064757171761</v>
      </c>
      <c r="N476" s="56">
        <f t="shared" si="133"/>
        <v>91.498064757171761</v>
      </c>
      <c r="O476" s="56">
        <f t="shared" si="133"/>
        <v>91.498064757171761</v>
      </c>
      <c r="P476" s="56">
        <f t="shared" si="133"/>
        <v>91.498064757171761</v>
      </c>
      <c r="Q476" s="56">
        <f t="shared" si="133"/>
        <v>91.498064757171761</v>
      </c>
      <c r="R476" s="56">
        <f t="shared" si="133"/>
        <v>91.498064757171761</v>
      </c>
      <c r="S476" s="56">
        <f t="shared" si="133"/>
        <v>91.498064757171761</v>
      </c>
      <c r="T476" s="56">
        <f t="shared" si="133"/>
        <v>91.498064757171761</v>
      </c>
      <c r="U476" s="56">
        <f t="shared" si="133"/>
        <v>0</v>
      </c>
      <c r="V476" s="56">
        <f t="shared" si="133"/>
        <v>0</v>
      </c>
      <c r="W476" s="56">
        <f t="shared" si="133"/>
        <v>0</v>
      </c>
      <c r="X476" s="56">
        <f t="shared" si="133"/>
        <v>0</v>
      </c>
      <c r="Y476" s="56">
        <f t="shared" si="133"/>
        <v>0</v>
      </c>
      <c r="Z476" s="56">
        <f t="shared" si="133"/>
        <v>0</v>
      </c>
      <c r="AA476" s="56">
        <f t="shared" si="133"/>
        <v>0</v>
      </c>
      <c r="AB476" s="56">
        <f t="shared" si="133"/>
        <v>0</v>
      </c>
      <c r="AC476" s="56">
        <f t="shared" si="133"/>
        <v>0</v>
      </c>
      <c r="AD476" s="56">
        <f t="shared" si="133"/>
        <v>0</v>
      </c>
      <c r="AE476" s="56">
        <f t="shared" si="133"/>
        <v>0</v>
      </c>
      <c r="AF476" s="56">
        <f t="shared" si="133"/>
        <v>0</v>
      </c>
      <c r="AG476" s="56">
        <f t="shared" si="133"/>
        <v>0</v>
      </c>
      <c r="AH476" s="56">
        <f t="shared" si="133"/>
        <v>0</v>
      </c>
      <c r="AI476" s="56">
        <f t="shared" si="133"/>
        <v>0</v>
      </c>
      <c r="AJ476" s="56">
        <f t="shared" si="133"/>
        <v>0</v>
      </c>
      <c r="AK476" s="56">
        <f t="shared" si="133"/>
        <v>0</v>
      </c>
      <c r="AL476" s="56">
        <f t="shared" si="133"/>
        <v>0</v>
      </c>
      <c r="AM476" s="56">
        <f t="shared" si="133"/>
        <v>0</v>
      </c>
      <c r="AN476" s="56">
        <f t="shared" si="133"/>
        <v>0</v>
      </c>
      <c r="AO476" s="56">
        <f t="shared" si="133"/>
        <v>0</v>
      </c>
      <c r="AP476" s="29"/>
    </row>
    <row r="477" spans="1:42" outlineLevel="1" x14ac:dyDescent="0.25">
      <c r="A477" s="54"/>
      <c r="B477" s="13"/>
      <c r="C477" s="45" t="s">
        <v>485</v>
      </c>
      <c r="D477" s="14"/>
      <c r="E477" s="70" t="s">
        <v>352</v>
      </c>
      <c r="F477" s="201">
        <f>Data!$E$490/1000</f>
        <v>3.8228686252612731E-4</v>
      </c>
      <c r="G477" s="56"/>
      <c r="H477" s="56"/>
      <c r="I477" s="56">
        <f>I$470*$F$477</f>
        <v>19.680127682845033</v>
      </c>
      <c r="J477" s="56">
        <f t="shared" ref="J477:AO477" si="134">J$470*$F$477</f>
        <v>19.680127682845033</v>
      </c>
      <c r="K477" s="56">
        <f t="shared" si="134"/>
        <v>19.680127682845033</v>
      </c>
      <c r="L477" s="56">
        <f t="shared" si="134"/>
        <v>19.680127682845033</v>
      </c>
      <c r="M477" s="56">
        <f t="shared" si="134"/>
        <v>19.680127682845033</v>
      </c>
      <c r="N477" s="56">
        <f t="shared" si="134"/>
        <v>19.680127682845033</v>
      </c>
      <c r="O477" s="56">
        <f t="shared" si="134"/>
        <v>19.680127682845033</v>
      </c>
      <c r="P477" s="56">
        <f t="shared" si="134"/>
        <v>19.680127682845033</v>
      </c>
      <c r="Q477" s="56">
        <f t="shared" si="134"/>
        <v>19.680127682845033</v>
      </c>
      <c r="R477" s="56">
        <f t="shared" si="134"/>
        <v>19.680127682845033</v>
      </c>
      <c r="S477" s="56">
        <f t="shared" si="134"/>
        <v>19.680127682845033</v>
      </c>
      <c r="T477" s="56">
        <f t="shared" si="134"/>
        <v>19.680127682845033</v>
      </c>
      <c r="U477" s="56">
        <f t="shared" si="134"/>
        <v>0</v>
      </c>
      <c r="V477" s="56">
        <f t="shared" si="134"/>
        <v>0</v>
      </c>
      <c r="W477" s="56">
        <f t="shared" si="134"/>
        <v>0</v>
      </c>
      <c r="X477" s="56">
        <f t="shared" si="134"/>
        <v>0</v>
      </c>
      <c r="Y477" s="56">
        <f t="shared" si="134"/>
        <v>0</v>
      </c>
      <c r="Z477" s="56">
        <f t="shared" si="134"/>
        <v>0</v>
      </c>
      <c r="AA477" s="56">
        <f t="shared" si="134"/>
        <v>0</v>
      </c>
      <c r="AB477" s="56">
        <f t="shared" si="134"/>
        <v>0</v>
      </c>
      <c r="AC477" s="56">
        <f t="shared" si="134"/>
        <v>0</v>
      </c>
      <c r="AD477" s="56">
        <f t="shared" si="134"/>
        <v>0</v>
      </c>
      <c r="AE477" s="56">
        <f t="shared" si="134"/>
        <v>0</v>
      </c>
      <c r="AF477" s="56">
        <f t="shared" si="134"/>
        <v>0</v>
      </c>
      <c r="AG477" s="56">
        <f t="shared" si="134"/>
        <v>0</v>
      </c>
      <c r="AH477" s="56">
        <f t="shared" si="134"/>
        <v>0</v>
      </c>
      <c r="AI477" s="56">
        <f t="shared" si="134"/>
        <v>0</v>
      </c>
      <c r="AJ477" s="56">
        <f t="shared" si="134"/>
        <v>0</v>
      </c>
      <c r="AK477" s="56">
        <f t="shared" si="134"/>
        <v>0</v>
      </c>
      <c r="AL477" s="56">
        <f t="shared" si="134"/>
        <v>0</v>
      </c>
      <c r="AM477" s="56">
        <f t="shared" si="134"/>
        <v>0</v>
      </c>
      <c r="AN477" s="56">
        <f t="shared" si="134"/>
        <v>0</v>
      </c>
      <c r="AO477" s="56">
        <f t="shared" si="134"/>
        <v>0</v>
      </c>
      <c r="AP477" s="29"/>
    </row>
    <row r="478" spans="1:42" outlineLevel="1" x14ac:dyDescent="0.25">
      <c r="A478" s="54"/>
      <c r="B478" s="13"/>
      <c r="C478" s="45" t="s">
        <v>214</v>
      </c>
      <c r="D478" s="14"/>
      <c r="E478" s="70" t="s">
        <v>352</v>
      </c>
      <c r="F478" s="201">
        <f>Data!$E$491/1000</f>
        <v>4.1005175397632309E-5</v>
      </c>
      <c r="G478" s="56"/>
      <c r="H478" s="56"/>
      <c r="I478" s="56">
        <f>I$470*$F$478</f>
        <v>2.1109464294701112</v>
      </c>
      <c r="J478" s="56">
        <f t="shared" ref="J478:AO478" si="135">J$470*$F$478</f>
        <v>2.1109464294701112</v>
      </c>
      <c r="K478" s="56">
        <f t="shared" si="135"/>
        <v>2.1109464294701112</v>
      </c>
      <c r="L478" s="56">
        <f t="shared" si="135"/>
        <v>2.1109464294701112</v>
      </c>
      <c r="M478" s="56">
        <f t="shared" si="135"/>
        <v>2.1109464294701112</v>
      </c>
      <c r="N478" s="56">
        <f t="shared" si="135"/>
        <v>2.1109464294701112</v>
      </c>
      <c r="O478" s="56">
        <f t="shared" si="135"/>
        <v>2.1109464294701112</v>
      </c>
      <c r="P478" s="56">
        <f t="shared" si="135"/>
        <v>2.1109464294701112</v>
      </c>
      <c r="Q478" s="56">
        <f t="shared" si="135"/>
        <v>2.1109464294701112</v>
      </c>
      <c r="R478" s="56">
        <f t="shared" si="135"/>
        <v>2.1109464294701112</v>
      </c>
      <c r="S478" s="56">
        <f t="shared" si="135"/>
        <v>2.1109464294701112</v>
      </c>
      <c r="T478" s="56">
        <f t="shared" si="135"/>
        <v>2.1109464294701112</v>
      </c>
      <c r="U478" s="56">
        <f t="shared" si="135"/>
        <v>0</v>
      </c>
      <c r="V478" s="56">
        <f t="shared" si="135"/>
        <v>0</v>
      </c>
      <c r="W478" s="56">
        <f t="shared" si="135"/>
        <v>0</v>
      </c>
      <c r="X478" s="56">
        <f t="shared" si="135"/>
        <v>0</v>
      </c>
      <c r="Y478" s="56">
        <f t="shared" si="135"/>
        <v>0</v>
      </c>
      <c r="Z478" s="56">
        <f t="shared" si="135"/>
        <v>0</v>
      </c>
      <c r="AA478" s="56">
        <f t="shared" si="135"/>
        <v>0</v>
      </c>
      <c r="AB478" s="56">
        <f t="shared" si="135"/>
        <v>0</v>
      </c>
      <c r="AC478" s="56">
        <f t="shared" si="135"/>
        <v>0</v>
      </c>
      <c r="AD478" s="56">
        <f t="shared" si="135"/>
        <v>0</v>
      </c>
      <c r="AE478" s="56">
        <f t="shared" si="135"/>
        <v>0</v>
      </c>
      <c r="AF478" s="56">
        <f t="shared" si="135"/>
        <v>0</v>
      </c>
      <c r="AG478" s="56">
        <f t="shared" si="135"/>
        <v>0</v>
      </c>
      <c r="AH478" s="56">
        <f t="shared" si="135"/>
        <v>0</v>
      </c>
      <c r="AI478" s="56">
        <f t="shared" si="135"/>
        <v>0</v>
      </c>
      <c r="AJ478" s="56">
        <f t="shared" si="135"/>
        <v>0</v>
      </c>
      <c r="AK478" s="56">
        <f t="shared" si="135"/>
        <v>0</v>
      </c>
      <c r="AL478" s="56">
        <f t="shared" si="135"/>
        <v>0</v>
      </c>
      <c r="AM478" s="56">
        <f t="shared" si="135"/>
        <v>0</v>
      </c>
      <c r="AN478" s="56">
        <f t="shared" si="135"/>
        <v>0</v>
      </c>
      <c r="AO478" s="56">
        <f t="shared" si="135"/>
        <v>0</v>
      </c>
      <c r="AP478" s="29"/>
    </row>
    <row r="479" spans="1:42" outlineLevel="1" x14ac:dyDescent="0.25">
      <c r="A479" s="12"/>
      <c r="B479" s="13"/>
      <c r="C479" s="14"/>
      <c r="D479" s="14"/>
      <c r="E479" s="15"/>
      <c r="F479" s="16"/>
      <c r="G479" s="159"/>
      <c r="H479" s="159"/>
      <c r="I479" s="159"/>
      <c r="J479" s="159"/>
      <c r="K479" s="159"/>
      <c r="L479" s="159"/>
      <c r="M479" s="159"/>
      <c r="N479" s="159"/>
      <c r="O479" s="159"/>
      <c r="P479" s="159"/>
      <c r="Q479" s="159"/>
      <c r="R479" s="159"/>
      <c r="S479" s="159"/>
      <c r="T479" s="159"/>
      <c r="U479" s="159"/>
      <c r="V479" s="159"/>
      <c r="W479" s="159"/>
      <c r="X479" s="14"/>
      <c r="Y479" s="14"/>
      <c r="Z479" s="14"/>
      <c r="AA479" s="14"/>
      <c r="AB479" s="14"/>
      <c r="AC479" s="14"/>
      <c r="AD479" s="14"/>
      <c r="AE479" s="14"/>
      <c r="AF479" s="14"/>
      <c r="AG479" s="14"/>
      <c r="AH479" s="14"/>
      <c r="AI479" s="14"/>
      <c r="AJ479" s="14"/>
      <c r="AK479" s="14"/>
      <c r="AL479" s="14"/>
      <c r="AM479" s="14"/>
      <c r="AN479" s="14"/>
      <c r="AO479" s="14"/>
      <c r="AP479" s="14"/>
    </row>
    <row r="480" spans="1:42" outlineLevel="1" x14ac:dyDescent="0.25">
      <c r="A480" s="54"/>
      <c r="B480" s="13"/>
      <c r="C480" s="45" t="s">
        <v>205</v>
      </c>
      <c r="D480" s="14"/>
      <c r="E480" s="70" t="s">
        <v>474</v>
      </c>
      <c r="F480" s="200">
        <f>Data!$E$35/1000</f>
        <v>3.4099438202247192E-3</v>
      </c>
      <c r="G480" s="56">
        <f>J480</f>
        <v>0.77158032385198883</v>
      </c>
      <c r="H480" s="56"/>
      <c r="I480" s="56">
        <f>I472*$F$480</f>
        <v>0.77158032385198883</v>
      </c>
      <c r="J480" s="56">
        <f t="shared" ref="J480:AO480" si="136">J472*$F$480</f>
        <v>0.77158032385198883</v>
      </c>
      <c r="K480" s="56">
        <f t="shared" si="136"/>
        <v>0.77158032385198883</v>
      </c>
      <c r="L480" s="56">
        <f t="shared" si="136"/>
        <v>0.77158032385198883</v>
      </c>
      <c r="M480" s="56">
        <f t="shared" si="136"/>
        <v>0.77158032385198883</v>
      </c>
      <c r="N480" s="56">
        <f t="shared" si="136"/>
        <v>0.77158032385198883</v>
      </c>
      <c r="O480" s="56">
        <f t="shared" si="136"/>
        <v>0.77158032385198883</v>
      </c>
      <c r="P480" s="56">
        <f t="shared" si="136"/>
        <v>0.77158032385198883</v>
      </c>
      <c r="Q480" s="56">
        <f t="shared" si="136"/>
        <v>0.77158032385198883</v>
      </c>
      <c r="R480" s="56">
        <f t="shared" si="136"/>
        <v>0.77158032385198883</v>
      </c>
      <c r="S480" s="56">
        <f t="shared" si="136"/>
        <v>0.77158032385198883</v>
      </c>
      <c r="T480" s="56">
        <f t="shared" si="136"/>
        <v>0.77158032385198883</v>
      </c>
      <c r="U480" s="56">
        <f t="shared" si="136"/>
        <v>0</v>
      </c>
      <c r="V480" s="56">
        <f t="shared" si="136"/>
        <v>0</v>
      </c>
      <c r="W480" s="56">
        <f t="shared" si="136"/>
        <v>0</v>
      </c>
      <c r="X480" s="56">
        <f t="shared" si="136"/>
        <v>0</v>
      </c>
      <c r="Y480" s="56">
        <f t="shared" si="136"/>
        <v>0</v>
      </c>
      <c r="Z480" s="56">
        <f t="shared" si="136"/>
        <v>0</v>
      </c>
      <c r="AA480" s="56">
        <f t="shared" si="136"/>
        <v>0</v>
      </c>
      <c r="AB480" s="56">
        <f t="shared" si="136"/>
        <v>0</v>
      </c>
      <c r="AC480" s="56">
        <f t="shared" si="136"/>
        <v>0</v>
      </c>
      <c r="AD480" s="56">
        <f t="shared" si="136"/>
        <v>0</v>
      </c>
      <c r="AE480" s="56">
        <f t="shared" si="136"/>
        <v>0</v>
      </c>
      <c r="AF480" s="56">
        <f t="shared" si="136"/>
        <v>0</v>
      </c>
      <c r="AG480" s="56">
        <f t="shared" si="136"/>
        <v>0</v>
      </c>
      <c r="AH480" s="56">
        <f t="shared" si="136"/>
        <v>0</v>
      </c>
      <c r="AI480" s="56">
        <f t="shared" si="136"/>
        <v>0</v>
      </c>
      <c r="AJ480" s="56">
        <f t="shared" si="136"/>
        <v>0</v>
      </c>
      <c r="AK480" s="56">
        <f t="shared" si="136"/>
        <v>0</v>
      </c>
      <c r="AL480" s="56">
        <f t="shared" si="136"/>
        <v>0</v>
      </c>
      <c r="AM480" s="56">
        <f t="shared" si="136"/>
        <v>0</v>
      </c>
      <c r="AN480" s="56">
        <f t="shared" si="136"/>
        <v>0</v>
      </c>
      <c r="AO480" s="56">
        <f t="shared" si="136"/>
        <v>0</v>
      </c>
      <c r="AP480" s="29"/>
    </row>
    <row r="481" spans="1:42" outlineLevel="1" x14ac:dyDescent="0.25">
      <c r="A481" s="54"/>
      <c r="B481" s="13"/>
      <c r="C481" s="45" t="s">
        <v>484</v>
      </c>
      <c r="D481" s="14"/>
      <c r="E481" s="70" t="s">
        <v>474</v>
      </c>
      <c r="F481" s="200"/>
      <c r="G481" s="56"/>
      <c r="H481" s="56"/>
      <c r="I481" s="56">
        <f>I$473*Data!H$16/1000</f>
        <v>13843.910969316496</v>
      </c>
      <c r="J481" s="56">
        <f>J$473*Data!I$16/1000</f>
        <v>15271.118285740877</v>
      </c>
      <c r="K481" s="56">
        <f>K$473*Data!J$16/1000</f>
        <v>16555.60487052282</v>
      </c>
      <c r="L481" s="56">
        <f>L$473*Data!K$16/1000</f>
        <v>17982.812186947202</v>
      </c>
      <c r="M481" s="56">
        <f>M$473*Data!L$16/1000</f>
        <v>19410.019503371583</v>
      </c>
      <c r="N481" s="56">
        <f>N$473*Data!M$16/1000</f>
        <v>20837.226819795964</v>
      </c>
      <c r="O481" s="56">
        <f>O$473*Data!N$16/1000</f>
        <v>22121.713404577902</v>
      </c>
      <c r="P481" s="56">
        <f>P$473*Data!O$16/1000</f>
        <v>22978.037794432537</v>
      </c>
      <c r="Q481" s="56">
        <f>Q$473*Data!P$16/1000</f>
        <v>23834.362184287162</v>
      </c>
      <c r="R481" s="56">
        <f>R$473*Data!Q$16/1000</f>
        <v>24833.407305784229</v>
      </c>
      <c r="S481" s="56">
        <f>S$473*Data!R$16/1000</f>
        <v>25689.731695638857</v>
      </c>
      <c r="T481" s="56">
        <f>T$473*Data!S$16/1000</f>
        <v>26546.056085493485</v>
      </c>
      <c r="U481" s="56">
        <f>U$473*Data!T$16/1000</f>
        <v>0</v>
      </c>
      <c r="V481" s="56">
        <f>V$473*Data!U$16/1000</f>
        <v>0</v>
      </c>
      <c r="W481" s="56">
        <f>W$473*Data!V$16/1000</f>
        <v>0</v>
      </c>
      <c r="X481" s="56">
        <f>X$473*Data!W$16/1000</f>
        <v>0</v>
      </c>
      <c r="Y481" s="56">
        <f>Y$473*Data!X$16/1000</f>
        <v>0</v>
      </c>
      <c r="Z481" s="56">
        <f>Z$473*Data!Y$16/1000</f>
        <v>0</v>
      </c>
      <c r="AA481" s="56">
        <f>AA$473*Data!Z$16/1000</f>
        <v>0</v>
      </c>
      <c r="AB481" s="56">
        <f>AB$473*Data!AA$16/1000</f>
        <v>0</v>
      </c>
      <c r="AC481" s="56">
        <f>AC$473*Data!AB$16/1000</f>
        <v>0</v>
      </c>
      <c r="AD481" s="56">
        <f>AD$473*Data!AC$16/1000</f>
        <v>0</v>
      </c>
      <c r="AE481" s="56">
        <f>AE$473*Data!AD$16/1000</f>
        <v>0</v>
      </c>
      <c r="AF481" s="56">
        <f>AF$473*Data!AE$16/1000</f>
        <v>0</v>
      </c>
      <c r="AG481" s="56">
        <f>AG$473*Data!AF$16/1000</f>
        <v>0</v>
      </c>
      <c r="AH481" s="56">
        <f>AH$473*Data!AG$16/1000</f>
        <v>0</v>
      </c>
      <c r="AI481" s="56">
        <f>AI$473*Data!AH$16/1000</f>
        <v>0</v>
      </c>
      <c r="AJ481" s="56">
        <f>AJ$473*Data!AI$16/1000</f>
        <v>0</v>
      </c>
      <c r="AK481" s="56">
        <f>AK$473*Data!AJ$16/1000</f>
        <v>0</v>
      </c>
      <c r="AL481" s="56">
        <f>AL$473*Data!AK$16/1000</f>
        <v>0</v>
      </c>
      <c r="AM481" s="56">
        <f>AM$473*Data!AL$16/1000</f>
        <v>0</v>
      </c>
      <c r="AN481" s="56">
        <f>AN$473*Data!AM$16/1000</f>
        <v>0</v>
      </c>
      <c r="AO481" s="56">
        <f>AO$473*Data!AN$16/1000</f>
        <v>0</v>
      </c>
      <c r="AP481" s="29"/>
    </row>
    <row r="482" spans="1:42" outlineLevel="1" x14ac:dyDescent="0.25">
      <c r="A482" s="54"/>
      <c r="B482" s="13"/>
      <c r="C482" s="45" t="s">
        <v>285</v>
      </c>
      <c r="D482" s="14"/>
      <c r="E482" s="70" t="s">
        <v>474</v>
      </c>
      <c r="F482" s="200">
        <f>Data!$E$36/1000</f>
        <v>1.0822865168539326</v>
      </c>
      <c r="G482" s="56"/>
      <c r="H482" s="56"/>
      <c r="I482" s="56">
        <f>I474*$F$482</f>
        <v>19.454660332738875</v>
      </c>
      <c r="J482" s="56">
        <f t="shared" ref="J482:AO482" si="137">J474*$F$482</f>
        <v>19.454660332738875</v>
      </c>
      <c r="K482" s="56">
        <f t="shared" si="137"/>
        <v>19.454660332738875</v>
      </c>
      <c r="L482" s="56">
        <f t="shared" si="137"/>
        <v>19.454660332738875</v>
      </c>
      <c r="M482" s="56">
        <f t="shared" si="137"/>
        <v>19.454660332738875</v>
      </c>
      <c r="N482" s="56">
        <f t="shared" si="137"/>
        <v>19.454660332738875</v>
      </c>
      <c r="O482" s="56">
        <f t="shared" si="137"/>
        <v>19.454660332738875</v>
      </c>
      <c r="P482" s="56">
        <f t="shared" si="137"/>
        <v>19.454660332738875</v>
      </c>
      <c r="Q482" s="56">
        <f t="shared" si="137"/>
        <v>19.454660332738875</v>
      </c>
      <c r="R482" s="56">
        <f t="shared" si="137"/>
        <v>19.454660332738875</v>
      </c>
      <c r="S482" s="56">
        <f t="shared" si="137"/>
        <v>19.454660332738875</v>
      </c>
      <c r="T482" s="56">
        <f t="shared" si="137"/>
        <v>19.454660332738875</v>
      </c>
      <c r="U482" s="56">
        <f t="shared" si="137"/>
        <v>0</v>
      </c>
      <c r="V482" s="56">
        <f t="shared" si="137"/>
        <v>0</v>
      </c>
      <c r="W482" s="56">
        <f t="shared" si="137"/>
        <v>0</v>
      </c>
      <c r="X482" s="56">
        <f t="shared" si="137"/>
        <v>0</v>
      </c>
      <c r="Y482" s="56">
        <f t="shared" si="137"/>
        <v>0</v>
      </c>
      <c r="Z482" s="56">
        <f t="shared" si="137"/>
        <v>0</v>
      </c>
      <c r="AA482" s="56">
        <f t="shared" si="137"/>
        <v>0</v>
      </c>
      <c r="AB482" s="56">
        <f t="shared" si="137"/>
        <v>0</v>
      </c>
      <c r="AC482" s="56">
        <f t="shared" si="137"/>
        <v>0</v>
      </c>
      <c r="AD482" s="56">
        <f t="shared" si="137"/>
        <v>0</v>
      </c>
      <c r="AE482" s="56">
        <f t="shared" si="137"/>
        <v>0</v>
      </c>
      <c r="AF482" s="56">
        <f t="shared" si="137"/>
        <v>0</v>
      </c>
      <c r="AG482" s="56">
        <f t="shared" si="137"/>
        <v>0</v>
      </c>
      <c r="AH482" s="56">
        <f t="shared" si="137"/>
        <v>0</v>
      </c>
      <c r="AI482" s="56">
        <f t="shared" si="137"/>
        <v>0</v>
      </c>
      <c r="AJ482" s="56">
        <f t="shared" si="137"/>
        <v>0</v>
      </c>
      <c r="AK482" s="56">
        <f t="shared" si="137"/>
        <v>0</v>
      </c>
      <c r="AL482" s="56">
        <f t="shared" si="137"/>
        <v>0</v>
      </c>
      <c r="AM482" s="56">
        <f t="shared" si="137"/>
        <v>0</v>
      </c>
      <c r="AN482" s="56">
        <f t="shared" si="137"/>
        <v>0</v>
      </c>
      <c r="AO482" s="56">
        <f t="shared" si="137"/>
        <v>0</v>
      </c>
      <c r="AP482" s="29"/>
    </row>
    <row r="483" spans="1:42" outlineLevel="1" x14ac:dyDescent="0.25">
      <c r="A483" s="54"/>
      <c r="B483" s="13"/>
      <c r="C483" s="45" t="s">
        <v>220</v>
      </c>
      <c r="D483" s="14"/>
      <c r="E483" s="70" t="s">
        <v>474</v>
      </c>
      <c r="F483" s="200">
        <f>Data!$E$37/1000</f>
        <v>371.00188764044947</v>
      </c>
      <c r="G483" s="56"/>
      <c r="H483" s="56"/>
      <c r="I483" s="56">
        <f>I475*$F$483</f>
        <v>296030.41123011144</v>
      </c>
      <c r="J483" s="56">
        <f t="shared" ref="J483:AO483" si="138">J475*$F$483</f>
        <v>296030.41123011144</v>
      </c>
      <c r="K483" s="56">
        <f t="shared" si="138"/>
        <v>296030.41123011144</v>
      </c>
      <c r="L483" s="56">
        <f t="shared" si="138"/>
        <v>296030.41123011144</v>
      </c>
      <c r="M483" s="56">
        <f t="shared" si="138"/>
        <v>296030.41123011144</v>
      </c>
      <c r="N483" s="56">
        <f t="shared" si="138"/>
        <v>296030.41123011144</v>
      </c>
      <c r="O483" s="56">
        <f t="shared" si="138"/>
        <v>296030.41123011144</v>
      </c>
      <c r="P483" s="56">
        <f t="shared" si="138"/>
        <v>296030.41123011144</v>
      </c>
      <c r="Q483" s="56">
        <f t="shared" si="138"/>
        <v>296030.41123011144</v>
      </c>
      <c r="R483" s="56">
        <f t="shared" si="138"/>
        <v>296030.41123011144</v>
      </c>
      <c r="S483" s="56">
        <f t="shared" si="138"/>
        <v>296030.41123011144</v>
      </c>
      <c r="T483" s="56">
        <f t="shared" si="138"/>
        <v>296030.41123011144</v>
      </c>
      <c r="U483" s="56">
        <f t="shared" si="138"/>
        <v>0</v>
      </c>
      <c r="V483" s="56">
        <f t="shared" si="138"/>
        <v>0</v>
      </c>
      <c r="W483" s="56">
        <f t="shared" si="138"/>
        <v>0</v>
      </c>
      <c r="X483" s="56">
        <f t="shared" si="138"/>
        <v>0</v>
      </c>
      <c r="Y483" s="56">
        <f t="shared" si="138"/>
        <v>0</v>
      </c>
      <c r="Z483" s="56">
        <f t="shared" si="138"/>
        <v>0</v>
      </c>
      <c r="AA483" s="56">
        <f t="shared" si="138"/>
        <v>0</v>
      </c>
      <c r="AB483" s="56">
        <f t="shared" si="138"/>
        <v>0</v>
      </c>
      <c r="AC483" s="56">
        <f t="shared" si="138"/>
        <v>0</v>
      </c>
      <c r="AD483" s="56">
        <f t="shared" si="138"/>
        <v>0</v>
      </c>
      <c r="AE483" s="56">
        <f t="shared" si="138"/>
        <v>0</v>
      </c>
      <c r="AF483" s="56">
        <f t="shared" si="138"/>
        <v>0</v>
      </c>
      <c r="AG483" s="56">
        <f t="shared" si="138"/>
        <v>0</v>
      </c>
      <c r="AH483" s="56">
        <f t="shared" si="138"/>
        <v>0</v>
      </c>
      <c r="AI483" s="56">
        <f t="shared" si="138"/>
        <v>0</v>
      </c>
      <c r="AJ483" s="56">
        <f t="shared" si="138"/>
        <v>0</v>
      </c>
      <c r="AK483" s="56">
        <f t="shared" si="138"/>
        <v>0</v>
      </c>
      <c r="AL483" s="56">
        <f t="shared" si="138"/>
        <v>0</v>
      </c>
      <c r="AM483" s="56">
        <f t="shared" si="138"/>
        <v>0</v>
      </c>
      <c r="AN483" s="56">
        <f t="shared" si="138"/>
        <v>0</v>
      </c>
      <c r="AO483" s="56">
        <f t="shared" si="138"/>
        <v>0</v>
      </c>
      <c r="AP483" s="29"/>
    </row>
    <row r="484" spans="1:42" outlineLevel="1" x14ac:dyDescent="0.25">
      <c r="A484" s="54"/>
      <c r="B484" s="13"/>
      <c r="C484" s="45" t="s">
        <v>212</v>
      </c>
      <c r="D484" s="14"/>
      <c r="E484" s="70" t="s">
        <v>474</v>
      </c>
      <c r="F484" s="200">
        <f>Data!$E$39/1000</f>
        <v>0</v>
      </c>
      <c r="G484" s="56"/>
      <c r="H484" s="56"/>
      <c r="I484" s="56">
        <f>I476*$F$484</f>
        <v>0</v>
      </c>
      <c r="J484" s="56">
        <f t="shared" ref="J484:AO484" si="139">J476*$F$484</f>
        <v>0</v>
      </c>
      <c r="K484" s="56">
        <f t="shared" si="139"/>
        <v>0</v>
      </c>
      <c r="L484" s="56">
        <f t="shared" si="139"/>
        <v>0</v>
      </c>
      <c r="M484" s="56">
        <f t="shared" si="139"/>
        <v>0</v>
      </c>
      <c r="N484" s="56">
        <f t="shared" si="139"/>
        <v>0</v>
      </c>
      <c r="O484" s="56">
        <f t="shared" si="139"/>
        <v>0</v>
      </c>
      <c r="P484" s="56">
        <f t="shared" si="139"/>
        <v>0</v>
      </c>
      <c r="Q484" s="56">
        <f t="shared" si="139"/>
        <v>0</v>
      </c>
      <c r="R484" s="56">
        <f t="shared" si="139"/>
        <v>0</v>
      </c>
      <c r="S484" s="56">
        <f t="shared" si="139"/>
        <v>0</v>
      </c>
      <c r="T484" s="56">
        <f t="shared" si="139"/>
        <v>0</v>
      </c>
      <c r="U484" s="56">
        <f t="shared" si="139"/>
        <v>0</v>
      </c>
      <c r="V484" s="56">
        <f t="shared" si="139"/>
        <v>0</v>
      </c>
      <c r="W484" s="56">
        <f t="shared" si="139"/>
        <v>0</v>
      </c>
      <c r="X484" s="56">
        <f t="shared" si="139"/>
        <v>0</v>
      </c>
      <c r="Y484" s="56">
        <f t="shared" si="139"/>
        <v>0</v>
      </c>
      <c r="Z484" s="56">
        <f t="shared" si="139"/>
        <v>0</v>
      </c>
      <c r="AA484" s="56">
        <f t="shared" si="139"/>
        <v>0</v>
      </c>
      <c r="AB484" s="56">
        <f t="shared" si="139"/>
        <v>0</v>
      </c>
      <c r="AC484" s="56">
        <f t="shared" si="139"/>
        <v>0</v>
      </c>
      <c r="AD484" s="56">
        <f t="shared" si="139"/>
        <v>0</v>
      </c>
      <c r="AE484" s="56">
        <f t="shared" si="139"/>
        <v>0</v>
      </c>
      <c r="AF484" s="56">
        <f t="shared" si="139"/>
        <v>0</v>
      </c>
      <c r="AG484" s="56">
        <f t="shared" si="139"/>
        <v>0</v>
      </c>
      <c r="AH484" s="56">
        <f t="shared" si="139"/>
        <v>0</v>
      </c>
      <c r="AI484" s="56">
        <f t="shared" si="139"/>
        <v>0</v>
      </c>
      <c r="AJ484" s="56">
        <f t="shared" si="139"/>
        <v>0</v>
      </c>
      <c r="AK484" s="56">
        <f t="shared" si="139"/>
        <v>0</v>
      </c>
      <c r="AL484" s="56">
        <f t="shared" si="139"/>
        <v>0</v>
      </c>
      <c r="AM484" s="56">
        <f t="shared" si="139"/>
        <v>0</v>
      </c>
      <c r="AN484" s="56">
        <f t="shared" si="139"/>
        <v>0</v>
      </c>
      <c r="AO484" s="56">
        <f t="shared" si="139"/>
        <v>0</v>
      </c>
      <c r="AP484" s="29"/>
    </row>
    <row r="485" spans="1:42" outlineLevel="1" x14ac:dyDescent="0.25">
      <c r="A485" s="54"/>
      <c r="B485" s="13"/>
      <c r="C485" s="45" t="s">
        <v>485</v>
      </c>
      <c r="D485" s="14"/>
      <c r="E485" s="70" t="s">
        <v>474</v>
      </c>
      <c r="F485" s="200">
        <f>Data!$E$40/1000</f>
        <v>605.20914606741576</v>
      </c>
      <c r="G485" s="56"/>
      <c r="H485" s="56"/>
      <c r="I485" s="56">
        <f>I477*$F$485</f>
        <v>11910.593269432351</v>
      </c>
      <c r="J485" s="56">
        <f t="shared" ref="J485:AO485" si="140">J477*$F$485</f>
        <v>11910.593269432351</v>
      </c>
      <c r="K485" s="56">
        <f t="shared" si="140"/>
        <v>11910.593269432351</v>
      </c>
      <c r="L485" s="56">
        <f t="shared" si="140"/>
        <v>11910.593269432351</v>
      </c>
      <c r="M485" s="56">
        <f t="shared" si="140"/>
        <v>11910.593269432351</v>
      </c>
      <c r="N485" s="56">
        <f t="shared" si="140"/>
        <v>11910.593269432351</v>
      </c>
      <c r="O485" s="56">
        <f t="shared" si="140"/>
        <v>11910.593269432351</v>
      </c>
      <c r="P485" s="56">
        <f t="shared" si="140"/>
        <v>11910.593269432351</v>
      </c>
      <c r="Q485" s="56">
        <f t="shared" si="140"/>
        <v>11910.593269432351</v>
      </c>
      <c r="R485" s="56">
        <f t="shared" si="140"/>
        <v>11910.593269432351</v>
      </c>
      <c r="S485" s="56">
        <f t="shared" si="140"/>
        <v>11910.593269432351</v>
      </c>
      <c r="T485" s="56">
        <f t="shared" si="140"/>
        <v>11910.593269432351</v>
      </c>
      <c r="U485" s="56">
        <f t="shared" si="140"/>
        <v>0</v>
      </c>
      <c r="V485" s="56">
        <f t="shared" si="140"/>
        <v>0</v>
      </c>
      <c r="W485" s="56">
        <f t="shared" si="140"/>
        <v>0</v>
      </c>
      <c r="X485" s="56">
        <f t="shared" si="140"/>
        <v>0</v>
      </c>
      <c r="Y485" s="56">
        <f t="shared" si="140"/>
        <v>0</v>
      </c>
      <c r="Z485" s="56">
        <f t="shared" si="140"/>
        <v>0</v>
      </c>
      <c r="AA485" s="56">
        <f t="shared" si="140"/>
        <v>0</v>
      </c>
      <c r="AB485" s="56">
        <f t="shared" si="140"/>
        <v>0</v>
      </c>
      <c r="AC485" s="56">
        <f t="shared" si="140"/>
        <v>0</v>
      </c>
      <c r="AD485" s="56">
        <f t="shared" si="140"/>
        <v>0</v>
      </c>
      <c r="AE485" s="56">
        <f t="shared" si="140"/>
        <v>0</v>
      </c>
      <c r="AF485" s="56">
        <f t="shared" si="140"/>
        <v>0</v>
      </c>
      <c r="AG485" s="56">
        <f t="shared" si="140"/>
        <v>0</v>
      </c>
      <c r="AH485" s="56">
        <f t="shared" si="140"/>
        <v>0</v>
      </c>
      <c r="AI485" s="56">
        <f t="shared" si="140"/>
        <v>0</v>
      </c>
      <c r="AJ485" s="56">
        <f t="shared" si="140"/>
        <v>0</v>
      </c>
      <c r="AK485" s="56">
        <f t="shared" si="140"/>
        <v>0</v>
      </c>
      <c r="AL485" s="56">
        <f t="shared" si="140"/>
        <v>0</v>
      </c>
      <c r="AM485" s="56">
        <f t="shared" si="140"/>
        <v>0</v>
      </c>
      <c r="AN485" s="56">
        <f t="shared" si="140"/>
        <v>0</v>
      </c>
      <c r="AO485" s="56">
        <f t="shared" si="140"/>
        <v>0</v>
      </c>
      <c r="AP485" s="29"/>
    </row>
    <row r="486" spans="1:42" outlineLevel="1" x14ac:dyDescent="0.25">
      <c r="A486" s="54"/>
      <c r="B486" s="13"/>
      <c r="C486" s="45" t="s">
        <v>214</v>
      </c>
      <c r="D486" s="14"/>
      <c r="E486" s="70" t="s">
        <v>474</v>
      </c>
      <c r="F486" s="200">
        <f>Data!$E$41/1000</f>
        <v>0</v>
      </c>
      <c r="G486" s="56"/>
      <c r="H486" s="56"/>
      <c r="I486" s="56">
        <f>I478*$F$486</f>
        <v>0</v>
      </c>
      <c r="J486" s="56">
        <f t="shared" ref="J486:AO486" si="141">J478*$F$486</f>
        <v>0</v>
      </c>
      <c r="K486" s="56">
        <f t="shared" si="141"/>
        <v>0</v>
      </c>
      <c r="L486" s="56">
        <f t="shared" si="141"/>
        <v>0</v>
      </c>
      <c r="M486" s="56">
        <f t="shared" si="141"/>
        <v>0</v>
      </c>
      <c r="N486" s="56">
        <f t="shared" si="141"/>
        <v>0</v>
      </c>
      <c r="O486" s="56">
        <f t="shared" si="141"/>
        <v>0</v>
      </c>
      <c r="P486" s="56">
        <f t="shared" si="141"/>
        <v>0</v>
      </c>
      <c r="Q486" s="56">
        <f t="shared" si="141"/>
        <v>0</v>
      </c>
      <c r="R486" s="56">
        <f t="shared" si="141"/>
        <v>0</v>
      </c>
      <c r="S486" s="56">
        <f t="shared" si="141"/>
        <v>0</v>
      </c>
      <c r="T486" s="56">
        <f t="shared" si="141"/>
        <v>0</v>
      </c>
      <c r="U486" s="56">
        <f t="shared" si="141"/>
        <v>0</v>
      </c>
      <c r="V486" s="56">
        <f t="shared" si="141"/>
        <v>0</v>
      </c>
      <c r="W486" s="56">
        <f t="shared" si="141"/>
        <v>0</v>
      </c>
      <c r="X486" s="56">
        <f t="shared" si="141"/>
        <v>0</v>
      </c>
      <c r="Y486" s="56">
        <f t="shared" si="141"/>
        <v>0</v>
      </c>
      <c r="Z486" s="56">
        <f t="shared" si="141"/>
        <v>0</v>
      </c>
      <c r="AA486" s="56">
        <f t="shared" si="141"/>
        <v>0</v>
      </c>
      <c r="AB486" s="56">
        <f t="shared" si="141"/>
        <v>0</v>
      </c>
      <c r="AC486" s="56">
        <f t="shared" si="141"/>
        <v>0</v>
      </c>
      <c r="AD486" s="56">
        <f t="shared" si="141"/>
        <v>0</v>
      </c>
      <c r="AE486" s="56">
        <f t="shared" si="141"/>
        <v>0</v>
      </c>
      <c r="AF486" s="56">
        <f t="shared" si="141"/>
        <v>0</v>
      </c>
      <c r="AG486" s="56">
        <f t="shared" si="141"/>
        <v>0</v>
      </c>
      <c r="AH486" s="56">
        <f t="shared" si="141"/>
        <v>0</v>
      </c>
      <c r="AI486" s="56">
        <f t="shared" si="141"/>
        <v>0</v>
      </c>
      <c r="AJ486" s="56">
        <f t="shared" si="141"/>
        <v>0</v>
      </c>
      <c r="AK486" s="56">
        <f t="shared" si="141"/>
        <v>0</v>
      </c>
      <c r="AL486" s="56">
        <f t="shared" si="141"/>
        <v>0</v>
      </c>
      <c r="AM486" s="56">
        <f t="shared" si="141"/>
        <v>0</v>
      </c>
      <c r="AN486" s="56">
        <f t="shared" si="141"/>
        <v>0</v>
      </c>
      <c r="AO486" s="56">
        <f t="shared" si="141"/>
        <v>0</v>
      </c>
      <c r="AP486" s="29"/>
    </row>
    <row r="487" spans="1:42" outlineLevel="1" x14ac:dyDescent="0.25">
      <c r="A487" s="12"/>
      <c r="B487" s="13"/>
      <c r="C487" s="20" t="s">
        <v>486</v>
      </c>
      <c r="D487" s="14"/>
      <c r="E487" s="70" t="s">
        <v>474</v>
      </c>
      <c r="F487" s="16"/>
      <c r="G487" s="159"/>
      <c r="H487" s="185"/>
      <c r="I487" s="185">
        <f>SUM(I480:I486)</f>
        <v>321805.14170951687</v>
      </c>
      <c r="J487" s="185">
        <f t="shared" ref="J487:AO487" si="142">SUM(J480:J486)</f>
        <v>323232.34902594128</v>
      </c>
      <c r="K487" s="185">
        <f t="shared" si="142"/>
        <v>324516.83561072324</v>
      </c>
      <c r="L487" s="185">
        <f t="shared" si="142"/>
        <v>325944.04292714759</v>
      </c>
      <c r="M487" s="185">
        <f t="shared" si="142"/>
        <v>327371.25024357199</v>
      </c>
      <c r="N487" s="185">
        <f t="shared" si="142"/>
        <v>328798.45755999634</v>
      </c>
      <c r="O487" s="185">
        <f t="shared" si="142"/>
        <v>330082.9441447783</v>
      </c>
      <c r="P487" s="185">
        <f t="shared" si="142"/>
        <v>330939.26853463292</v>
      </c>
      <c r="Q487" s="185">
        <f t="shared" si="142"/>
        <v>331795.59292448754</v>
      </c>
      <c r="R487" s="185">
        <f t="shared" si="142"/>
        <v>332794.63804598461</v>
      </c>
      <c r="S487" s="185">
        <f t="shared" si="142"/>
        <v>333650.96243583923</v>
      </c>
      <c r="T487" s="185">
        <f t="shared" si="142"/>
        <v>334507.28682569391</v>
      </c>
      <c r="U487" s="185">
        <f t="shared" si="142"/>
        <v>0</v>
      </c>
      <c r="V487" s="185">
        <f t="shared" si="142"/>
        <v>0</v>
      </c>
      <c r="W487" s="185">
        <f t="shared" si="142"/>
        <v>0</v>
      </c>
      <c r="X487" s="185">
        <f t="shared" si="142"/>
        <v>0</v>
      </c>
      <c r="Y487" s="185">
        <f t="shared" si="142"/>
        <v>0</v>
      </c>
      <c r="Z487" s="185">
        <f t="shared" si="142"/>
        <v>0</v>
      </c>
      <c r="AA487" s="185">
        <f t="shared" si="142"/>
        <v>0</v>
      </c>
      <c r="AB487" s="185">
        <f t="shared" si="142"/>
        <v>0</v>
      </c>
      <c r="AC487" s="185">
        <f t="shared" si="142"/>
        <v>0</v>
      </c>
      <c r="AD487" s="185">
        <f t="shared" si="142"/>
        <v>0</v>
      </c>
      <c r="AE487" s="185">
        <f t="shared" si="142"/>
        <v>0</v>
      </c>
      <c r="AF487" s="185">
        <f t="shared" si="142"/>
        <v>0</v>
      </c>
      <c r="AG487" s="185">
        <f t="shared" si="142"/>
        <v>0</v>
      </c>
      <c r="AH487" s="185">
        <f t="shared" si="142"/>
        <v>0</v>
      </c>
      <c r="AI487" s="185">
        <f t="shared" si="142"/>
        <v>0</v>
      </c>
      <c r="AJ487" s="185">
        <f t="shared" si="142"/>
        <v>0</v>
      </c>
      <c r="AK487" s="185">
        <f t="shared" si="142"/>
        <v>0</v>
      </c>
      <c r="AL487" s="185">
        <f t="shared" si="142"/>
        <v>0</v>
      </c>
      <c r="AM487" s="185">
        <f t="shared" si="142"/>
        <v>0</v>
      </c>
      <c r="AN487" s="185">
        <f t="shared" si="142"/>
        <v>0</v>
      </c>
      <c r="AO487" s="185">
        <f t="shared" si="142"/>
        <v>0</v>
      </c>
      <c r="AP487" s="14"/>
    </row>
    <row r="488" spans="1:42" outlineLevel="1" x14ac:dyDescent="0.25">
      <c r="A488" s="12"/>
      <c r="B488" s="13"/>
      <c r="C488" s="14" t="s">
        <v>487</v>
      </c>
      <c r="D488" s="14"/>
      <c r="E488" s="15" t="s">
        <v>474</v>
      </c>
      <c r="F488" s="48"/>
      <c r="G488" s="185"/>
      <c r="H488" s="185"/>
      <c r="I488" s="185">
        <f>I487*Data!H$9</f>
        <v>309428.02087453543</v>
      </c>
      <c r="J488" s="185">
        <f>J487*Data!I$9</f>
        <v>298846.47654025635</v>
      </c>
      <c r="K488" s="185">
        <f>K487*Data!J$9</f>
        <v>288494.28518534085</v>
      </c>
      <c r="L488" s="185">
        <f>L487*Data!K$9</f>
        <v>278618.33393529861</v>
      </c>
      <c r="M488" s="185">
        <f>M487*Data!L$9</f>
        <v>269075.3045488908</v>
      </c>
      <c r="N488" s="185">
        <f>N487*Data!M$9</f>
        <v>259854.19704733195</v>
      </c>
      <c r="O488" s="185">
        <f>O487*Data!N$9</f>
        <v>250835.90908979875</v>
      </c>
      <c r="P488" s="185">
        <f>P487*Data!O$9</f>
        <v>241814.08196877749</v>
      </c>
      <c r="Q488" s="185">
        <f>Q487*Data!P$9</f>
        <v>233115.18251225821</v>
      </c>
      <c r="R488" s="185">
        <f>R487*Data!Q$9</f>
        <v>224824.13304121807</v>
      </c>
      <c r="S488" s="185">
        <f>S487*Data!R$9</f>
        <v>216733.30299605336</v>
      </c>
      <c r="T488" s="185">
        <f>T487*Data!S$9</f>
        <v>208932.26441436101</v>
      </c>
      <c r="U488" s="185">
        <f>U487*Data!T$9</f>
        <v>0</v>
      </c>
      <c r="V488" s="185">
        <f>V487*Data!U$9</f>
        <v>0</v>
      </c>
      <c r="W488" s="185">
        <f>W487*Data!V$9</f>
        <v>0</v>
      </c>
      <c r="X488" s="185">
        <f>X487*Data!W$9</f>
        <v>0</v>
      </c>
      <c r="Y488" s="185">
        <f>Y487*Data!X$9</f>
        <v>0</v>
      </c>
      <c r="Z488" s="185">
        <f>Z487*Data!Y$9</f>
        <v>0</v>
      </c>
      <c r="AA488" s="185">
        <f>AA487*Data!Z$9</f>
        <v>0</v>
      </c>
      <c r="AB488" s="185">
        <f>AB487*Data!AA$9</f>
        <v>0</v>
      </c>
      <c r="AC488" s="185">
        <f>AC487*Data!AB$9</f>
        <v>0</v>
      </c>
      <c r="AD488" s="185">
        <f>AD487*Data!AC$9</f>
        <v>0</v>
      </c>
      <c r="AE488" s="185">
        <f>AE487*Data!AD$9</f>
        <v>0</v>
      </c>
      <c r="AF488" s="185">
        <f>AF487*Data!AE$9</f>
        <v>0</v>
      </c>
      <c r="AG488" s="185">
        <f>AG487*Data!AF$9</f>
        <v>0</v>
      </c>
      <c r="AH488" s="185">
        <f>AH487*Data!AG$9</f>
        <v>0</v>
      </c>
      <c r="AI488" s="185">
        <f>AI487*Data!AH$9</f>
        <v>0</v>
      </c>
      <c r="AJ488" s="185">
        <f>AJ487*Data!AI$9</f>
        <v>0</v>
      </c>
      <c r="AK488" s="185">
        <f>AK487*Data!AJ$9</f>
        <v>0</v>
      </c>
      <c r="AL488" s="185">
        <f>AL487*Data!AK$9</f>
        <v>0</v>
      </c>
      <c r="AM488" s="185">
        <f>AM487*Data!AL$9</f>
        <v>0</v>
      </c>
      <c r="AN488" s="185">
        <f>AN487*Data!AM$9</f>
        <v>0</v>
      </c>
      <c r="AO488" s="185">
        <f>AO487*Data!AN$9</f>
        <v>0</v>
      </c>
      <c r="AP488" s="14"/>
    </row>
    <row r="489" spans="1:42" outlineLevel="1" x14ac:dyDescent="0.25">
      <c r="A489" s="12"/>
      <c r="B489" s="13"/>
      <c r="C489" s="14" t="s">
        <v>489</v>
      </c>
      <c r="D489" s="14"/>
      <c r="F489" s="48"/>
      <c r="G489" s="185">
        <f>SUM(H488:AP488)</f>
        <v>3080571.4921541209</v>
      </c>
      <c r="H489" s="244"/>
      <c r="I489" s="185"/>
      <c r="J489" s="185"/>
      <c r="K489" s="185"/>
      <c r="L489" s="185"/>
      <c r="M489" s="185"/>
      <c r="N489" s="185"/>
      <c r="O489" s="185"/>
      <c r="P489" s="185"/>
      <c r="Q489" s="185"/>
      <c r="R489" s="185"/>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4"/>
    </row>
    <row r="490" spans="1:42" outlineLevel="1" x14ac:dyDescent="0.25">
      <c r="A490" s="12"/>
      <c r="B490" s="13"/>
      <c r="C490" s="41" t="s">
        <v>62</v>
      </c>
      <c r="D490" s="14"/>
      <c r="E490" s="15" t="s">
        <v>261</v>
      </c>
      <c r="F490" s="48"/>
      <c r="G490" s="184">
        <f>G489/SUM(H470:AP470)</f>
        <v>4.9866800896045724</v>
      </c>
      <c r="H490" s="185"/>
      <c r="I490" s="185"/>
      <c r="J490" s="185"/>
      <c r="K490" s="185"/>
      <c r="L490" s="185"/>
      <c r="M490" s="185"/>
      <c r="N490" s="185"/>
      <c r="O490" s="185"/>
      <c r="P490" s="185"/>
      <c r="Q490" s="185"/>
      <c r="R490" s="185"/>
      <c r="S490" s="185"/>
      <c r="T490" s="185"/>
      <c r="U490" s="185"/>
      <c r="V490" s="185"/>
      <c r="W490" s="185"/>
      <c r="X490" s="185"/>
      <c r="Y490" s="185"/>
      <c r="Z490" s="185"/>
      <c r="AA490" s="185"/>
      <c r="AB490" s="185"/>
      <c r="AC490" s="185"/>
      <c r="AD490" s="185"/>
      <c r="AE490" s="185"/>
      <c r="AF490" s="185"/>
      <c r="AG490" s="185"/>
      <c r="AH490" s="185"/>
      <c r="AI490" s="185"/>
      <c r="AJ490" s="185"/>
      <c r="AK490" s="185"/>
      <c r="AL490" s="185"/>
      <c r="AM490" s="185"/>
      <c r="AN490" s="185"/>
      <c r="AO490" s="185"/>
      <c r="AP490" s="14"/>
    </row>
    <row r="491" spans="1:42" outlineLevel="1" x14ac:dyDescent="0.25">
      <c r="A491" s="12"/>
      <c r="B491" s="13"/>
      <c r="C491" s="41"/>
      <c r="D491" s="14"/>
      <c r="E491" s="15"/>
      <c r="F491" s="48"/>
      <c r="G491" s="185"/>
      <c r="H491" s="185"/>
      <c r="I491" s="185"/>
      <c r="J491" s="185"/>
      <c r="K491" s="185"/>
      <c r="L491" s="185"/>
      <c r="M491" s="185"/>
      <c r="N491" s="185"/>
      <c r="O491" s="185"/>
      <c r="P491" s="185"/>
      <c r="Q491" s="185"/>
      <c r="R491" s="185"/>
      <c r="S491" s="185"/>
      <c r="T491" s="185"/>
      <c r="U491" s="185"/>
      <c r="V491" s="185"/>
      <c r="W491" s="185"/>
      <c r="X491" s="185"/>
      <c r="Y491" s="185"/>
      <c r="Z491" s="185"/>
      <c r="AA491" s="185"/>
      <c r="AB491" s="185"/>
      <c r="AC491" s="185"/>
      <c r="AD491" s="185"/>
      <c r="AE491" s="185"/>
      <c r="AF491" s="185"/>
      <c r="AG491" s="185"/>
      <c r="AH491" s="185"/>
      <c r="AI491" s="185"/>
      <c r="AJ491" s="185"/>
      <c r="AK491" s="185"/>
      <c r="AL491" s="185"/>
      <c r="AM491" s="185"/>
      <c r="AN491" s="185"/>
      <c r="AO491" s="185"/>
      <c r="AP491" s="14"/>
    </row>
    <row r="492" spans="1:42" outlineLevel="1" x14ac:dyDescent="0.25">
      <c r="A492" s="12"/>
      <c r="B492" s="13"/>
      <c r="C492" s="20" t="s">
        <v>489</v>
      </c>
      <c r="D492" s="19"/>
      <c r="E492" s="15" t="s">
        <v>261</v>
      </c>
      <c r="F492" s="16"/>
      <c r="G492" s="184">
        <f>G443+G467+G490</f>
        <v>5.0223972014661733</v>
      </c>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row>
    <row r="493" spans="1:42" ht="18.75" outlineLevel="1" x14ac:dyDescent="0.3">
      <c r="A493" s="12"/>
      <c r="B493" s="13"/>
      <c r="C493" s="226" t="str">
        <f>C354</f>
        <v>TCO 1: End-of-Life Diesel Bus Replacement with BEB</v>
      </c>
      <c r="D493" s="225"/>
      <c r="E493" s="15" t="s">
        <v>261</v>
      </c>
      <c r="F493" s="16"/>
      <c r="G493" s="224">
        <f>G434+G492</f>
        <v>6.5875164804568431</v>
      </c>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row>
    <row r="494" spans="1:42" outlineLevel="1" x14ac:dyDescent="0.25">
      <c r="A494" s="12"/>
      <c r="B494" s="13"/>
      <c r="C494" s="41"/>
      <c r="D494" s="41"/>
      <c r="E494" s="15"/>
      <c r="F494" s="16"/>
      <c r="G494" s="14"/>
      <c r="H494" s="141"/>
      <c r="I494" s="141"/>
      <c r="J494" s="141"/>
      <c r="K494" s="141"/>
      <c r="L494" s="141"/>
      <c r="M494" s="141"/>
      <c r="N494" s="141"/>
      <c r="O494" s="141"/>
      <c r="P494" s="141"/>
      <c r="Q494" s="141"/>
      <c r="R494" s="141"/>
      <c r="S494" s="141"/>
      <c r="T494" s="141"/>
      <c r="U494" s="141"/>
      <c r="V494" s="141"/>
      <c r="W494" s="141"/>
      <c r="X494" s="141"/>
      <c r="Y494" s="141"/>
      <c r="Z494" s="141"/>
      <c r="AA494" s="141"/>
      <c r="AB494" s="141"/>
      <c r="AC494" s="14"/>
      <c r="AD494" s="14"/>
      <c r="AE494" s="14"/>
      <c r="AF494" s="14"/>
      <c r="AG494" s="14"/>
      <c r="AH494" s="14"/>
      <c r="AI494" s="14"/>
      <c r="AJ494" s="14"/>
      <c r="AK494" s="14"/>
      <c r="AL494" s="14"/>
      <c r="AM494" s="14"/>
      <c r="AN494" s="14"/>
      <c r="AO494" s="14"/>
      <c r="AP494" s="17"/>
    </row>
    <row r="495" spans="1:42" x14ac:dyDescent="0.25">
      <c r="A495" s="261"/>
      <c r="B495" s="261"/>
      <c r="C495" s="261" t="s">
        <v>576</v>
      </c>
      <c r="D495" s="261"/>
      <c r="E495" s="262"/>
      <c r="F495" s="263"/>
      <c r="G495" s="263"/>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3"/>
      <c r="AD495" s="263"/>
      <c r="AE495" s="263"/>
      <c r="AF495" s="263"/>
      <c r="AG495" s="263"/>
      <c r="AH495" s="263"/>
      <c r="AI495" s="263"/>
      <c r="AJ495" s="263"/>
      <c r="AK495" s="263"/>
      <c r="AL495" s="263"/>
      <c r="AM495" s="263"/>
      <c r="AN495" s="263"/>
      <c r="AO495" s="263"/>
      <c r="AP495" s="265"/>
    </row>
    <row r="496" spans="1:42" outlineLevel="1" x14ac:dyDescent="0.25">
      <c r="A496" s="12"/>
      <c r="B496" s="13"/>
      <c r="C496" s="41"/>
      <c r="D496" s="41"/>
      <c r="E496" s="15"/>
      <c r="F496" s="16"/>
      <c r="G496" s="14"/>
      <c r="H496" s="141"/>
      <c r="I496" s="141"/>
      <c r="J496" s="141"/>
      <c r="K496" s="141"/>
      <c r="L496" s="141"/>
      <c r="M496" s="141"/>
      <c r="N496" s="141"/>
      <c r="O496" s="141"/>
      <c r="P496" s="141"/>
      <c r="Q496" s="141"/>
      <c r="R496" s="141"/>
      <c r="S496" s="141"/>
      <c r="T496" s="141"/>
      <c r="U496" s="141"/>
      <c r="V496" s="141"/>
      <c r="W496" s="141"/>
      <c r="X496" s="141"/>
      <c r="Y496" s="141"/>
      <c r="Z496" s="141"/>
      <c r="AA496" s="141"/>
      <c r="AB496" s="141"/>
      <c r="AC496" s="14"/>
      <c r="AD496" s="14"/>
      <c r="AE496" s="14"/>
      <c r="AF496" s="14"/>
      <c r="AG496" s="14"/>
      <c r="AH496" s="14"/>
      <c r="AI496" s="14"/>
      <c r="AJ496" s="14"/>
      <c r="AK496" s="14"/>
      <c r="AL496" s="14"/>
      <c r="AM496" s="14"/>
      <c r="AN496" s="14"/>
      <c r="AO496" s="14"/>
      <c r="AP496" s="17"/>
    </row>
    <row r="497" spans="1:42" outlineLevel="1" x14ac:dyDescent="0.25">
      <c r="A497" s="12"/>
      <c r="B497" s="13"/>
      <c r="C497" s="37" t="s">
        <v>508</v>
      </c>
      <c r="D497" s="37"/>
      <c r="E497" s="38"/>
      <c r="F497" s="39"/>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17"/>
    </row>
    <row r="498" spans="1:42" outlineLevel="1" x14ac:dyDescent="0.25">
      <c r="A498" s="12"/>
      <c r="B498" s="13"/>
      <c r="C498" s="95" t="s">
        <v>559</v>
      </c>
      <c r="D498" s="14"/>
      <c r="E498" s="15"/>
      <c r="F498" s="16"/>
      <c r="G498" s="14"/>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29"/>
    </row>
    <row r="499" spans="1:42" outlineLevel="1" x14ac:dyDescent="0.25">
      <c r="A499" s="12"/>
      <c r="B499" s="13"/>
      <c r="C499" s="96" t="s">
        <v>120</v>
      </c>
      <c r="D499" s="14"/>
      <c r="E499" s="15" t="s">
        <v>142</v>
      </c>
      <c r="F499" s="158" t="str">
        <f>Dashboard!$I$53</f>
        <v>3 Axle rigid</v>
      </c>
      <c r="G499" s="14"/>
      <c r="H499" s="177">
        <f>IF(F499=C499,Data!$E$302,0)</f>
        <v>0</v>
      </c>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29"/>
    </row>
    <row r="500" spans="1:42" outlineLevel="1" x14ac:dyDescent="0.25">
      <c r="A500" s="12"/>
      <c r="B500" s="13"/>
      <c r="C500" s="96" t="s">
        <v>124</v>
      </c>
      <c r="D500" s="14"/>
      <c r="E500" s="15" t="s">
        <v>142</v>
      </c>
      <c r="F500" s="158" t="str">
        <f>Dashboard!$I$53</f>
        <v>3 Axle rigid</v>
      </c>
      <c r="G500" s="14"/>
      <c r="H500" s="177">
        <f>IF(F500=C500,Data!$E$303,0)</f>
        <v>716333.33333333337</v>
      </c>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29"/>
    </row>
    <row r="501" spans="1:42" outlineLevel="1" x14ac:dyDescent="0.25">
      <c r="A501" s="12"/>
      <c r="B501" s="13"/>
      <c r="C501" s="96" t="s">
        <v>126</v>
      </c>
      <c r="D501" s="14"/>
      <c r="E501" s="15" t="s">
        <v>142</v>
      </c>
      <c r="F501" s="158" t="str">
        <f>Dashboard!$I$53</f>
        <v>3 Axle rigid</v>
      </c>
      <c r="G501" s="14"/>
      <c r="H501" s="177">
        <f>IF(F501=C501,Data!$E$304,0)</f>
        <v>0</v>
      </c>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29"/>
    </row>
    <row r="502" spans="1:42" outlineLevel="1" x14ac:dyDescent="0.25">
      <c r="A502" s="12"/>
      <c r="B502" s="13"/>
      <c r="C502" s="96"/>
      <c r="D502" s="14"/>
      <c r="E502" s="15"/>
      <c r="F502" s="158"/>
      <c r="G502" s="14"/>
      <c r="H502" s="177"/>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29"/>
    </row>
    <row r="503" spans="1:42" outlineLevel="1" x14ac:dyDescent="0.25">
      <c r="A503" s="12"/>
      <c r="B503" s="13"/>
      <c r="C503" s="95" t="s">
        <v>594</v>
      </c>
      <c r="D503" s="14"/>
      <c r="E503" s="15"/>
      <c r="F503" s="158"/>
      <c r="G503" s="14"/>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151"/>
      <c r="AG503" s="151"/>
      <c r="AH503" s="151"/>
      <c r="AI503" s="151"/>
      <c r="AJ503" s="151"/>
      <c r="AK503" s="151"/>
      <c r="AL503" s="151"/>
      <c r="AM503" s="151"/>
      <c r="AN503" s="151"/>
      <c r="AO503" s="151"/>
      <c r="AP503" s="29"/>
    </row>
    <row r="504" spans="1:42" outlineLevel="1" x14ac:dyDescent="0.25">
      <c r="A504" s="12"/>
      <c r="B504" s="13"/>
      <c r="C504" s="96" t="s">
        <v>120</v>
      </c>
      <c r="D504" s="14"/>
      <c r="E504" s="15" t="s">
        <v>142</v>
      </c>
      <c r="F504" s="158" t="str">
        <f>Dashboard!$I$53</f>
        <v>3 Axle rigid</v>
      </c>
      <c r="G504" s="14"/>
      <c r="H504" s="151">
        <f>IF(COUNT($H$3:H$3)=(Data!$E$307+1),IF($F$504=$C$504,H$26,0),0)</f>
        <v>0</v>
      </c>
      <c r="I504" s="151">
        <f>IF(COUNT($H$3:I$3)=(Data!$E$307+1),IF($F$504=$C$504,I$26,0),0)</f>
        <v>0</v>
      </c>
      <c r="J504" s="151">
        <f>IF(COUNT($H$3:J$3)=(Data!$E$307+1),IF($F$504=$C$504,J$26,0),0)</f>
        <v>0</v>
      </c>
      <c r="K504" s="151">
        <f>IF(COUNT($H$3:K$3)=(Data!$E$307+1),IF($F$504=$C$504,K$26,0),0)</f>
        <v>0</v>
      </c>
      <c r="L504" s="151">
        <f>IF(COUNT($H$3:L$3)=(Data!$E$307+1),IF($F$504=$C$504,L$26,0),0)</f>
        <v>0</v>
      </c>
      <c r="M504" s="151">
        <f>IF(COUNT($H$3:M$3)=(Data!$E$307+1),IF($F$504=$C$504,M$26,0),0)</f>
        <v>0</v>
      </c>
      <c r="N504" s="151">
        <f>IF(COUNT($H$3:N$3)=(Data!$E$307+1),IF($F$504=$C$504,N$26,0),0)</f>
        <v>0</v>
      </c>
      <c r="O504" s="151">
        <f>IF(COUNT($H$3:O$3)=(Data!$E$307+1),IF($F$504=$C$504,O$26,0),0)</f>
        <v>0</v>
      </c>
      <c r="P504" s="151">
        <f>IF(COUNT($H$3:P$3)=(Data!$E$307+1),IF($F$504=$C$504,P$26,0),0)</f>
        <v>0</v>
      </c>
      <c r="Q504" s="151">
        <f>IF(COUNT($H$3:Q$3)=(Data!$E$307+1),IF($F$504=$C$504,Q$26,0),0)</f>
        <v>0</v>
      </c>
      <c r="R504" s="151">
        <f>IF(COUNT($H$3:R$3)=(Data!$E$307+1),IF($F$504=$C$504,R$26,0),0)</f>
        <v>0</v>
      </c>
      <c r="S504" s="151">
        <f>IF(COUNT($H$3:S$3)=(Data!$E$307+1),IF($F$504=$C$504,S$26,0),0)</f>
        <v>0</v>
      </c>
      <c r="T504" s="151">
        <f>IF(COUNT($H$3:T$3)=(Data!$E$307+1),IF($F$504=$C$504,T$26,0),0)</f>
        <v>0</v>
      </c>
      <c r="U504" s="151">
        <f>IF(COUNT($H$3:U$3)=(Data!$E$307+1),IF($F$504=$C$504,U$26,0),0)</f>
        <v>0</v>
      </c>
      <c r="V504" s="151">
        <f>IF(COUNT($H$3:V$3)=(Data!$E$307+1),IF($F$504=$C$504,V$26,0),0)</f>
        <v>0</v>
      </c>
      <c r="W504" s="151">
        <f>IF(COUNT($H$3:W$3)=(Data!$E$307+1),IF($F$504=$C$504,W$26,0),0)</f>
        <v>0</v>
      </c>
      <c r="X504" s="151">
        <f>IF(COUNT($H$3:X$3)=(Data!$E$307+1),IF($F$504=$C$504,X$26,0),0)</f>
        <v>0</v>
      </c>
      <c r="Y504" s="151">
        <f>IF(COUNT($H$3:Y$3)=(Data!$E$307+1),IF($F$504=$C$504,Y$26,0),0)</f>
        <v>0</v>
      </c>
      <c r="Z504" s="151">
        <f>IF(COUNT($H$3:Z$3)=(Data!$E$307+1),IF($F$504=$C$504,Z$26,0),0)</f>
        <v>0</v>
      </c>
      <c r="AA504" s="151">
        <f>IF(COUNT($H$3:AA$3)=(Data!$E$307+1),IF($F$504=$C$504,AA$26,0),0)</f>
        <v>0</v>
      </c>
      <c r="AB504" s="151">
        <f>IF(COUNT($H$3:AB$3)=(Data!$E$307+1),IF($F$504=$C$504,AB$26,0),0)</f>
        <v>0</v>
      </c>
      <c r="AC504" s="151">
        <f>IF(COUNT($H$3:AC$3)=(Data!$E$307+1),IF($F$504=$C$504,AC$26,0),0)</f>
        <v>0</v>
      </c>
      <c r="AD504" s="151">
        <f>IF(COUNT($H$3:AD$3)=(Data!$E$307+1),IF($F$504=$C$504,AD$26,0),0)</f>
        <v>0</v>
      </c>
      <c r="AE504" s="151">
        <f>IF(COUNT($H$3:AE$3)=(Data!$E$307+1),IF($F$504=$C$504,AE$26,0),0)</f>
        <v>0</v>
      </c>
      <c r="AF504" s="151">
        <f>IF(COUNT($H$3:AF$3)=(Data!$E$307+1),IF($F$504=$C$504,AF$26,0),0)</f>
        <v>0</v>
      </c>
      <c r="AG504" s="151">
        <f>IF(COUNT($H$3:AG$3)=(Data!$E$307+1),IF($F$504=$C$504,AG$26,0),0)</f>
        <v>0</v>
      </c>
      <c r="AH504" s="151">
        <f>IF(COUNT($H$3:AH$3)=(Data!$E$307+1),IF($F$504=$C$504,AH$26,0),0)</f>
        <v>0</v>
      </c>
      <c r="AI504" s="151">
        <f>IF(COUNT($H$3:AI$3)=(Data!$E$307+1),IF($F$504=$C$504,AI$26,0),0)</f>
        <v>0</v>
      </c>
      <c r="AJ504" s="151">
        <f>IF(COUNT($H$3:AJ$3)=(Data!$E$307+1),IF($F$504=$C$504,AJ$26,0),0)</f>
        <v>0</v>
      </c>
      <c r="AK504" s="151">
        <f>IF(COUNT($H$3:AK$3)=(Data!$E$307+1),IF($F$504=$C$504,AK$26,0),0)</f>
        <v>0</v>
      </c>
      <c r="AL504" s="151">
        <f>IF(COUNT($H$3:AL$3)=(Data!$E$307+1),IF($F$504=$C$504,AL$26,0),0)</f>
        <v>0</v>
      </c>
      <c r="AM504" s="151">
        <f>IF(COUNT($H$3:AM$3)=(Data!$E$307+1),IF($F$504=$C$504,AM$26,0),0)</f>
        <v>0</v>
      </c>
      <c r="AN504" s="151">
        <f>IF(COUNT($H$3:AN$3)=(Data!$E$307+1),IF($F$504=$C$504,AN$26,0),0)</f>
        <v>0</v>
      </c>
      <c r="AO504" s="151">
        <f>IF(COUNT($H$3:AO$3)=(Data!$E$307+1),IF($F$504=$C$504,AO$26,0),0)</f>
        <v>0</v>
      </c>
      <c r="AP504" s="29"/>
    </row>
    <row r="505" spans="1:42" outlineLevel="1" x14ac:dyDescent="0.25">
      <c r="A505" s="12"/>
      <c r="B505" s="13"/>
      <c r="C505" s="96" t="s">
        <v>124</v>
      </c>
      <c r="D505" s="14"/>
      <c r="E505" s="15" t="s">
        <v>142</v>
      </c>
      <c r="F505" s="158" t="str">
        <f>Dashboard!$I$53</f>
        <v>3 Axle rigid</v>
      </c>
      <c r="G505" s="14"/>
      <c r="H505" s="151">
        <f>IF(COUNT($H$3:H$3)=(Data!$E$307+1),IF($F$505=$C$505,H$27,0),0)</f>
        <v>0</v>
      </c>
      <c r="I505" s="151">
        <f>IF(COUNT($H$3:I$3)=(Data!$E$307+1),IF($F$505=$C$505,I$27,0),0)</f>
        <v>0</v>
      </c>
      <c r="J505" s="151">
        <f>IF(COUNT($H$3:J$3)=(Data!$E$307+1),IF($F$505=$C$505,J$27,0),0)</f>
        <v>0</v>
      </c>
      <c r="K505" s="151">
        <f>IF(COUNT($H$3:K$3)=(Data!$E$307+1),IF($F$505=$C$505,K$27,0),0)</f>
        <v>0</v>
      </c>
      <c r="L505" s="151">
        <f>IF(COUNT($H$3:L$3)=(Data!$E$307+1),IF($F$505=$C$505,L$27,0),0)</f>
        <v>0</v>
      </c>
      <c r="M505" s="151">
        <f>IF(COUNT($H$3:M$3)=(Data!$E$307+1),IF($F$505=$C$505,M$27,0),0)</f>
        <v>0</v>
      </c>
      <c r="N505" s="151">
        <f>IF(COUNT($H$3:N$3)=(Data!$E$307+1),IF($F$505=$C$505,N$27,0),0)</f>
        <v>0</v>
      </c>
      <c r="O505" s="151">
        <f>IF(COUNT($H$3:O$3)=(Data!$E$307+1),IF($F$505=$C$505,O$27,0),0)</f>
        <v>0</v>
      </c>
      <c r="P505" s="151">
        <f>IF(COUNT($H$3:P$3)=(Data!$E$307+1),IF($F$505=$C$505,P$27,0),0)</f>
        <v>0</v>
      </c>
      <c r="Q505" s="151">
        <f>IF(COUNT($H$3:Q$3)=(Data!$E$307+1),IF($F$505=$C$505,Q$27,0),0)</f>
        <v>126656.95695768425</v>
      </c>
      <c r="R505" s="151">
        <f>IF(COUNT($H$3:R$3)=(Data!$E$307+1),IF($F$505=$C$505,R$27,0),0)</f>
        <v>0</v>
      </c>
      <c r="S505" s="151">
        <f>IF(COUNT($H$3:S$3)=(Data!$E$307+1),IF($F$505=$C$505,S$27,0),0)</f>
        <v>0</v>
      </c>
      <c r="T505" s="151">
        <f>IF(COUNT($H$3:T$3)=(Data!$E$307+1),IF($F$505=$C$505,T$27,0),0)</f>
        <v>0</v>
      </c>
      <c r="U505" s="151">
        <f>IF(COUNT($H$3:U$3)=(Data!$E$307+1),IF($F$505=$C$505,U$27,0),0)</f>
        <v>0</v>
      </c>
      <c r="V505" s="151">
        <f>IF(COUNT($H$3:V$3)=(Data!$E$307+1),IF($F$505=$C$505,V$27,0),0)</f>
        <v>0</v>
      </c>
      <c r="W505" s="151">
        <f>IF(COUNT($H$3:W$3)=(Data!$E$307+1),IF($F$505=$C$505,W$27,0),0)</f>
        <v>0</v>
      </c>
      <c r="X505" s="151">
        <f>IF(COUNT($H$3:X$3)=(Data!$E$307+1),IF($F$505=$C$505,X$27,0),0)</f>
        <v>0</v>
      </c>
      <c r="Y505" s="151">
        <f>IF(COUNT($H$3:Y$3)=(Data!$E$307+1),IF($F$505=$C$505,Y$27,0),0)</f>
        <v>0</v>
      </c>
      <c r="Z505" s="151">
        <f>IF(COUNT($H$3:Z$3)=(Data!$E$307+1),IF($F$505=$C$505,Z$27,0),0)</f>
        <v>0</v>
      </c>
      <c r="AA505" s="151">
        <f>IF(COUNT($H$3:AA$3)=(Data!$E$307+1),IF($F$505=$C$505,AA$27,0),0)</f>
        <v>0</v>
      </c>
      <c r="AB505" s="151">
        <f>IF(COUNT($H$3:AB$3)=(Data!$E$307+1),IF($F$505=$C$505,AB$27,0),0)</f>
        <v>0</v>
      </c>
      <c r="AC505" s="151">
        <f>IF(COUNT($H$3:AC$3)=(Data!$E$307+1),IF($F$505=$C$505,AC$27,0),0)</f>
        <v>0</v>
      </c>
      <c r="AD505" s="151">
        <f>IF(COUNT($H$3:AD$3)=(Data!$E$307+1),IF($F$505=$C$505,AD$27,0),0)</f>
        <v>0</v>
      </c>
      <c r="AE505" s="151">
        <f>IF(COUNT($H$3:AE$3)=(Data!$E$307+1),IF($F$505=$C$505,AE$27,0),0)</f>
        <v>0</v>
      </c>
      <c r="AF505" s="151">
        <f>IF(COUNT($H$3:AF$3)=(Data!$E$307+1),IF($F$505=$C$505,AF$27,0),0)</f>
        <v>0</v>
      </c>
      <c r="AG505" s="151">
        <f>IF(COUNT($H$3:AG$3)=(Data!$E$307+1),IF($F$505=$C$505,AG$27,0),0)</f>
        <v>0</v>
      </c>
      <c r="AH505" s="151">
        <f>IF(COUNT($H$3:AH$3)=(Data!$E$307+1),IF($F$505=$C$505,AH$27,0),0)</f>
        <v>0</v>
      </c>
      <c r="AI505" s="151">
        <f>IF(COUNT($H$3:AI$3)=(Data!$E$307+1),IF($F$505=$C$505,AI$27,0),0)</f>
        <v>0</v>
      </c>
      <c r="AJ505" s="151">
        <f>IF(COUNT($H$3:AJ$3)=(Data!$E$307+1),IF($F$505=$C$505,AJ$27,0),0)</f>
        <v>0</v>
      </c>
      <c r="AK505" s="151">
        <f>IF(COUNT($H$3:AK$3)=(Data!$E$307+1),IF($F$505=$C$505,AK$27,0),0)</f>
        <v>0</v>
      </c>
      <c r="AL505" s="151">
        <f>IF(COUNT($H$3:AL$3)=(Data!$E$307+1),IF($F$505=$C$505,AL$27,0),0)</f>
        <v>0</v>
      </c>
      <c r="AM505" s="151">
        <f>IF(COUNT($H$3:AM$3)=(Data!$E$307+1),IF($F$505=$C$505,AM$27,0),0)</f>
        <v>0</v>
      </c>
      <c r="AN505" s="151">
        <f>IF(COUNT($H$3:AN$3)=(Data!$E$307+1),IF($F$505=$C$505,AN$27,0),0)</f>
        <v>0</v>
      </c>
      <c r="AO505" s="151">
        <f>IF(COUNT($H$3:AO$3)=(Data!$E$307+1),IF($F$505=$C$505,AO$27,0),0)</f>
        <v>0</v>
      </c>
      <c r="AP505" s="29"/>
    </row>
    <row r="506" spans="1:42" outlineLevel="1" x14ac:dyDescent="0.25">
      <c r="A506" s="12"/>
      <c r="B506" s="13"/>
      <c r="C506" s="96" t="s">
        <v>126</v>
      </c>
      <c r="D506" s="14"/>
      <c r="E506" s="15" t="s">
        <v>142</v>
      </c>
      <c r="F506" s="158" t="str">
        <f>Dashboard!$I$53</f>
        <v>3 Axle rigid</v>
      </c>
      <c r="G506" s="14"/>
      <c r="H506" s="151">
        <f>IF(COUNT($H$3:H$3)=(Data!$E$307+1),IF($F$506=$C$506,H$28,0),0)</f>
        <v>0</v>
      </c>
      <c r="I506" s="151">
        <f>IF(COUNT($H$3:I$3)=(Data!$E$307+1),IF($F$506=$C$506,I$28,0),0)</f>
        <v>0</v>
      </c>
      <c r="J506" s="151">
        <f>IF(COUNT($H$3:J$3)=(Data!$E$307+1),IF($F$506=$C$506,J$28,0),0)</f>
        <v>0</v>
      </c>
      <c r="K506" s="151">
        <f>IF(COUNT($H$3:K$3)=(Data!$E$307+1),IF($F$506=$C$506,K$28,0),0)</f>
        <v>0</v>
      </c>
      <c r="L506" s="151">
        <f>IF(COUNT($H$3:L$3)=(Data!$E$307+1),IF($F$506=$C$506,L$28,0),0)</f>
        <v>0</v>
      </c>
      <c r="M506" s="151">
        <f>IF(COUNT($H$3:M$3)=(Data!$E$307+1),IF($F$506=$C$506,M$28,0),0)</f>
        <v>0</v>
      </c>
      <c r="N506" s="151">
        <f>IF(COUNT($H$3:N$3)=(Data!$E$307+1),IF($F$506=$C$506,N$28,0),0)</f>
        <v>0</v>
      </c>
      <c r="O506" s="151">
        <f>IF(COUNT($H$3:O$3)=(Data!$E$307+1),IF($F$506=$C$506,O$28,0),0)</f>
        <v>0</v>
      </c>
      <c r="P506" s="151">
        <f>IF(COUNT($H$3:P$3)=(Data!$E$307+1),IF($F$506=$C$506,P$28,0),0)</f>
        <v>0</v>
      </c>
      <c r="Q506" s="151">
        <f>IF(COUNT($H$3:Q$3)=(Data!$E$307+1),IF($F$506=$C$506,Q$28,0),0)</f>
        <v>0</v>
      </c>
      <c r="R506" s="151">
        <f>IF(COUNT($H$3:R$3)=(Data!$E$307+1),IF($F$506=$C$506,R$28,0),0)</f>
        <v>0</v>
      </c>
      <c r="S506" s="151">
        <f>IF(COUNT($H$3:S$3)=(Data!$E$307+1),IF($F$506=$C$506,S$28,0),0)</f>
        <v>0</v>
      </c>
      <c r="T506" s="151">
        <f>IF(COUNT($H$3:T$3)=(Data!$E$307+1),IF($F$506=$C$506,T$28,0),0)</f>
        <v>0</v>
      </c>
      <c r="U506" s="151">
        <f>IF(COUNT($H$3:U$3)=(Data!$E$307+1),IF($F$506=$C$506,U$28,0),0)</f>
        <v>0</v>
      </c>
      <c r="V506" s="151">
        <f>IF(COUNT($H$3:V$3)=(Data!$E$307+1),IF($F$506=$C$506,V$28,0),0)</f>
        <v>0</v>
      </c>
      <c r="W506" s="151">
        <f>IF(COUNT($H$3:W$3)=(Data!$E$307+1),IF($F$506=$C$506,W$28,0),0)</f>
        <v>0</v>
      </c>
      <c r="X506" s="151">
        <f>IF(COUNT($H$3:X$3)=(Data!$E$307+1),IF($F$506=$C$506,X$28,0),0)</f>
        <v>0</v>
      </c>
      <c r="Y506" s="151">
        <f>IF(COUNT($H$3:Y$3)=(Data!$E$307+1),IF($F$506=$C$506,Y$28,0),0)</f>
        <v>0</v>
      </c>
      <c r="Z506" s="151">
        <f>IF(COUNT($H$3:Z$3)=(Data!$E$307+1),IF($F$506=$C$506,Z$28,0),0)</f>
        <v>0</v>
      </c>
      <c r="AA506" s="151">
        <f>IF(COUNT($H$3:AA$3)=(Data!$E$307+1),IF($F$506=$C$506,AA$28,0),0)</f>
        <v>0</v>
      </c>
      <c r="AB506" s="151">
        <f>IF(COUNT($H$3:AB$3)=(Data!$E$307+1),IF($F$506=$C$506,AB$28,0),0)</f>
        <v>0</v>
      </c>
      <c r="AC506" s="151">
        <f>IF(COUNT($H$3:AC$3)=(Data!$E$307+1),IF($F$506=$C$506,AC$28,0),0)</f>
        <v>0</v>
      </c>
      <c r="AD506" s="151">
        <f>IF(COUNT($H$3:AD$3)=(Data!$E$307+1),IF($F$506=$C$506,AD$28,0),0)</f>
        <v>0</v>
      </c>
      <c r="AE506" s="151">
        <f>IF(COUNT($H$3:AE$3)=(Data!$E$307+1),IF($F$506=$C$506,AE$28,0),0)</f>
        <v>0</v>
      </c>
      <c r="AF506" s="151">
        <f>IF(COUNT($H$3:AF$3)=(Data!$E$307+1),IF($F$506=$C$506,AF$28,0),0)</f>
        <v>0</v>
      </c>
      <c r="AG506" s="151">
        <f>IF(COUNT($H$3:AG$3)=(Data!$E$307+1),IF($F$506=$C$506,AG$28,0),0)</f>
        <v>0</v>
      </c>
      <c r="AH506" s="151">
        <f>IF(COUNT($H$3:AH$3)=(Data!$E$307+1),IF($F$506=$C$506,AH$28,0),0)</f>
        <v>0</v>
      </c>
      <c r="AI506" s="151">
        <f>IF(COUNT($H$3:AI$3)=(Data!$E$307+1),IF($F$506=$C$506,AI$28,0),0)</f>
        <v>0</v>
      </c>
      <c r="AJ506" s="151">
        <f>IF(COUNT($H$3:AJ$3)=(Data!$E$307+1),IF($F$506=$C$506,AJ$28,0),0)</f>
        <v>0</v>
      </c>
      <c r="AK506" s="151">
        <f>IF(COUNT($H$3:AK$3)=(Data!$E$307+1),IF($F$506=$C$506,AK$28,0),0)</f>
        <v>0</v>
      </c>
      <c r="AL506" s="151">
        <f>IF(COUNT($H$3:AL$3)=(Data!$E$307+1),IF($F$506=$C$506,AL$28,0),0)</f>
        <v>0</v>
      </c>
      <c r="AM506" s="151">
        <f>IF(COUNT($H$3:AM$3)=(Data!$E$307+1),IF($F$506=$C$506,AM$28,0),0)</f>
        <v>0</v>
      </c>
      <c r="AN506" s="151">
        <f>IF(COUNT($H$3:AN$3)=(Data!$E$307+1),IF($F$506=$C$506,AN$28,0),0)</f>
        <v>0</v>
      </c>
      <c r="AO506" s="151">
        <f>IF(COUNT($H$3:AO$3)=(Data!$E$307+1),IF($F$506=$C$506,AO$28,0),0)</f>
        <v>0</v>
      </c>
      <c r="AP506" s="29"/>
    </row>
    <row r="507" spans="1:42" outlineLevel="1" x14ac:dyDescent="0.25">
      <c r="A507" s="12"/>
      <c r="B507" s="13"/>
      <c r="C507" s="96"/>
      <c r="D507" s="14"/>
      <c r="E507" s="15"/>
      <c r="F507" s="158"/>
      <c r="G507" s="14"/>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151"/>
      <c r="AG507" s="151"/>
      <c r="AH507" s="151"/>
      <c r="AI507" s="151"/>
      <c r="AJ507" s="151"/>
      <c r="AK507" s="151"/>
      <c r="AL507" s="151"/>
      <c r="AM507" s="151"/>
      <c r="AN507" s="151"/>
      <c r="AO507" s="151"/>
      <c r="AP507" s="29"/>
    </row>
    <row r="508" spans="1:42" outlineLevel="1" x14ac:dyDescent="0.25">
      <c r="A508" s="12"/>
      <c r="B508" s="13"/>
      <c r="C508" s="140" t="s">
        <v>306</v>
      </c>
      <c r="D508" s="14"/>
      <c r="E508" s="15"/>
      <c r="F508" s="16"/>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7"/>
    </row>
    <row r="509" spans="1:42" outlineLevel="1" x14ac:dyDescent="0.25">
      <c r="A509" s="12"/>
      <c r="B509" s="13"/>
      <c r="C509" s="14" t="s">
        <v>546</v>
      </c>
      <c r="D509" s="14"/>
      <c r="E509" s="15" t="s">
        <v>142</v>
      </c>
      <c r="F509" s="16"/>
      <c r="G509" s="14"/>
      <c r="H509" s="159">
        <f>Data!$E$316</f>
        <v>62335</v>
      </c>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7"/>
    </row>
    <row r="510" spans="1:42" outlineLevel="1" x14ac:dyDescent="0.25">
      <c r="A510" s="12"/>
      <c r="B510" s="13"/>
      <c r="C510" s="14" t="s">
        <v>547</v>
      </c>
      <c r="D510" s="14"/>
      <c r="E510" s="15" t="s">
        <v>142</v>
      </c>
      <c r="F510" s="16"/>
      <c r="G510" s="14"/>
      <c r="H510" s="159">
        <f>Data!$E$317</f>
        <v>70444.868888888886</v>
      </c>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7"/>
    </row>
    <row r="511" spans="1:42" outlineLevel="1" x14ac:dyDescent="0.25">
      <c r="A511" s="12"/>
      <c r="B511" s="13"/>
      <c r="C511" s="136" t="s">
        <v>310</v>
      </c>
      <c r="D511" s="14"/>
      <c r="E511" s="15" t="s">
        <v>142</v>
      </c>
      <c r="F511" s="158">
        <f>Dashboard!$I$54</f>
        <v>0</v>
      </c>
      <c r="G511" s="14"/>
      <c r="H511" s="159">
        <f>(F511*Data!$E$318)/Dashboard!$I$41</f>
        <v>0</v>
      </c>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7"/>
    </row>
    <row r="512" spans="1:42" outlineLevel="1" x14ac:dyDescent="0.25">
      <c r="A512" s="12"/>
      <c r="B512" s="13"/>
      <c r="C512" s="14" t="s">
        <v>311</v>
      </c>
      <c r="D512" s="14"/>
      <c r="E512" s="15" t="s">
        <v>142</v>
      </c>
      <c r="F512" s="16"/>
      <c r="G512" s="14"/>
      <c r="H512" s="159">
        <f>(F511*Data!$E$319)/Dashboard!$I$41</f>
        <v>0</v>
      </c>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7"/>
    </row>
    <row r="513" spans="1:42" outlineLevel="1" x14ac:dyDescent="0.25">
      <c r="A513" s="12"/>
      <c r="B513" s="13"/>
      <c r="C513" s="41" t="s">
        <v>302</v>
      </c>
      <c r="D513" s="14"/>
      <c r="E513" s="15"/>
      <c r="F513" s="16"/>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7"/>
    </row>
    <row r="514" spans="1:42" outlineLevel="1" x14ac:dyDescent="0.25">
      <c r="A514" s="12"/>
      <c r="B514" s="13"/>
      <c r="C514" s="136" t="s">
        <v>328</v>
      </c>
      <c r="D514" s="14"/>
      <c r="E514" s="15" t="s">
        <v>142</v>
      </c>
      <c r="F514" s="16"/>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7"/>
    </row>
    <row r="515" spans="1:42" outlineLevel="1" x14ac:dyDescent="0.25">
      <c r="A515" s="12"/>
      <c r="B515" s="13"/>
      <c r="C515" s="136"/>
      <c r="D515" s="14"/>
      <c r="E515" s="15"/>
      <c r="F515" s="16"/>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7"/>
    </row>
    <row r="516" spans="1:42" outlineLevel="1" x14ac:dyDescent="0.25">
      <c r="A516" s="12"/>
      <c r="B516" s="13"/>
      <c r="C516" s="19" t="s">
        <v>510</v>
      </c>
      <c r="D516" s="45"/>
      <c r="E516" s="15"/>
      <c r="F516" s="16"/>
      <c r="G516" s="14"/>
      <c r="H516" s="182">
        <f>SUM(H499:H515)</f>
        <v>849113.20222222223</v>
      </c>
      <c r="I516" s="182">
        <f t="shared" ref="I516:AO516" si="143">SUM(I499:I515)</f>
        <v>0</v>
      </c>
      <c r="J516" s="182">
        <f t="shared" si="143"/>
        <v>0</v>
      </c>
      <c r="K516" s="182">
        <f t="shared" si="143"/>
        <v>0</v>
      </c>
      <c r="L516" s="182">
        <f t="shared" si="143"/>
        <v>0</v>
      </c>
      <c r="M516" s="182">
        <f t="shared" si="143"/>
        <v>0</v>
      </c>
      <c r="N516" s="182">
        <f t="shared" si="143"/>
        <v>0</v>
      </c>
      <c r="O516" s="182">
        <f t="shared" si="143"/>
        <v>0</v>
      </c>
      <c r="P516" s="182">
        <f t="shared" si="143"/>
        <v>0</v>
      </c>
      <c r="Q516" s="182">
        <f t="shared" si="143"/>
        <v>126656.95695768425</v>
      </c>
      <c r="R516" s="182">
        <f t="shared" si="143"/>
        <v>0</v>
      </c>
      <c r="S516" s="182">
        <f t="shared" si="143"/>
        <v>0</v>
      </c>
      <c r="T516" s="182">
        <f t="shared" si="143"/>
        <v>0</v>
      </c>
      <c r="U516" s="182">
        <f t="shared" si="143"/>
        <v>0</v>
      </c>
      <c r="V516" s="182">
        <f t="shared" si="143"/>
        <v>0</v>
      </c>
      <c r="W516" s="182">
        <f t="shared" si="143"/>
        <v>0</v>
      </c>
      <c r="X516" s="182">
        <f t="shared" si="143"/>
        <v>0</v>
      </c>
      <c r="Y516" s="182">
        <f t="shared" si="143"/>
        <v>0</v>
      </c>
      <c r="Z516" s="182">
        <f t="shared" si="143"/>
        <v>0</v>
      </c>
      <c r="AA516" s="182">
        <f t="shared" si="143"/>
        <v>0</v>
      </c>
      <c r="AB516" s="182">
        <f t="shared" si="143"/>
        <v>0</v>
      </c>
      <c r="AC516" s="182">
        <f t="shared" si="143"/>
        <v>0</v>
      </c>
      <c r="AD516" s="182">
        <f t="shared" si="143"/>
        <v>0</v>
      </c>
      <c r="AE516" s="182">
        <f t="shared" si="143"/>
        <v>0</v>
      </c>
      <c r="AF516" s="182">
        <f t="shared" si="143"/>
        <v>0</v>
      </c>
      <c r="AG516" s="182">
        <f t="shared" si="143"/>
        <v>0</v>
      </c>
      <c r="AH516" s="182">
        <f t="shared" si="143"/>
        <v>0</v>
      </c>
      <c r="AI516" s="182">
        <f t="shared" si="143"/>
        <v>0</v>
      </c>
      <c r="AJ516" s="182">
        <f t="shared" si="143"/>
        <v>0</v>
      </c>
      <c r="AK516" s="182">
        <f t="shared" si="143"/>
        <v>0</v>
      </c>
      <c r="AL516" s="182">
        <f t="shared" si="143"/>
        <v>0</v>
      </c>
      <c r="AM516" s="182">
        <f t="shared" si="143"/>
        <v>0</v>
      </c>
      <c r="AN516" s="182">
        <f t="shared" si="143"/>
        <v>0</v>
      </c>
      <c r="AO516" s="182">
        <f t="shared" si="143"/>
        <v>0</v>
      </c>
      <c r="AP516" s="29"/>
    </row>
    <row r="517" spans="1:42" s="140" customFormat="1" outlineLevel="1" x14ac:dyDescent="0.25">
      <c r="A517" s="78"/>
      <c r="B517" s="19"/>
      <c r="C517" s="95" t="s">
        <v>560</v>
      </c>
      <c r="D517" s="20"/>
      <c r="E517" s="15" t="s">
        <v>142</v>
      </c>
      <c r="F517" s="48"/>
      <c r="G517" s="20"/>
      <c r="H517" s="185">
        <f>H516</f>
        <v>849113.20222222223</v>
      </c>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370"/>
    </row>
    <row r="518" spans="1:42" s="140" customFormat="1" outlineLevel="1" x14ac:dyDescent="0.25">
      <c r="A518" s="78"/>
      <c r="B518" s="19"/>
      <c r="C518" s="95" t="s">
        <v>561</v>
      </c>
      <c r="D518" s="20"/>
      <c r="E518" s="15" t="s">
        <v>142</v>
      </c>
      <c r="F518" s="48"/>
      <c r="G518" s="20"/>
      <c r="H518" s="20"/>
      <c r="I518" s="244">
        <f>IF(I344&gt;0,-PMT(Data!$E$10,Data!$E$337,BEB!$H$517,0,0),0)</f>
        <v>62479.235646658133</v>
      </c>
      <c r="J518" s="244">
        <f>IF(J344&gt;0,-PMT(Data!$E$10,Data!$E$337,BEB!$H$517,0,0),0)</f>
        <v>62479.235646658133</v>
      </c>
      <c r="K518" s="244">
        <f>IF(K344&gt;0,-PMT(Data!$E$10,Data!$E$337,BEB!$H$517,0,0),0)</f>
        <v>62479.235646658133</v>
      </c>
      <c r="L518" s="244">
        <f>IF(L344&gt;0,-PMT(Data!$E$10,Data!$E$337,BEB!$H$517,0,0),0)</f>
        <v>62479.235646658133</v>
      </c>
      <c r="M518" s="244">
        <f>IF(M344&gt;0,-PMT(Data!$E$10,Data!$E$337,BEB!$H$517,0,0),0)</f>
        <v>62479.235646658133</v>
      </c>
      <c r="N518" s="244">
        <f>IF(N344&gt;0,-PMT(Data!$E$10,Data!$E$337,BEB!$H$517,0,0),0)</f>
        <v>62479.235646658133</v>
      </c>
      <c r="O518" s="244">
        <f>IF(O344&gt;0,-PMT(Data!$E$10,Data!$E$337,BEB!$H$517,0,0),0)</f>
        <v>62479.235646658133</v>
      </c>
      <c r="P518" s="244">
        <f>IF(P344&gt;0,-PMT(Data!$E$10,Data!$E$337,BEB!$H$517,0,0),0)</f>
        <v>62479.235646658133</v>
      </c>
      <c r="Q518" s="244">
        <f>IF(Q344&gt;0,-PMT(Data!$E$10,Data!$E$337,BEB!$H$517,0,0),0)</f>
        <v>62479.235646658133</v>
      </c>
      <c r="R518" s="244">
        <f>IF(R344&gt;0,-PMT(Data!$E$10,Data!$E$337,BEB!$H$517,0,0),0)</f>
        <v>62479.235646658133</v>
      </c>
      <c r="S518" s="244">
        <f>IF(S344&gt;0,-PMT(Data!$E$10,Data!$E$337,BEB!$H$517,0,0),0)</f>
        <v>62479.235646658133</v>
      </c>
      <c r="T518" s="244">
        <f>IF(T344&gt;0,-PMT(Data!$E$10,Data!$E$337,BEB!$H$517,0,0),0)</f>
        <v>62479.235646658133</v>
      </c>
      <c r="U518" s="244">
        <f>IF(U344&gt;0,-PMT(Data!$E$10,Data!$E$337,BEB!$H$517,0,0),0)</f>
        <v>62479.235646658133</v>
      </c>
      <c r="V518" s="244">
        <f>IF(V344&gt;0,-PMT(Data!$E$10,Data!$E$337,BEB!$H$517,0,0),0)</f>
        <v>62479.235646658133</v>
      </c>
      <c r="W518" s="244">
        <f>IF(W344&gt;0,-PMT(Data!$E$10,Data!$E$337,BEB!$H$517,0,0),0)</f>
        <v>62479.235646658133</v>
      </c>
      <c r="X518" s="244">
        <f>IF(X344&gt;0,-PMT(Data!$E$10,Data!$E$337,BEB!$H$517,0,0),0)</f>
        <v>62479.235646658133</v>
      </c>
      <c r="Y518" s="244">
        <f>IF(Y344&gt;0,-PMT(Data!$E$10,Data!$E$337,BEB!$H$517,0,0),0)</f>
        <v>62479.235646658133</v>
      </c>
      <c r="Z518" s="244">
        <f>IF(Z344&gt;0,-PMT(Data!$E$10,Data!$E$337,BEB!$H$517,0,0),0)</f>
        <v>62479.235646658133</v>
      </c>
      <c r="AA518" s="244">
        <f>IF(AA344&gt;0,-PMT(Data!$E$10,Data!$E$337,BEB!$H$517,0,0),0)</f>
        <v>62479.235646658133</v>
      </c>
      <c r="AB518" s="244">
        <f>IF(AB344&gt;0,-PMT(Data!$E$10,Data!$E$337,BEB!$H$517,0,0),0)</f>
        <v>62479.235646658133</v>
      </c>
      <c r="AC518" s="244">
        <f>IF(AC344&gt;0,-PMT(Data!$E$10,Data!$E$337,BEB!$H$517,0,0),0)</f>
        <v>0</v>
      </c>
      <c r="AD518" s="244">
        <f>IF(AD344&gt;0,-PMT(Data!$E$10,Data!$E$337,BEB!$H$517,0,0),0)</f>
        <v>0</v>
      </c>
      <c r="AE518" s="244">
        <f>IF(AE344&gt;0,-PMT(Data!$E$10,Data!$E$337,BEB!$H$517,0,0),0)</f>
        <v>0</v>
      </c>
      <c r="AF518" s="244">
        <f>IF(AF344&gt;0,-PMT(Data!$E$10,Data!$E$337,BEB!$H$517,0,0),0)</f>
        <v>0</v>
      </c>
      <c r="AG518" s="244">
        <f>IF(AG344&gt;0,-PMT(Data!$E$10,Data!$E$337,BEB!$H$517,0,0),0)</f>
        <v>0</v>
      </c>
      <c r="AH518" s="244">
        <f>IF(AH344&gt;0,-PMT(Data!$E$10,Data!$E$337,BEB!$H$517,0,0),0)</f>
        <v>0</v>
      </c>
      <c r="AI518" s="244">
        <f>IF(AI344&gt;0,-PMT(Data!$E$10,Data!$E$337,BEB!$H$517,0,0),0)</f>
        <v>0</v>
      </c>
      <c r="AJ518" s="244">
        <f>IF(AJ344&gt;0,-PMT(Data!$E$10,Data!$E$337,BEB!$H$517,0,0),0)</f>
        <v>0</v>
      </c>
      <c r="AK518" s="244">
        <f>IF(AK344&gt;0,-PMT(Data!$E$10,Data!$E$337,BEB!$H$517,0,0),0)</f>
        <v>0</v>
      </c>
      <c r="AL518" s="244">
        <f>IF(AL344&gt;0,-PMT(Data!$E$10,Data!$E$337,BEB!$H$517,0,0),0)</f>
        <v>0</v>
      </c>
      <c r="AM518" s="244">
        <f>IF(AM344&gt;0,-PMT(Data!$E$10,Data!$E$337,BEB!$H$517,0,0),0)</f>
        <v>0</v>
      </c>
      <c r="AN518" s="244">
        <f>IF(AN344&gt;0,-PMT(Data!$E$10,Data!$E$337,BEB!$H$517,0,0),0)</f>
        <v>0</v>
      </c>
      <c r="AO518" s="244">
        <f>IF(AO344&gt;0,-PMT(Data!$E$10,Data!$E$337,BEB!$H$517,0,0),0)</f>
        <v>0</v>
      </c>
      <c r="AP518" s="370"/>
    </row>
    <row r="519" spans="1:42" s="140" customFormat="1" outlineLevel="1" x14ac:dyDescent="0.25">
      <c r="A519" s="78"/>
      <c r="B519" s="19"/>
      <c r="C519" s="95" t="s">
        <v>562</v>
      </c>
      <c r="D519" s="20"/>
      <c r="E519" s="15" t="s">
        <v>142</v>
      </c>
      <c r="F519" s="48"/>
      <c r="G519" s="20"/>
      <c r="H519" s="20"/>
      <c r="I519" s="244"/>
      <c r="J519" s="244"/>
      <c r="K519" s="244"/>
      <c r="L519" s="244"/>
      <c r="M519" s="244"/>
      <c r="N519" s="244"/>
      <c r="O519" s="244"/>
      <c r="P519" s="244"/>
      <c r="Q519" s="185">
        <f>Q516</f>
        <v>126656.95695768425</v>
      </c>
      <c r="R519" s="244"/>
      <c r="S519" s="244"/>
      <c r="T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370"/>
    </row>
    <row r="520" spans="1:42" s="140" customFormat="1" outlineLevel="1" x14ac:dyDescent="0.25">
      <c r="A520" s="78"/>
      <c r="B520" s="19"/>
      <c r="C520" s="95" t="s">
        <v>563</v>
      </c>
      <c r="D520" s="20"/>
      <c r="E520" s="21" t="s">
        <v>266</v>
      </c>
      <c r="F520" s="48">
        <f>Data!$E$337-Data!$E$307</f>
        <v>11</v>
      </c>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P520" s="370"/>
    </row>
    <row r="521" spans="1:42" s="140" customFormat="1" outlineLevel="1" x14ac:dyDescent="0.25">
      <c r="A521" s="78"/>
      <c r="B521" s="19"/>
      <c r="C521" s="95" t="s">
        <v>561</v>
      </c>
      <c r="D521" s="20"/>
      <c r="E521" s="15" t="s">
        <v>142</v>
      </c>
      <c r="F521" s="48"/>
      <c r="G521" s="20"/>
      <c r="H521" s="20"/>
      <c r="I521" s="244"/>
      <c r="J521" s="244"/>
      <c r="K521" s="244"/>
      <c r="L521" s="244"/>
      <c r="M521" s="244"/>
      <c r="N521" s="244"/>
      <c r="O521" s="244"/>
      <c r="P521" s="244"/>
      <c r="Q521" s="185"/>
      <c r="R521" s="244">
        <f>IF(R344&gt;0,-PMT(Data!$E$10,$F$520,BEB!$Q$519,0,0),0)</f>
        <v>14457.76995215683</v>
      </c>
      <c r="S521" s="244">
        <f>IF(S344&gt;0,-PMT(Data!$E$10,$F$520,BEB!$Q$519,0,0),0)</f>
        <v>14457.76995215683</v>
      </c>
      <c r="T521" s="244">
        <f>IF(T344&gt;0,-PMT(Data!$E$10,$F$520,BEB!$Q$519,0,0),0)</f>
        <v>14457.76995215683</v>
      </c>
      <c r="U521" s="244">
        <f>IF(U344&gt;0,-PMT(Data!$E$10,$F$520,BEB!$Q$519,0,0),0)</f>
        <v>14457.76995215683</v>
      </c>
      <c r="V521" s="244">
        <f>IF(V344&gt;0,-PMT(Data!$E$10,$F$520,BEB!$Q$519,0,0),0)</f>
        <v>14457.76995215683</v>
      </c>
      <c r="W521" s="244">
        <f>IF(W344&gt;0,-PMT(Data!$E$10,$F$520,BEB!$Q$519,0,0),0)</f>
        <v>14457.76995215683</v>
      </c>
      <c r="X521" s="244">
        <f>IF(X344&gt;0,-PMT(Data!$E$10,$F$520,BEB!$Q$519,0,0),0)</f>
        <v>14457.76995215683</v>
      </c>
      <c r="Y521" s="244">
        <f>IF(Y344&gt;0,-PMT(Data!$E$10,$F$520,BEB!$Q$519,0,0),0)</f>
        <v>14457.76995215683</v>
      </c>
      <c r="Z521" s="244">
        <f>IF(Z344&gt;0,-PMT(Data!$E$10,$F$520,BEB!$Q$519,0,0),0)</f>
        <v>14457.76995215683</v>
      </c>
      <c r="AA521" s="244">
        <f>IF(AA344&gt;0,-PMT(Data!$E$10,$F$520,BEB!$Q$519,0,0),0)</f>
        <v>14457.76995215683</v>
      </c>
      <c r="AB521" s="244">
        <f>IF(AB344&gt;0,-PMT(Data!$E$10,$F$520,BEB!$Q$519,0,0),0)</f>
        <v>14457.76995215683</v>
      </c>
      <c r="AC521" s="244">
        <f>IF(AC344&gt;0,-PMT(Data!$E$10,$F$520,BEB!$Q$519,0,0),0)</f>
        <v>0</v>
      </c>
      <c r="AD521" s="244">
        <f>IF(AD344&gt;0,-PMT(Data!$E$10,$F$520,BEB!$Q$519,0,0),0)</f>
        <v>0</v>
      </c>
      <c r="AE521" s="244">
        <f>IF(AE344&gt;0,-PMT(Data!$E$10,$F$520,BEB!$Q$519,0,0),0)</f>
        <v>0</v>
      </c>
      <c r="AF521" s="244">
        <f>IF(AF344&gt;0,-PMT(Data!$E$10,$F$520,BEB!$Q$519,0,0),0)</f>
        <v>0</v>
      </c>
      <c r="AG521" s="244">
        <f>IF(AG344&gt;0,-PMT(Data!$E$10,$F$520,BEB!$Q$519,0,0),0)</f>
        <v>0</v>
      </c>
      <c r="AH521" s="244">
        <f>IF(AH344&gt;0,-PMT(Data!$E$10,$F$520,BEB!$Q$519,0,0),0)</f>
        <v>0</v>
      </c>
      <c r="AI521" s="244">
        <f>IF(AI344&gt;0,-PMT(Data!$E$10,$F$520,BEB!$Q$519,0,0),0)</f>
        <v>0</v>
      </c>
      <c r="AJ521" s="244">
        <f>IF(AJ344&gt;0,-PMT(Data!$E$10,$F$520,BEB!$Q$519,0,0),0)</f>
        <v>0</v>
      </c>
      <c r="AK521" s="244">
        <f>IF(AK344&gt;0,-PMT(Data!$E$10,$F$520,BEB!$Q$519,0,0),0)</f>
        <v>0</v>
      </c>
      <c r="AL521" s="244">
        <f>IF(AL344&gt;0,-PMT(Data!$E$10,$F$520,BEB!$Q$519,0,0),0)</f>
        <v>0</v>
      </c>
      <c r="AM521" s="244">
        <f>IF(AM344&gt;0,-PMT(Data!$E$10,$F$520,BEB!$Q$519,0,0),0)</f>
        <v>0</v>
      </c>
      <c r="AN521" s="244">
        <f>IF(AN344&gt;0,-PMT(Data!$E$10,$F$520,BEB!$Q$519,0,0),0)</f>
        <v>0</v>
      </c>
      <c r="AO521" s="244">
        <f>IF(AO344&gt;0,-PMT(Data!$E$10,$F$520,BEB!$Q$519,0,0),0)</f>
        <v>0</v>
      </c>
      <c r="AP521" s="370"/>
    </row>
    <row r="522" spans="1:42" outlineLevel="1" x14ac:dyDescent="0.25">
      <c r="A522" s="12"/>
      <c r="B522" s="13"/>
      <c r="D522" s="14"/>
      <c r="E522" s="15"/>
      <c r="F522" s="16"/>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7"/>
    </row>
    <row r="523" spans="1:42" outlineLevel="1" x14ac:dyDescent="0.25">
      <c r="A523" s="12"/>
      <c r="B523" s="13"/>
      <c r="C523" s="37" t="s">
        <v>472</v>
      </c>
      <c r="D523" s="37"/>
      <c r="E523" s="38"/>
      <c r="F523" s="39"/>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17"/>
    </row>
    <row r="524" spans="1:42" outlineLevel="1" x14ac:dyDescent="0.25">
      <c r="A524" s="12"/>
      <c r="B524" s="13"/>
      <c r="C524" s="20" t="s">
        <v>258</v>
      </c>
      <c r="D524" s="44"/>
      <c r="E524" s="15"/>
      <c r="F524" s="16"/>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7"/>
    </row>
    <row r="525" spans="1:42" outlineLevel="1" x14ac:dyDescent="0.25">
      <c r="A525" s="12"/>
      <c r="B525" s="13"/>
      <c r="C525" s="96" t="s">
        <v>120</v>
      </c>
      <c r="D525" s="45"/>
      <c r="E525" s="15" t="s">
        <v>474</v>
      </c>
      <c r="F525" s="158" t="str">
        <f>Dashboard!$I$53</f>
        <v>3 Axle rigid</v>
      </c>
      <c r="G525" s="14"/>
      <c r="H525" s="150"/>
      <c r="I525" s="177">
        <f>IF($F$525=$C$525,Data!$E$324*BEB!I$344,0)</f>
        <v>0</v>
      </c>
      <c r="J525" s="177">
        <f>IF($F$525=$C$525,Data!$E$324*BEB!J$344,0)</f>
        <v>0</v>
      </c>
      <c r="K525" s="177">
        <f>IF($F$525=$C$525,Data!$E$324*BEB!K$344,0)</f>
        <v>0</v>
      </c>
      <c r="L525" s="177">
        <f>IF($F$525=$C$525,Data!$E$324*BEB!L$344,0)</f>
        <v>0</v>
      </c>
      <c r="M525" s="177">
        <f>IF($F$525=$C$525,Data!$E$324*BEB!M$344,0)</f>
        <v>0</v>
      </c>
      <c r="N525" s="177">
        <f>IF($F$525=$C$525,Data!$E$324*BEB!N$344,0)</f>
        <v>0</v>
      </c>
      <c r="O525" s="177">
        <f>IF($F$525=$C$525,Data!$E$324*BEB!O$344,0)</f>
        <v>0</v>
      </c>
      <c r="P525" s="177">
        <f>IF($F$525=$C$525,Data!$E$324*BEB!P$344,0)</f>
        <v>0</v>
      </c>
      <c r="Q525" s="177">
        <f>IF($F$525=$C$525,Data!$E$324*BEB!Q$344,0)</f>
        <v>0</v>
      </c>
      <c r="R525" s="177">
        <f>IF($F$525=$C$525,Data!$E$324*BEB!R$344,0)</f>
        <v>0</v>
      </c>
      <c r="S525" s="177">
        <f>IF($F$525=$C$525,Data!$E$324*BEB!S$344,0)</f>
        <v>0</v>
      </c>
      <c r="T525" s="177">
        <f>IF($F$525=$C$525,Data!$E$324*BEB!T$344,0)</f>
        <v>0</v>
      </c>
      <c r="U525" s="177">
        <f>IF($F$525=$C$525,Data!$E$324*BEB!U$344,0)</f>
        <v>0</v>
      </c>
      <c r="V525" s="177">
        <f>IF($F$525=$C$525,Data!$E$324*BEB!V$344,0)</f>
        <v>0</v>
      </c>
      <c r="W525" s="177">
        <f>IF($F$525=$C$525,Data!$E$324*BEB!W$344,0)</f>
        <v>0</v>
      </c>
      <c r="X525" s="177">
        <f>IF($F$525=$C$525,Data!$E$324*BEB!X$344,0)</f>
        <v>0</v>
      </c>
      <c r="Y525" s="177">
        <f>IF($F$525=$C$525,Data!$E$324*BEB!Y$344,0)</f>
        <v>0</v>
      </c>
      <c r="Z525" s="177">
        <f>IF($F$525=$C$525,Data!$E$324*BEB!Z$344,0)</f>
        <v>0</v>
      </c>
      <c r="AA525" s="177">
        <f>IF($F$525=$C$525,Data!$E$324*BEB!AA$344,0)</f>
        <v>0</v>
      </c>
      <c r="AB525" s="177">
        <f>IF($F$525=$C$525,Data!$E$324*BEB!AB$344,0)</f>
        <v>0</v>
      </c>
      <c r="AC525" s="177"/>
      <c r="AD525" s="177"/>
      <c r="AE525" s="177"/>
      <c r="AF525" s="177"/>
      <c r="AG525" s="177"/>
      <c r="AH525" s="177"/>
      <c r="AI525" s="177"/>
      <c r="AJ525" s="177"/>
      <c r="AK525" s="177"/>
      <c r="AL525" s="177"/>
      <c r="AM525" s="177"/>
      <c r="AN525" s="177"/>
      <c r="AO525" s="177"/>
      <c r="AP525" s="29"/>
    </row>
    <row r="526" spans="1:42" outlineLevel="1" x14ac:dyDescent="0.25">
      <c r="A526" s="12"/>
      <c r="B526" s="13"/>
      <c r="C526" s="96" t="s">
        <v>124</v>
      </c>
      <c r="D526" s="45"/>
      <c r="E526" s="15" t="s">
        <v>474</v>
      </c>
      <c r="F526" s="158" t="str">
        <f>Dashboard!$I$53</f>
        <v>3 Axle rigid</v>
      </c>
      <c r="G526" s="14"/>
      <c r="H526" s="150"/>
      <c r="I526" s="177">
        <f>IF($F$526=$C$526,Data!$E$325*BEB!I$344,0)</f>
        <v>25096.499999999996</v>
      </c>
      <c r="J526" s="177">
        <f>IF($F$526=$C$526,Data!$E$325*BEB!J$344,0)</f>
        <v>25096.499999999996</v>
      </c>
      <c r="K526" s="177">
        <f>IF($F$526=$C$526,Data!$E$325*BEB!K$344,0)</f>
        <v>25096.499999999996</v>
      </c>
      <c r="L526" s="177">
        <f>IF($F$526=$C$526,Data!$E$325*BEB!L$344,0)</f>
        <v>25096.499999999996</v>
      </c>
      <c r="M526" s="177">
        <f>IF($F$526=$C$526,Data!$E$325*BEB!M$344,0)</f>
        <v>25096.499999999996</v>
      </c>
      <c r="N526" s="177">
        <f>IF($F$526=$C$526,Data!$E$325*BEB!N$344,0)</f>
        <v>25096.499999999996</v>
      </c>
      <c r="O526" s="177">
        <f>IF($F$526=$C$526,Data!$E$325*BEB!O$344,0)</f>
        <v>25096.499999999996</v>
      </c>
      <c r="P526" s="177">
        <f>IF($F$526=$C$526,Data!$E$325*BEB!P$344,0)</f>
        <v>25096.499999999996</v>
      </c>
      <c r="Q526" s="177">
        <f>IF($F$526=$C$526,Data!$E$325*BEB!Q$344,0)</f>
        <v>25096.499999999996</v>
      </c>
      <c r="R526" s="177">
        <f>IF($F$526=$C$526,Data!$E$325*BEB!R$344,0)</f>
        <v>25096.499999999996</v>
      </c>
      <c r="S526" s="177">
        <f>IF($F$526=$C$526,Data!$E$325*BEB!S$344,0)</f>
        <v>25096.499999999996</v>
      </c>
      <c r="T526" s="177">
        <f>IF($F$526=$C$526,Data!$E$325*BEB!T$344,0)</f>
        <v>25096.499999999996</v>
      </c>
      <c r="U526" s="177">
        <f>IF($F$526=$C$526,Data!$E$325*BEB!U$344,0)</f>
        <v>25096.499999999996</v>
      </c>
      <c r="V526" s="177">
        <f>IF($F$526=$C$526,Data!$E$325*BEB!V$344,0)</f>
        <v>25096.499999999996</v>
      </c>
      <c r="W526" s="177">
        <f>IF($F$526=$C$526,Data!$E$325*BEB!W$344,0)</f>
        <v>25096.499999999996</v>
      </c>
      <c r="X526" s="177">
        <f>IF($F$526=$C$526,Data!$E$325*BEB!X$344,0)</f>
        <v>25096.499999999996</v>
      </c>
      <c r="Y526" s="177">
        <f>IF($F$526=$C$526,Data!$E$325*BEB!Y$344,0)</f>
        <v>25096.499999999996</v>
      </c>
      <c r="Z526" s="177">
        <f>IF($F$526=$C$526,Data!$E$325*BEB!Z$344,0)</f>
        <v>25096.499999999996</v>
      </c>
      <c r="AA526" s="177">
        <f>IF($F$526=$C$526,Data!$E$325*BEB!AA$344,0)</f>
        <v>25096.499999999996</v>
      </c>
      <c r="AB526" s="177">
        <f>IF($F$526=$C$526,Data!$E$325*BEB!AB$344,0)</f>
        <v>25096.499999999996</v>
      </c>
      <c r="AC526" s="177"/>
      <c r="AD526" s="177"/>
      <c r="AE526" s="177"/>
      <c r="AF526" s="177"/>
      <c r="AG526" s="177"/>
      <c r="AH526" s="177"/>
      <c r="AI526" s="177"/>
      <c r="AJ526" s="177"/>
      <c r="AK526" s="177"/>
      <c r="AL526" s="177"/>
      <c r="AM526" s="177"/>
      <c r="AN526" s="177"/>
      <c r="AO526" s="177"/>
      <c r="AP526" s="29"/>
    </row>
    <row r="527" spans="1:42" outlineLevel="1" x14ac:dyDescent="0.25">
      <c r="A527" s="12"/>
      <c r="B527" s="13"/>
      <c r="C527" s="96" t="s">
        <v>126</v>
      </c>
      <c r="D527" s="45"/>
      <c r="E527" s="15" t="s">
        <v>474</v>
      </c>
      <c r="F527" s="158" t="str">
        <f>Dashboard!$I$53</f>
        <v>3 Axle rigid</v>
      </c>
      <c r="G527" s="14"/>
      <c r="H527" s="150"/>
      <c r="I527" s="177">
        <f>IF($F$527=$C$527,Data!$E$326*BEB!I$344,0)</f>
        <v>0</v>
      </c>
      <c r="J527" s="177">
        <f>IF($F$527=$C$527,Data!$E$326*BEB!J$344,0)</f>
        <v>0</v>
      </c>
      <c r="K527" s="177">
        <f>IF($F$527=$C$527,Data!$E$326*BEB!K$344,0)</f>
        <v>0</v>
      </c>
      <c r="L527" s="177">
        <f>IF($F$527=$C$527,Data!$E$326*BEB!L$344,0)</f>
        <v>0</v>
      </c>
      <c r="M527" s="177">
        <f>IF($F$527=$C$527,Data!$E$326*BEB!M$344,0)</f>
        <v>0</v>
      </c>
      <c r="N527" s="177">
        <f>IF($F$527=$C$527,Data!$E$326*BEB!N$344,0)</f>
        <v>0</v>
      </c>
      <c r="O527" s="177">
        <f>IF($F$527=$C$527,Data!$E$326*BEB!O$344,0)</f>
        <v>0</v>
      </c>
      <c r="P527" s="177">
        <f>IF($F$527=$C$527,Data!$E$326*BEB!P$344,0)</f>
        <v>0</v>
      </c>
      <c r="Q527" s="177">
        <f>IF($F$527=$C$527,Data!$E$326*BEB!Q$344,0)</f>
        <v>0</v>
      </c>
      <c r="R527" s="177">
        <f>IF($F$527=$C$527,Data!$E$326*BEB!R$344,0)</f>
        <v>0</v>
      </c>
      <c r="S527" s="177">
        <f>IF($F$527=$C$527,Data!$E$326*BEB!S$344,0)</f>
        <v>0</v>
      </c>
      <c r="T527" s="177">
        <f>IF($F$527=$C$527,Data!$E$326*BEB!T$344,0)</f>
        <v>0</v>
      </c>
      <c r="U527" s="177">
        <f>IF($F$527=$C$527,Data!$E$326*BEB!U$344,0)</f>
        <v>0</v>
      </c>
      <c r="V527" s="177">
        <f>IF($F$527=$C$527,Data!$E$326*BEB!V$344,0)</f>
        <v>0</v>
      </c>
      <c r="W527" s="177">
        <f>IF($F$527=$C$527,Data!$E$326*BEB!W$344,0)</f>
        <v>0</v>
      </c>
      <c r="X527" s="177">
        <f>IF($F$527=$C$527,Data!$E$326*BEB!X$344,0)</f>
        <v>0</v>
      </c>
      <c r="Y527" s="177">
        <f>IF($F$527=$C$527,Data!$E$326*BEB!Y$344,0)</f>
        <v>0</v>
      </c>
      <c r="Z527" s="177">
        <f>IF($F$527=$C$527,Data!$E$326*BEB!Z$344,0)</f>
        <v>0</v>
      </c>
      <c r="AA527" s="177">
        <f>IF($F$527=$C$527,Data!$E$326*BEB!AA$344,0)</f>
        <v>0</v>
      </c>
      <c r="AB527" s="177">
        <f>IF($F$527=$C$527,Data!$E$326*BEB!AB$344,0)</f>
        <v>0</v>
      </c>
      <c r="AC527" s="177"/>
      <c r="AD527" s="177"/>
      <c r="AE527" s="177"/>
      <c r="AF527" s="177"/>
      <c r="AG527" s="177"/>
      <c r="AH527" s="177"/>
      <c r="AI527" s="177"/>
      <c r="AJ527" s="177"/>
      <c r="AK527" s="177"/>
      <c r="AL527" s="177"/>
      <c r="AM527" s="177"/>
      <c r="AN527" s="177"/>
      <c r="AO527" s="177"/>
      <c r="AP527" s="29"/>
    </row>
    <row r="528" spans="1:42" outlineLevel="1" x14ac:dyDescent="0.25">
      <c r="A528" s="12"/>
      <c r="B528" s="13"/>
      <c r="C528" s="96"/>
      <c r="D528" s="45"/>
      <c r="E528" s="15"/>
      <c r="F528" s="158"/>
      <c r="G528" s="14"/>
      <c r="H528" s="150"/>
      <c r="I528" s="177"/>
      <c r="J528" s="177"/>
      <c r="K528" s="177"/>
      <c r="L528" s="177"/>
      <c r="M528" s="177"/>
      <c r="N528" s="177"/>
      <c r="O528" s="177"/>
      <c r="P528" s="177"/>
      <c r="Q528" s="177"/>
      <c r="R528" s="177"/>
      <c r="S528" s="177"/>
      <c r="T528" s="177"/>
      <c r="U528" s="177"/>
      <c r="V528" s="177"/>
      <c r="W528" s="177"/>
      <c r="X528" s="177"/>
      <c r="Y528" s="177"/>
      <c r="Z528" s="177"/>
      <c r="AA528" s="177"/>
      <c r="AB528" s="177"/>
      <c r="AC528" s="177"/>
      <c r="AD528" s="177"/>
      <c r="AE528" s="177"/>
      <c r="AF528" s="177"/>
      <c r="AG528" s="177"/>
      <c r="AH528" s="177"/>
      <c r="AI528" s="177"/>
      <c r="AJ528" s="177"/>
      <c r="AK528" s="177"/>
      <c r="AL528" s="177"/>
      <c r="AM528" s="177"/>
      <c r="AN528" s="177"/>
      <c r="AO528" s="177"/>
      <c r="AP528" s="29"/>
    </row>
    <row r="529" spans="1:42" s="51" customFormat="1" outlineLevel="1" x14ac:dyDescent="0.25">
      <c r="A529" s="12"/>
      <c r="B529" s="12"/>
      <c r="C529" s="399" t="s">
        <v>260</v>
      </c>
      <c r="D529" s="12"/>
      <c r="E529" s="79" t="s">
        <v>318</v>
      </c>
      <c r="F529" s="80"/>
      <c r="G529" s="12"/>
      <c r="H529" s="400"/>
      <c r="I529" s="400"/>
      <c r="J529" s="400"/>
      <c r="K529" s="400">
        <f>Data!$E$332*K344</f>
        <v>18553.392</v>
      </c>
      <c r="L529" s="400">
        <f>Data!$E$332*L344</f>
        <v>18553.392</v>
      </c>
      <c r="M529" s="400">
        <f>Data!$E$332*M344</f>
        <v>18553.392</v>
      </c>
      <c r="N529" s="400">
        <f>Data!$E$332*N344</f>
        <v>18553.392</v>
      </c>
      <c r="O529" s="400">
        <f>Data!$E$332*O344</f>
        <v>18553.392</v>
      </c>
      <c r="P529" s="400">
        <f>Data!$E$332*P344</f>
        <v>18553.392</v>
      </c>
      <c r="Q529" s="400">
        <f>Data!$E$332*Q344</f>
        <v>18553.392</v>
      </c>
      <c r="R529" s="400">
        <f>Data!$E$332*R344</f>
        <v>18553.392</v>
      </c>
      <c r="S529" s="400">
        <f>Data!$E$332*S344</f>
        <v>18553.392</v>
      </c>
      <c r="T529" s="400">
        <f>Data!$E$332*T344</f>
        <v>18553.392</v>
      </c>
      <c r="U529" s="400">
        <f>Data!$E$332*U344</f>
        <v>18553.392</v>
      </c>
      <c r="V529" s="400">
        <f>Data!$E$332*V344</f>
        <v>18553.392</v>
      </c>
      <c r="W529" s="400">
        <f>Data!$E$332*W344</f>
        <v>18553.392</v>
      </c>
      <c r="X529" s="400">
        <f>Data!$E$332*X344</f>
        <v>18553.392</v>
      </c>
      <c r="Y529" s="400">
        <f>Data!$E$332*Y344</f>
        <v>18553.392</v>
      </c>
      <c r="Z529" s="400">
        <f>Data!$E$332*Z344</f>
        <v>18553.392</v>
      </c>
      <c r="AA529" s="400">
        <f>Data!$E$332*AA344</f>
        <v>18553.392</v>
      </c>
      <c r="AB529" s="400">
        <f>Data!$E$332*AB344</f>
        <v>18553.392</v>
      </c>
      <c r="AC529" s="400">
        <f>Data!$E$332*AC344</f>
        <v>0</v>
      </c>
      <c r="AD529" s="400">
        <f>Data!$E$332*AD344</f>
        <v>0</v>
      </c>
      <c r="AE529" s="400">
        <f>Data!$E$332*AE344</f>
        <v>0</v>
      </c>
      <c r="AF529" s="400">
        <f>Data!$E$332*AF344</f>
        <v>0</v>
      </c>
      <c r="AG529" s="400">
        <f>Data!$E$332*AG344</f>
        <v>0</v>
      </c>
      <c r="AH529" s="400">
        <f>Data!$E$332*AH344</f>
        <v>0</v>
      </c>
      <c r="AI529" s="400">
        <f>Data!$E$332*AI344</f>
        <v>0</v>
      </c>
      <c r="AJ529" s="400">
        <f>Data!$E$332*AJ344</f>
        <v>0</v>
      </c>
      <c r="AK529" s="400">
        <f>Data!$E$332*AK344</f>
        <v>0</v>
      </c>
      <c r="AL529" s="400">
        <f>Data!$E$332*AL344</f>
        <v>0</v>
      </c>
      <c r="AM529" s="400">
        <f>Data!$E$332*AM344</f>
        <v>0</v>
      </c>
      <c r="AN529" s="400">
        <f>Data!$E$332*AN344</f>
        <v>0</v>
      </c>
      <c r="AO529" s="400">
        <f>Data!$E$332*AO344</f>
        <v>0</v>
      </c>
      <c r="AP529" s="401"/>
    </row>
    <row r="530" spans="1:42" s="51" customFormat="1" outlineLevel="1" x14ac:dyDescent="0.25">
      <c r="A530" s="12"/>
      <c r="B530" s="12"/>
      <c r="C530" s="399"/>
      <c r="D530" s="12"/>
      <c r="E530" s="79"/>
      <c r="F530" s="80"/>
      <c r="G530" s="12"/>
      <c r="H530" s="400"/>
      <c r="I530" s="400"/>
      <c r="J530" s="400"/>
      <c r="K530" s="400"/>
      <c r="L530" s="400"/>
      <c r="M530" s="400"/>
      <c r="N530" s="400"/>
      <c r="O530" s="400"/>
      <c r="P530" s="400"/>
      <c r="Q530" s="400"/>
      <c r="R530" s="400"/>
      <c r="S530" s="400"/>
      <c r="T530" s="400"/>
      <c r="U530" s="400"/>
      <c r="V530" s="400"/>
      <c r="W530" s="400"/>
      <c r="X530" s="400"/>
      <c r="Y530" s="400"/>
      <c r="Z530" s="400"/>
      <c r="AA530" s="400"/>
      <c r="AB530" s="400"/>
      <c r="AC530" s="400"/>
      <c r="AD530" s="400"/>
      <c r="AE530" s="400"/>
      <c r="AF530" s="400"/>
      <c r="AG530" s="400"/>
      <c r="AH530" s="400"/>
      <c r="AI530" s="400"/>
      <c r="AJ530" s="400"/>
      <c r="AK530" s="400"/>
      <c r="AL530" s="400"/>
      <c r="AM530" s="400"/>
      <c r="AN530" s="400"/>
      <c r="AO530" s="400"/>
      <c r="AP530" s="401"/>
    </row>
    <row r="531" spans="1:42" outlineLevel="1" x14ac:dyDescent="0.25">
      <c r="A531" s="12"/>
      <c r="B531" s="13"/>
      <c r="C531" s="95" t="s">
        <v>568</v>
      </c>
      <c r="D531" s="45"/>
      <c r="E531" s="15"/>
      <c r="F531" s="16"/>
      <c r="G531" s="14"/>
      <c r="H531" s="28"/>
      <c r="I531" s="177"/>
      <c r="J531" s="177"/>
      <c r="K531" s="177"/>
      <c r="L531" s="177"/>
      <c r="M531" s="177"/>
      <c r="N531" s="177"/>
      <c r="O531" s="177"/>
      <c r="P531" s="177"/>
      <c r="Q531" s="177"/>
      <c r="R531" s="177"/>
      <c r="S531" s="177"/>
      <c r="T531" s="177"/>
      <c r="U531" s="177"/>
      <c r="V531" s="177"/>
      <c r="W531" s="177"/>
      <c r="X531" s="177"/>
      <c r="Y531" s="177"/>
      <c r="Z531" s="177"/>
      <c r="AA531" s="177"/>
      <c r="AB531" s="177"/>
      <c r="AC531" s="177"/>
      <c r="AD531" s="177"/>
      <c r="AE531" s="177"/>
      <c r="AF531" s="177"/>
      <c r="AG531" s="177"/>
      <c r="AH531" s="177"/>
      <c r="AI531" s="177"/>
      <c r="AJ531" s="177"/>
      <c r="AK531" s="177"/>
      <c r="AL531" s="177"/>
      <c r="AM531" s="177"/>
      <c r="AN531" s="177"/>
      <c r="AO531" s="177"/>
      <c r="AP531" s="29"/>
    </row>
    <row r="532" spans="1:42" outlineLevel="1" x14ac:dyDescent="0.25">
      <c r="A532" s="12"/>
      <c r="B532" s="13"/>
      <c r="C532" s="96" t="s">
        <v>316</v>
      </c>
      <c r="D532" s="14"/>
      <c r="E532" s="15" t="s">
        <v>569</v>
      </c>
      <c r="F532" s="16"/>
      <c r="G532" s="14"/>
      <c r="H532" s="151"/>
      <c r="I532" s="14">
        <f>Data!$E$349*Data!$E$329</f>
        <v>0</v>
      </c>
      <c r="J532" s="14">
        <f>Data!$E$349*Data!$E$329</f>
        <v>0</v>
      </c>
      <c r="K532" s="14">
        <f>Data!$E$349*Data!$E$329</f>
        <v>0</v>
      </c>
      <c r="L532" s="14">
        <f>Data!$E$349*Data!$E$329</f>
        <v>0</v>
      </c>
      <c r="M532" s="14">
        <f>Data!$E$349*Data!$E$329</f>
        <v>0</v>
      </c>
      <c r="N532" s="14">
        <f>Data!$E$349*Data!$E$329</f>
        <v>0</v>
      </c>
      <c r="O532" s="14">
        <f>Data!$E$349*Data!$E$329</f>
        <v>0</v>
      </c>
      <c r="P532" s="14">
        <f>Data!$E$349*Data!$E$329</f>
        <v>0</v>
      </c>
      <c r="Q532" s="14">
        <f>Data!$E$349*Data!$E$329</f>
        <v>0</v>
      </c>
      <c r="R532" s="14">
        <f>Data!$E$349*Data!$E$329</f>
        <v>0</v>
      </c>
      <c r="S532" s="14">
        <f>Data!$E$349*Data!$E$329</f>
        <v>0</v>
      </c>
      <c r="T532" s="14">
        <f>Data!$E$349*Data!$E$329</f>
        <v>0</v>
      </c>
      <c r="U532" s="14">
        <f>Data!$E$349*Data!$E$329</f>
        <v>0</v>
      </c>
      <c r="V532" s="14">
        <f>Data!$E$349*Data!$E$329</f>
        <v>0</v>
      </c>
      <c r="W532" s="14">
        <f>Data!$E$349*Data!$E$329</f>
        <v>0</v>
      </c>
      <c r="X532" s="14">
        <f>Data!$E$349*Data!$E$329</f>
        <v>0</v>
      </c>
      <c r="Y532" s="14">
        <f>Data!$E$349*Data!$E$329</f>
        <v>0</v>
      </c>
      <c r="Z532" s="14">
        <f>Data!$E$349*Data!$E$329</f>
        <v>0</v>
      </c>
      <c r="AA532" s="14">
        <f>Data!$E$349*Data!$E$329</f>
        <v>0</v>
      </c>
      <c r="AB532" s="14">
        <f>Data!$E$349*Data!$E$329</f>
        <v>0</v>
      </c>
      <c r="AC532" s="14"/>
      <c r="AD532" s="14"/>
      <c r="AE532" s="14"/>
      <c r="AF532" s="14"/>
      <c r="AG532" s="14"/>
      <c r="AH532" s="14"/>
      <c r="AI532" s="14"/>
      <c r="AJ532" s="14"/>
      <c r="AK532" s="14"/>
      <c r="AL532" s="14"/>
      <c r="AM532" s="14"/>
      <c r="AN532" s="14"/>
      <c r="AO532" s="14"/>
      <c r="AP532" s="17"/>
    </row>
    <row r="533" spans="1:42" outlineLevel="1" x14ac:dyDescent="0.25">
      <c r="A533" s="12"/>
      <c r="B533" s="13"/>
      <c r="C533" s="96" t="s">
        <v>319</v>
      </c>
      <c r="D533" s="44"/>
      <c r="E533" s="15" t="s">
        <v>569</v>
      </c>
      <c r="F533" s="158">
        <f>Dashboard!$I$54</f>
        <v>0</v>
      </c>
      <c r="G533" s="14"/>
      <c r="H533" s="46"/>
      <c r="I533" s="159">
        <f>$F$533*Data!$E$330/Dashboard!$I$41</f>
        <v>0</v>
      </c>
      <c r="J533" s="159">
        <f>$F$533*Data!$E$330/Dashboard!$I$41</f>
        <v>0</v>
      </c>
      <c r="K533" s="159">
        <f>$F$533*Data!$E$330/Dashboard!$I$41</f>
        <v>0</v>
      </c>
      <c r="L533" s="159">
        <f>$F$533*Data!$E$330/Dashboard!$I$41</f>
        <v>0</v>
      </c>
      <c r="M533" s="159">
        <f>$F$533*Data!$E$330/Dashboard!$I$41</f>
        <v>0</v>
      </c>
      <c r="N533" s="159">
        <f>$F$533*Data!$E$330/Dashboard!$I$41</f>
        <v>0</v>
      </c>
      <c r="O533" s="159">
        <f>$F$533*Data!$E$330/Dashboard!$I$41</f>
        <v>0</v>
      </c>
      <c r="P533" s="159">
        <f>$F$533*Data!$E$330/Dashboard!$I$41</f>
        <v>0</v>
      </c>
      <c r="Q533" s="159">
        <f>$F$533*Data!$E$330/Dashboard!$I$41</f>
        <v>0</v>
      </c>
      <c r="R533" s="159">
        <f>$F$533*Data!$E$330/Dashboard!$I$41</f>
        <v>0</v>
      </c>
      <c r="S533" s="159">
        <f>$F$533*Data!$E$330/Dashboard!$I$41</f>
        <v>0</v>
      </c>
      <c r="T533" s="159">
        <f>$F$533*Data!$E$330/Dashboard!$I$41</f>
        <v>0</v>
      </c>
      <c r="U533" s="159">
        <f>$F$533*Data!$E$330/Dashboard!$I$41</f>
        <v>0</v>
      </c>
      <c r="V533" s="159">
        <f>$F$533*Data!$E$330/Dashboard!$I$41</f>
        <v>0</v>
      </c>
      <c r="W533" s="159">
        <f>$F$533*Data!$E$330/Dashboard!$I$41</f>
        <v>0</v>
      </c>
      <c r="X533" s="159">
        <f>$F$533*Data!$E$330/Dashboard!$I$41</f>
        <v>0</v>
      </c>
      <c r="Y533" s="159">
        <f>$F$533*Data!$E$330/Dashboard!$I$41</f>
        <v>0</v>
      </c>
      <c r="Z533" s="159">
        <f>$F$533*Data!$E$330/Dashboard!$I$41</f>
        <v>0</v>
      </c>
      <c r="AA533" s="159">
        <f>$F$533*Data!$E$330/Dashboard!$I$41</f>
        <v>0</v>
      </c>
      <c r="AB533" s="159">
        <f>$F$533*Data!$E$330/Dashboard!$I$41</f>
        <v>0</v>
      </c>
      <c r="AC533" s="159"/>
      <c r="AD533" s="159"/>
      <c r="AE533" s="159"/>
      <c r="AF533" s="159"/>
      <c r="AG533" s="159"/>
      <c r="AH533" s="159"/>
      <c r="AI533" s="159"/>
      <c r="AJ533" s="159"/>
      <c r="AK533" s="159"/>
      <c r="AL533" s="159"/>
      <c r="AM533" s="159"/>
      <c r="AN533" s="159"/>
      <c r="AO533" s="159"/>
      <c r="AP533" s="17"/>
    </row>
    <row r="534" spans="1:42" outlineLevel="1" x14ac:dyDescent="0.25">
      <c r="A534" s="12"/>
      <c r="B534" s="13"/>
      <c r="C534" s="95" t="s">
        <v>570</v>
      </c>
      <c r="D534" s="45"/>
      <c r="E534" s="15"/>
      <c r="F534" s="16"/>
      <c r="G534" s="14"/>
      <c r="H534" s="28"/>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29"/>
    </row>
    <row r="535" spans="1:42" outlineLevel="1" x14ac:dyDescent="0.25">
      <c r="A535" s="12"/>
      <c r="B535" s="13"/>
      <c r="C535" s="96" t="s">
        <v>127</v>
      </c>
      <c r="D535" s="45"/>
      <c r="E535" s="15" t="s">
        <v>475</v>
      </c>
      <c r="F535" s="158" t="str">
        <f>Dashboard!$I$52</f>
        <v>Hilly (Gradient  6%)</v>
      </c>
      <c r="G535" s="14"/>
      <c r="H535" s="28"/>
      <c r="I535" s="178" cm="1">
        <f t="array" ref="I535">INDEX('Control panel'!$F$17:$F$19,MATCH(BEB!$F$535,'Control panel'!$C$17:$C$19,0),0)</f>
        <v>0.15</v>
      </c>
      <c r="J535" s="178" cm="1">
        <f t="array" ref="J535">INDEX('Control panel'!$F$17:$F$19,MATCH(BEB!$F$535,'Control panel'!$C$17:$C$19,0),0)</f>
        <v>0.15</v>
      </c>
      <c r="K535" s="178" cm="1">
        <f t="array" ref="K535">INDEX('Control panel'!$F$17:$F$19,MATCH(BEB!$F$535,'Control panel'!$C$17:$C$19,0),0)</f>
        <v>0.15</v>
      </c>
      <c r="L535" s="178" cm="1">
        <f t="array" ref="L535">INDEX('Control panel'!$F$17:$F$19,MATCH(BEB!$F$535,'Control panel'!$C$17:$C$19,0),0)</f>
        <v>0.15</v>
      </c>
      <c r="M535" s="178" cm="1">
        <f t="array" ref="M535">INDEX('Control panel'!$F$17:$F$19,MATCH(BEB!$F$535,'Control panel'!$C$17:$C$19,0),0)</f>
        <v>0.15</v>
      </c>
      <c r="N535" s="178" cm="1">
        <f t="array" ref="N535">INDEX('Control panel'!$F$17:$F$19,MATCH(BEB!$F$535,'Control panel'!$C$17:$C$19,0),0)</f>
        <v>0.15</v>
      </c>
      <c r="O535" s="178" cm="1">
        <f t="array" ref="O535">INDEX('Control panel'!$F$17:$F$19,MATCH(BEB!$F$535,'Control panel'!$C$17:$C$19,0),0)</f>
        <v>0.15</v>
      </c>
      <c r="P535" s="178" cm="1">
        <f t="array" ref="P535">INDEX('Control panel'!$F$17:$F$19,MATCH(BEB!$F$535,'Control panel'!$C$17:$C$19,0),0)</f>
        <v>0.15</v>
      </c>
      <c r="Q535" s="178" cm="1">
        <f t="array" ref="Q535">INDEX('Control panel'!$F$17:$F$19,MATCH(BEB!$F$535,'Control panel'!$C$17:$C$19,0),0)</f>
        <v>0.15</v>
      </c>
      <c r="R535" s="178" cm="1">
        <f t="array" ref="R535">INDEX('Control panel'!$F$17:$F$19,MATCH(BEB!$F$535,'Control panel'!$C$17:$C$19,0),0)</f>
        <v>0.15</v>
      </c>
      <c r="S535" s="178" cm="1">
        <f t="array" ref="S535">INDEX('Control panel'!$F$17:$F$19,MATCH(BEB!$F$535,'Control panel'!$C$17:$C$19,0),0)</f>
        <v>0.15</v>
      </c>
      <c r="T535" s="178" cm="1">
        <f t="array" ref="T535">INDEX('Control panel'!$F$17:$F$19,MATCH(BEB!$F$535,'Control panel'!$C$17:$C$19,0),0)</f>
        <v>0.15</v>
      </c>
      <c r="U535" s="178" cm="1">
        <f t="array" ref="U535">INDEX('Control panel'!$F$17:$F$19,MATCH(BEB!$F$535,'Control panel'!$C$17:$C$19,0),0)</f>
        <v>0.15</v>
      </c>
      <c r="V535" s="178" cm="1">
        <f t="array" ref="V535">INDEX('Control panel'!$F$17:$F$19,MATCH(BEB!$F$535,'Control panel'!$C$17:$C$19,0),0)</f>
        <v>0.15</v>
      </c>
      <c r="W535" s="178" cm="1">
        <f t="array" ref="W535">INDEX('Control panel'!$F$17:$F$19,MATCH(BEB!$F$535,'Control panel'!$C$17:$C$19,0),0)</f>
        <v>0.15</v>
      </c>
      <c r="X535" s="178" cm="1">
        <f t="array" ref="X535">INDEX('Control panel'!$F$17:$F$19,MATCH(BEB!$F$535,'Control panel'!$C$17:$C$19,0),0)</f>
        <v>0.15</v>
      </c>
      <c r="Y535" s="178" cm="1">
        <f t="array" ref="Y535">INDEX('Control panel'!$F$17:$F$19,MATCH(BEB!$F$535,'Control panel'!$C$17:$C$19,0),0)</f>
        <v>0.15</v>
      </c>
      <c r="Z535" s="178" cm="1">
        <f t="array" ref="Z535">INDEX('Control panel'!$F$17:$F$19,MATCH(BEB!$F$535,'Control panel'!$C$17:$C$19,0),0)</f>
        <v>0.15</v>
      </c>
      <c r="AA535" s="178" cm="1">
        <f t="array" ref="AA535">INDEX('Control panel'!$F$17:$F$19,MATCH(BEB!$F$535,'Control panel'!$C$17:$C$19,0),0)</f>
        <v>0.15</v>
      </c>
      <c r="AB535" s="178" cm="1">
        <f t="array" ref="AB535">INDEX('Control panel'!$F$17:$F$19,MATCH(BEB!$F$535,'Control panel'!$C$17:$C$19,0),0)</f>
        <v>0.15</v>
      </c>
      <c r="AC535" s="178"/>
      <c r="AD535" s="178"/>
      <c r="AE535" s="178"/>
      <c r="AF535" s="178"/>
      <c r="AG535" s="178"/>
      <c r="AH535" s="178"/>
      <c r="AI535" s="178"/>
      <c r="AJ535" s="178"/>
      <c r="AK535" s="178"/>
      <c r="AL535" s="178"/>
      <c r="AM535" s="178"/>
      <c r="AN535" s="178"/>
      <c r="AO535" s="178"/>
      <c r="AP535" s="29"/>
    </row>
    <row r="536" spans="1:42" ht="15.75" customHeight="1" outlineLevel="1" x14ac:dyDescent="0.25">
      <c r="A536" s="12"/>
      <c r="B536" s="13"/>
      <c r="C536" s="96" t="s">
        <v>120</v>
      </c>
      <c r="D536" s="45"/>
      <c r="E536" s="15"/>
      <c r="F536" s="158" t="str">
        <f>Dashboard!$I$53</f>
        <v>3 Axle rigid</v>
      </c>
      <c r="G536" s="14"/>
      <c r="H536" s="28"/>
      <c r="I536" s="56">
        <f>IF($C$536=$F$536,I344*Data!$E$340*Data!H$76,0)*(1+I535)*(1+Data!$E$92)</f>
        <v>0</v>
      </c>
      <c r="J536" s="56">
        <f>IF($C$536=$F$536,J344*Data!$E$340*Data!I$76,0)*(1+J535)*(1+Data!$E$92)</f>
        <v>0</v>
      </c>
      <c r="K536" s="56">
        <f>IF($C$536=$F$536,K344*Data!$E$340*Data!J$76,0)*(1+K535)*(1+Data!$E$92)</f>
        <v>0</v>
      </c>
      <c r="L536" s="56">
        <f>IF($C$536=$F$536,L344*Data!$E$340*Data!K$76,0)*(1+L535)*(1+Data!$E$92)</f>
        <v>0</v>
      </c>
      <c r="M536" s="56">
        <f>IF($C$536=$F$536,M344*Data!$E$340*Data!L$76,0)*(1+M535)*(1+Data!$E$92)</f>
        <v>0</v>
      </c>
      <c r="N536" s="56">
        <f>IF($C$536=$F$536,N344*Data!$E$340*Data!M$76,0)*(1+N535)*(1+Data!$E$92)</f>
        <v>0</v>
      </c>
      <c r="O536" s="56">
        <f>IF($C$536=$F$536,O344*Data!$E$340*Data!N$76,0)*(1+O535)*(1+Data!$E$92)</f>
        <v>0</v>
      </c>
      <c r="P536" s="56">
        <f>IF($C$536=$F$536,P344*Data!$E$340*Data!O$76,0)*(1+P535)*(1+Data!$E$92)</f>
        <v>0</v>
      </c>
      <c r="Q536" s="56">
        <f>IF($C$536=$F$536,Q344*Data!$E$340*Data!P$76,0)*(1+Q535)*(1+Data!$E$92)</f>
        <v>0</v>
      </c>
      <c r="R536" s="56">
        <f>IF($C$536=$F$536,R344*Data!$E$340*Data!Q$76,0)*(1+R535)*(1+Data!$E$92)</f>
        <v>0</v>
      </c>
      <c r="S536" s="56">
        <f>IF($C$536=$F$536,S344*Data!$E$340*Data!R$76,0)*(1+S535)*(1+Data!$E$92)</f>
        <v>0</v>
      </c>
      <c r="T536" s="56">
        <f>IF($C$536=$F$536,T344*Data!$E$340*Data!S$76,0)*(1+T535)*(1+Data!$E$92)</f>
        <v>0</v>
      </c>
      <c r="U536" s="56">
        <f>IF($C$536=$F$536,U344*Data!$E$340*Data!T$76,0)*(1+U535)*(1+Data!$E$92)</f>
        <v>0</v>
      </c>
      <c r="V536" s="56">
        <f>IF($C$536=$F$536,V344*Data!$E$340*Data!U$76,0)*(1+V535)*(1+Data!$E$92)</f>
        <v>0</v>
      </c>
      <c r="W536" s="56">
        <f>IF($C$536=$F$536,W344*Data!$E$340*Data!V$76,0)*(1+W535)*(1+Data!$E$92)</f>
        <v>0</v>
      </c>
      <c r="X536" s="56">
        <f>IF($C$536=$F$536,X344*Data!$E$340*Data!W$76,0)*(1+X535)*(1+Data!$E$92)</f>
        <v>0</v>
      </c>
      <c r="Y536" s="56">
        <f>IF($C$536=$F$536,Y344*Data!$E$340*Data!X$76,0)*(1+Y535)*(1+Data!$E$92)</f>
        <v>0</v>
      </c>
      <c r="Z536" s="56">
        <f>IF($C$536=$F$536,Z344*Data!$E$340*Data!Y$76,0)*(1+Z535)*(1+Data!$E$92)</f>
        <v>0</v>
      </c>
      <c r="AA536" s="56">
        <f>IF($C$536=$F$536,AA344*Data!$E$340*Data!Z$76,0)*(1+AA535)*(1+Data!$E$92)</f>
        <v>0</v>
      </c>
      <c r="AB536" s="56">
        <f>IF($C$536=$F$536,AB344*Data!$E$340*Data!AA$76,0)*(1+AB535)*(1+Data!$E$92)</f>
        <v>0</v>
      </c>
      <c r="AC536" s="56"/>
      <c r="AD536" s="56"/>
      <c r="AE536" s="56"/>
      <c r="AF536" s="56"/>
      <c r="AG536" s="56"/>
      <c r="AH536" s="56"/>
      <c r="AI536" s="56"/>
      <c r="AJ536" s="56"/>
      <c r="AK536" s="56"/>
      <c r="AL536" s="56"/>
      <c r="AM536" s="56"/>
      <c r="AN536" s="56"/>
      <c r="AO536" s="56"/>
      <c r="AP536" s="29"/>
    </row>
    <row r="537" spans="1:42" outlineLevel="1" x14ac:dyDescent="0.25">
      <c r="A537" s="12"/>
      <c r="B537" s="13"/>
      <c r="C537" s="96" t="s">
        <v>124</v>
      </c>
      <c r="D537" s="45"/>
      <c r="E537" s="15"/>
      <c r="F537" s="158" t="str">
        <f>Dashboard!$I$53</f>
        <v>3 Axle rigid</v>
      </c>
      <c r="G537" s="14"/>
      <c r="H537" s="28"/>
      <c r="I537" s="56">
        <f>IF($C$537=$F$537,I344*Data!$E$341*Data!H$76,0)*(1+I535)*(1+Data!$E$92)</f>
        <v>6925.6135068094427</v>
      </c>
      <c r="J537" s="56">
        <f>IF($C$537=$F$537,J344*Data!$E$341*Data!I$76,0)*(1+J535)*(1+Data!$E$92)</f>
        <v>6903.7483930787866</v>
      </c>
      <c r="K537" s="56">
        <f>IF($C$537=$F$537,K344*Data!$E$341*Data!J$76,0)*(1+K535)*(1+Data!$E$92)</f>
        <v>6862.3991822256676</v>
      </c>
      <c r="L537" s="56">
        <f>IF($C$537=$F$537,L344*Data!$E$341*Data!K$76,0)*(1+L535)*(1+Data!$E$92)</f>
        <v>6812.0228226357222</v>
      </c>
      <c r="M537" s="56">
        <f>IF($C$537=$F$537,M344*Data!$E$341*Data!L$76,0)*(1+M535)*(1+Data!$E$92)</f>
        <v>6756.029465513082</v>
      </c>
      <c r="N537" s="56">
        <f>IF($C$537=$F$537,N344*Data!$E$341*Data!M$76,0)*(1+N535)*(1+Data!$E$92)</f>
        <v>6698.6870492081052</v>
      </c>
      <c r="O537" s="56">
        <f>IF($C$537=$F$537,O344*Data!$E$341*Data!N$76,0)*(1+O535)*(1+Data!$E$92)</f>
        <v>6641.7641655344041</v>
      </c>
      <c r="P537" s="56">
        <f>IF($C$537=$F$537,P344*Data!$E$341*Data!O$76,0)*(1+P535)*(1+Data!$E$92)</f>
        <v>6582.8326749945236</v>
      </c>
      <c r="Q537" s="56">
        <f>IF($C$537=$F$537,Q344*Data!$E$341*Data!P$76,0)*(1+Q535)*(1+Data!$E$92)</f>
        <v>6551.5044578733214</v>
      </c>
      <c r="R537" s="56">
        <f>IF($C$537=$F$537,R344*Data!$E$341*Data!Q$76,0)*(1+R535)*(1+Data!$E$92)</f>
        <v>6520.6980108894222</v>
      </c>
      <c r="S537" s="56">
        <f>IF($C$537=$F$537,S344*Data!$E$341*Data!R$76,0)*(1+S535)*(1+Data!$E$92)</f>
        <v>6490.237220451434</v>
      </c>
      <c r="T537" s="56">
        <f>IF($C$537=$F$537,T344*Data!$E$341*Data!S$76,0)*(1+T535)*(1+Data!$E$92)</f>
        <v>6460.5885555906652</v>
      </c>
      <c r="U537" s="56">
        <f>IF($C$537=$F$537,U344*Data!$E$341*Data!T$76,0)*(1+U535)*(1+Data!$E$92)</f>
        <v>6443.4664408006338</v>
      </c>
      <c r="V537" s="56">
        <f>IF($C$537=$F$537,V344*Data!$E$341*Data!U$76,0)*(1+V535)*(1+Data!$E$92)</f>
        <v>6427.4898057822975</v>
      </c>
      <c r="W537" s="56">
        <f>IF($C$537=$F$537,W344*Data!$E$341*Data!V$76,0)*(1+W535)*(1+Data!$E$92)</f>
        <v>6410.8252259418368</v>
      </c>
      <c r="X537" s="56">
        <f>IF($C$537=$F$537,X344*Data!$E$341*Data!W$76,0)*(1+X535)*(1+Data!$E$92)</f>
        <v>6394.6830606669191</v>
      </c>
      <c r="Y537" s="56">
        <f>IF($C$537=$F$537,Y344*Data!$E$341*Data!X$76,0)*(1+Y535)*(1+Data!$E$92)</f>
        <v>6379.5737150172563</v>
      </c>
      <c r="Z537" s="56">
        <f>IF($C$537=$F$537,Z344*Data!$E$341*Data!Y$76,0)*(1+Z535)*(1+Data!$E$92)</f>
        <v>6365.4962694964725</v>
      </c>
      <c r="AA537" s="56">
        <f>IF($C$537=$F$537,AA344*Data!$E$341*Data!Z$76,0)*(1+AA535)*(1+Data!$E$92)</f>
        <v>6352.2631760785425</v>
      </c>
      <c r="AB537" s="56">
        <f>IF($C$537=$F$537,AB344*Data!$E$341*Data!AA$76,0)*(1+AB535)*(1+Data!$E$92)</f>
        <v>6339.6904437212315</v>
      </c>
      <c r="AC537" s="56"/>
      <c r="AD537" s="56"/>
      <c r="AE537" s="56"/>
      <c r="AF537" s="56"/>
      <c r="AG537" s="56"/>
      <c r="AH537" s="56"/>
      <c r="AI537" s="56"/>
      <c r="AJ537" s="56"/>
      <c r="AK537" s="56"/>
      <c r="AL537" s="56"/>
      <c r="AM537" s="56"/>
      <c r="AN537" s="56"/>
      <c r="AO537" s="56"/>
      <c r="AP537" s="29"/>
    </row>
    <row r="538" spans="1:42" outlineLevel="1" x14ac:dyDescent="0.25">
      <c r="A538" s="12"/>
      <c r="B538" s="13"/>
      <c r="C538" s="96" t="s">
        <v>126</v>
      </c>
      <c r="D538" s="45"/>
      <c r="E538" s="15"/>
      <c r="F538" s="158" t="str">
        <f>Dashboard!$I$53</f>
        <v>3 Axle rigid</v>
      </c>
      <c r="G538" s="14"/>
      <c r="H538" s="28"/>
      <c r="I538" s="56">
        <f>IF($C$538=$F$538,I344*Data!$E$342*Data!H$76,0)*(1+I535)*(1+Data!$E$92)</f>
        <v>0</v>
      </c>
      <c r="J538" s="56">
        <f>IF($C$538=$F$538,J344*Data!$E$342*Data!I$76,0)*(1+J535)*(1+Data!$E$92)</f>
        <v>0</v>
      </c>
      <c r="K538" s="56">
        <f>IF($C$538=$F$538,K344*Data!$E$342*Data!J$76,0)*(1+K535)*(1+Data!$E$92)</f>
        <v>0</v>
      </c>
      <c r="L538" s="56">
        <f>IF($C$538=$F$538,L344*Data!$E$342*Data!K$76,0)*(1+L535)*(1+Data!$E$92)</f>
        <v>0</v>
      </c>
      <c r="M538" s="56">
        <f>IF($C$538=$F$538,M344*Data!$E$342*Data!L$76,0)*(1+M535)*(1+Data!$E$92)</f>
        <v>0</v>
      </c>
      <c r="N538" s="56">
        <f>IF($C$538=$F$538,N344*Data!$E$342*Data!M$76,0)*(1+N535)*(1+Data!$E$92)</f>
        <v>0</v>
      </c>
      <c r="O538" s="56">
        <f>IF($C$538=$F$538,O344*Data!$E$342*Data!N$76,0)*(1+O535)*(1+Data!$E$92)</f>
        <v>0</v>
      </c>
      <c r="P538" s="56">
        <f>IF($C$538=$F$538,P344*Data!$E$342*Data!O$76,0)*(1+P535)*(1+Data!$E$92)</f>
        <v>0</v>
      </c>
      <c r="Q538" s="56">
        <f>IF($C$538=$F$538,Q344*Data!$E$342*Data!P$76,0)*(1+Q535)*(1+Data!$E$92)</f>
        <v>0</v>
      </c>
      <c r="R538" s="56">
        <f>IF($C$538=$F$538,R344*Data!$E$342*Data!Q$76,0)*(1+R535)*(1+Data!$E$92)</f>
        <v>0</v>
      </c>
      <c r="S538" s="56">
        <f>IF($C$538=$F$538,S344*Data!$E$342*Data!R$76,0)*(1+S535)*(1+Data!$E$92)</f>
        <v>0</v>
      </c>
      <c r="T538" s="56">
        <f>IF($C$538=$F$538,T344*Data!$E$342*Data!S$76,0)*(1+T535)*(1+Data!$E$92)</f>
        <v>0</v>
      </c>
      <c r="U538" s="56">
        <f>IF($C$538=$F$538,U344*Data!$E$342*Data!T$76,0)*(1+U535)*(1+Data!$E$92)</f>
        <v>0</v>
      </c>
      <c r="V538" s="56">
        <f>IF($C$538=$F$538,V344*Data!$E$342*Data!U$76,0)*(1+V535)*(1+Data!$E$92)</f>
        <v>0</v>
      </c>
      <c r="W538" s="56">
        <f>IF($C$538=$F$538,W344*Data!$E$342*Data!V$76,0)*(1+W535)*(1+Data!$E$92)</f>
        <v>0</v>
      </c>
      <c r="X538" s="56">
        <f>IF($C$538=$F$538,X344*Data!$E$342*Data!W$76,0)*(1+X535)*(1+Data!$E$92)</f>
        <v>0</v>
      </c>
      <c r="Y538" s="56">
        <f>IF($C$538=$F$538,Y344*Data!$E$342*Data!X$76,0)*(1+Y535)*(1+Data!$E$92)</f>
        <v>0</v>
      </c>
      <c r="Z538" s="56">
        <f>IF($C$538=$F$538,Z344*Data!$E$342*Data!Y$76,0)*(1+Z535)*(1+Data!$E$92)</f>
        <v>0</v>
      </c>
      <c r="AA538" s="56">
        <f>IF($C$538=$F$538,AA344*Data!$E$342*Data!Z$76,0)*(1+AA535)*(1+Data!$E$92)</f>
        <v>0</v>
      </c>
      <c r="AB538" s="56">
        <f>IF($C$538=$F$538,AB344*Data!$E$342*Data!AA$76,0)*(1+AB535)*(1+Data!$E$92)</f>
        <v>0</v>
      </c>
      <c r="AC538" s="56"/>
      <c r="AD538" s="56"/>
      <c r="AE538" s="56"/>
      <c r="AF538" s="56"/>
      <c r="AG538" s="56"/>
      <c r="AH538" s="56"/>
      <c r="AI538" s="56"/>
      <c r="AJ538" s="56"/>
      <c r="AK538" s="56"/>
      <c r="AL538" s="56"/>
      <c r="AM538" s="56"/>
      <c r="AN538" s="56"/>
      <c r="AO538" s="56"/>
      <c r="AP538" s="29"/>
    </row>
    <row r="539" spans="1:42" outlineLevel="1" x14ac:dyDescent="0.25">
      <c r="A539" s="12"/>
      <c r="B539" s="13"/>
      <c r="C539" s="96"/>
      <c r="D539" s="45"/>
      <c r="E539" s="15"/>
      <c r="F539" s="158"/>
      <c r="G539" s="14"/>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9"/>
    </row>
    <row r="540" spans="1:42" outlineLevel="1" x14ac:dyDescent="0.25">
      <c r="A540" s="12"/>
      <c r="B540" s="13"/>
      <c r="C540" s="19" t="s">
        <v>512</v>
      </c>
      <c r="D540" s="45"/>
      <c r="E540" s="15"/>
      <c r="F540" s="158"/>
      <c r="G540" s="14"/>
      <c r="H540" s="28"/>
      <c r="I540" s="182">
        <f>SUM(I525:I527)+I529+I532+I533+SUM(I536:I538)</f>
        <v>32022.113506809437</v>
      </c>
      <c r="J540" s="182">
        <f t="shared" ref="J540:AB540" si="144">SUM(J525:J527)+J529+J532+J533+SUM(J536:J538)</f>
        <v>32000.248393078782</v>
      </c>
      <c r="K540" s="182">
        <f t="shared" si="144"/>
        <v>50512.291182225657</v>
      </c>
      <c r="L540" s="182">
        <f t="shared" si="144"/>
        <v>50461.914822635714</v>
      </c>
      <c r="M540" s="182">
        <f t="shared" si="144"/>
        <v>50405.921465513078</v>
      </c>
      <c r="N540" s="182">
        <f t="shared" si="144"/>
        <v>50348.5790492081</v>
      </c>
      <c r="O540" s="182">
        <f t="shared" si="144"/>
        <v>50291.656165534398</v>
      </c>
      <c r="P540" s="182">
        <f t="shared" si="144"/>
        <v>50232.724674994519</v>
      </c>
      <c r="Q540" s="182">
        <f t="shared" si="144"/>
        <v>50201.396457873314</v>
      </c>
      <c r="R540" s="182">
        <f t="shared" si="144"/>
        <v>50170.590010889413</v>
      </c>
      <c r="S540" s="182">
        <f t="shared" si="144"/>
        <v>50140.129220451425</v>
      </c>
      <c r="T540" s="182">
        <f t="shared" si="144"/>
        <v>50110.480555590657</v>
      </c>
      <c r="U540" s="182">
        <f t="shared" si="144"/>
        <v>50093.358440800628</v>
      </c>
      <c r="V540" s="182">
        <f t="shared" si="144"/>
        <v>50077.381805782294</v>
      </c>
      <c r="W540" s="182">
        <f t="shared" si="144"/>
        <v>50060.717225941829</v>
      </c>
      <c r="X540" s="182">
        <f t="shared" si="144"/>
        <v>50044.57506066691</v>
      </c>
      <c r="Y540" s="182">
        <f t="shared" si="144"/>
        <v>50029.46571501725</v>
      </c>
      <c r="Z540" s="182">
        <f t="shared" si="144"/>
        <v>50015.388269496463</v>
      </c>
      <c r="AA540" s="182">
        <f t="shared" si="144"/>
        <v>50002.155176078537</v>
      </c>
      <c r="AB540" s="182">
        <f t="shared" si="144"/>
        <v>49989.582443721221</v>
      </c>
      <c r="AC540" s="182"/>
      <c r="AD540" s="182"/>
      <c r="AE540" s="182"/>
      <c r="AF540" s="182"/>
      <c r="AG540" s="182"/>
      <c r="AH540" s="182"/>
      <c r="AI540" s="182"/>
      <c r="AJ540" s="182"/>
      <c r="AK540" s="182"/>
      <c r="AL540" s="182"/>
      <c r="AM540" s="182"/>
      <c r="AN540" s="182"/>
      <c r="AO540" s="182"/>
      <c r="AP540" s="29"/>
    </row>
    <row r="541" spans="1:42" outlineLevel="1" x14ac:dyDescent="0.25">
      <c r="A541" s="12"/>
      <c r="B541" s="13"/>
      <c r="C541" s="96"/>
      <c r="D541" s="45"/>
      <c r="E541" s="15"/>
      <c r="F541" s="158"/>
      <c r="G541" s="14"/>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9"/>
    </row>
    <row r="542" spans="1:42" outlineLevel="1" x14ac:dyDescent="0.25">
      <c r="A542" s="12"/>
      <c r="B542" s="13"/>
      <c r="C542" s="45"/>
      <c r="D542" s="45"/>
      <c r="E542" s="15"/>
      <c r="F542" s="16"/>
      <c r="G542" s="14"/>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9"/>
    </row>
    <row r="543" spans="1:42" outlineLevel="1" x14ac:dyDescent="0.25">
      <c r="A543" s="12"/>
      <c r="B543" s="13"/>
      <c r="C543" s="37" t="s">
        <v>513</v>
      </c>
      <c r="D543" s="37"/>
      <c r="E543" s="38"/>
      <c r="F543" s="39"/>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17"/>
    </row>
    <row r="544" spans="1:42" s="140" customFormat="1" outlineLevel="1" x14ac:dyDescent="0.25">
      <c r="A544" s="78"/>
      <c r="B544" s="19"/>
      <c r="C544" s="95" t="s">
        <v>249</v>
      </c>
      <c r="D544" s="44"/>
      <c r="E544" s="21" t="s">
        <v>142</v>
      </c>
      <c r="F544" s="48"/>
      <c r="G544" s="20"/>
      <c r="H544" s="182">
        <f>-U428</f>
        <v>60000</v>
      </c>
      <c r="I544" s="49"/>
      <c r="J544" s="49"/>
      <c r="K544" s="49"/>
      <c r="L544" s="49"/>
      <c r="M544" s="49"/>
      <c r="N544" s="49"/>
      <c r="O544" s="49"/>
      <c r="P544" s="49"/>
      <c r="Q544" s="49"/>
      <c r="R544" s="49"/>
      <c r="S544" s="49"/>
      <c r="T544" s="49"/>
      <c r="V544" s="49"/>
      <c r="W544" s="49"/>
      <c r="X544" s="49"/>
      <c r="Z544" s="49"/>
      <c r="AA544" s="49"/>
      <c r="AC544" s="182">
        <f>SUM(H499:H501)*Data!$E$359</f>
        <v>107450</v>
      </c>
      <c r="AD544" s="49"/>
      <c r="AE544" s="49"/>
      <c r="AF544" s="49"/>
      <c r="AG544" s="49"/>
      <c r="AH544" s="49"/>
      <c r="AI544" s="49"/>
      <c r="AJ544" s="49"/>
      <c r="AK544" s="49"/>
      <c r="AL544" s="49"/>
      <c r="AM544" s="49"/>
      <c r="AN544" s="49"/>
      <c r="AO544" s="49"/>
      <c r="AP544" s="50"/>
    </row>
    <row r="545" spans="1:42" outlineLevel="1" x14ac:dyDescent="0.25">
      <c r="A545" s="12"/>
      <c r="B545" s="13"/>
      <c r="C545" s="14"/>
      <c r="D545" s="14"/>
      <c r="E545" s="15"/>
      <c r="F545" s="16"/>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7"/>
    </row>
    <row r="546" spans="1:42" outlineLevel="1" x14ac:dyDescent="0.25">
      <c r="A546" s="12"/>
      <c r="B546" s="13"/>
      <c r="C546" s="37" t="s">
        <v>479</v>
      </c>
      <c r="D546" s="37"/>
      <c r="E546" s="38"/>
      <c r="F546" s="39"/>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17"/>
    </row>
    <row r="547" spans="1:42" outlineLevel="1" x14ac:dyDescent="0.25">
      <c r="A547" s="12"/>
      <c r="B547" s="13"/>
      <c r="C547" s="14" t="s">
        <v>479</v>
      </c>
      <c r="D547" s="14"/>
      <c r="E547" s="15" t="s">
        <v>318</v>
      </c>
      <c r="F547" s="16"/>
      <c r="G547" s="14"/>
      <c r="H547" s="371">
        <f>H518+H521+H540-H544</f>
        <v>-60000</v>
      </c>
      <c r="I547" s="371">
        <f>I518+I521+I540-I544</f>
        <v>94501.34915346757</v>
      </c>
      <c r="J547" s="371">
        <f t="shared" ref="J547:AO547" si="145">J518+J521+J540-J544</f>
        <v>94479.484039736912</v>
      </c>
      <c r="K547" s="371">
        <f t="shared" si="145"/>
        <v>112991.5268288838</v>
      </c>
      <c r="L547" s="371">
        <f t="shared" si="145"/>
        <v>112941.15046929385</v>
      </c>
      <c r="M547" s="371">
        <f t="shared" si="145"/>
        <v>112885.1571121712</v>
      </c>
      <c r="N547" s="371">
        <f t="shared" si="145"/>
        <v>112827.81469586623</v>
      </c>
      <c r="O547" s="371">
        <f t="shared" si="145"/>
        <v>112770.89181219254</v>
      </c>
      <c r="P547" s="371">
        <f t="shared" si="145"/>
        <v>112711.96032165264</v>
      </c>
      <c r="Q547" s="371">
        <f t="shared" si="145"/>
        <v>112680.63210453145</v>
      </c>
      <c r="R547" s="371">
        <f t="shared" si="145"/>
        <v>127107.59560970438</v>
      </c>
      <c r="S547" s="371">
        <f t="shared" si="145"/>
        <v>127077.13481926639</v>
      </c>
      <c r="T547" s="371">
        <f t="shared" si="145"/>
        <v>127047.48615440563</v>
      </c>
      <c r="U547" s="371">
        <f t="shared" si="145"/>
        <v>127030.3640396156</v>
      </c>
      <c r="V547" s="371">
        <f t="shared" si="145"/>
        <v>127014.38740459726</v>
      </c>
      <c r="W547" s="371">
        <f t="shared" si="145"/>
        <v>126997.7228247568</v>
      </c>
      <c r="X547" s="371">
        <f t="shared" si="145"/>
        <v>126981.58065948187</v>
      </c>
      <c r="Y547" s="371">
        <f t="shared" si="145"/>
        <v>126966.47131383221</v>
      </c>
      <c r="Z547" s="371">
        <f t="shared" si="145"/>
        <v>126952.39386831142</v>
      </c>
      <c r="AA547" s="371">
        <f t="shared" si="145"/>
        <v>126939.16077489351</v>
      </c>
      <c r="AB547" s="371">
        <f t="shared" si="145"/>
        <v>126926.5880425362</v>
      </c>
      <c r="AC547" s="371">
        <f t="shared" si="145"/>
        <v>-107450</v>
      </c>
      <c r="AD547" s="371">
        <f t="shared" si="145"/>
        <v>0</v>
      </c>
      <c r="AE547" s="371">
        <f t="shared" si="145"/>
        <v>0</v>
      </c>
      <c r="AF547" s="371">
        <f t="shared" si="145"/>
        <v>0</v>
      </c>
      <c r="AG547" s="371">
        <f t="shared" si="145"/>
        <v>0</v>
      </c>
      <c r="AH547" s="371">
        <f t="shared" si="145"/>
        <v>0</v>
      </c>
      <c r="AI547" s="371">
        <f t="shared" si="145"/>
        <v>0</v>
      </c>
      <c r="AJ547" s="371">
        <f t="shared" si="145"/>
        <v>0</v>
      </c>
      <c r="AK547" s="371">
        <f t="shared" si="145"/>
        <v>0</v>
      </c>
      <c r="AL547" s="371">
        <f t="shared" si="145"/>
        <v>0</v>
      </c>
      <c r="AM547" s="371">
        <f t="shared" si="145"/>
        <v>0</v>
      </c>
      <c r="AN547" s="371">
        <f t="shared" si="145"/>
        <v>0</v>
      </c>
      <c r="AO547" s="371">
        <f t="shared" si="145"/>
        <v>0</v>
      </c>
      <c r="AP547" s="29"/>
    </row>
    <row r="548" spans="1:42" s="140" customFormat="1" outlineLevel="1" x14ac:dyDescent="0.25">
      <c r="A548" s="78"/>
      <c r="B548" s="19"/>
      <c r="C548" s="20" t="s">
        <v>480</v>
      </c>
      <c r="D548" s="20"/>
      <c r="E548" s="21" t="s">
        <v>318</v>
      </c>
      <c r="F548" s="48"/>
      <c r="G548" s="20"/>
      <c r="H548" s="182">
        <f>H547*Data!G$9</f>
        <v>-60000</v>
      </c>
      <c r="I548" s="182">
        <f>I547*Data!H$9</f>
        <v>90866.681878334188</v>
      </c>
      <c r="J548" s="182">
        <f>J547*Data!I$9</f>
        <v>87351.593971650247</v>
      </c>
      <c r="K548" s="182">
        <f>K547*Data!J$9</f>
        <v>100449.05591154468</v>
      </c>
      <c r="L548" s="182">
        <f>L547*Data!K$9</f>
        <v>96542.568760871247</v>
      </c>
      <c r="M548" s="182">
        <f>M547*Data!L$9</f>
        <v>92783.370581281721</v>
      </c>
      <c r="N548" s="182">
        <f>N547*Data!M$9</f>
        <v>89169.460860532286</v>
      </c>
      <c r="O548" s="182">
        <f>O547*Data!N$9</f>
        <v>85696.609498767823</v>
      </c>
      <c r="P548" s="182">
        <f>P547*Data!O$9</f>
        <v>82357.525393603835</v>
      </c>
      <c r="Q548" s="182">
        <f>Q547*Data!P$9</f>
        <v>79167.917473281908</v>
      </c>
      <c r="R548" s="182">
        <f>R547*Data!Q$9</f>
        <v>85869.337179515656</v>
      </c>
      <c r="S548" s="182">
        <f>S547*Data!R$9</f>
        <v>82546.883616290041</v>
      </c>
      <c r="T548" s="182">
        <f>T547*Data!S$9</f>
        <v>79353.48500860593</v>
      </c>
      <c r="U548" s="182">
        <f>U547*Data!T$9</f>
        <v>76291.144794447595</v>
      </c>
      <c r="V548" s="182">
        <f>V547*Data!U$9</f>
        <v>73347.643886030739</v>
      </c>
      <c r="W548" s="182">
        <f>W547*Data!V$9</f>
        <v>70517.327410006881</v>
      </c>
      <c r="X548" s="182">
        <f>X547*Data!W$9</f>
        <v>67796.504075608435</v>
      </c>
      <c r="Y548" s="182">
        <f>Y547*Data!X$9</f>
        <v>65181.189492727717</v>
      </c>
      <c r="Z548" s="182">
        <f>Z547*Data!Y$9</f>
        <v>62667.271643103268</v>
      </c>
      <c r="AA548" s="182">
        <f>AA547*Data!Z$9</f>
        <v>60250.710976984825</v>
      </c>
      <c r="AB548" s="182">
        <f>AB547*Data!AA$9</f>
        <v>57927.637908482524</v>
      </c>
      <c r="AC548" s="182">
        <f>AC547*Data!AB$9</f>
        <v>-47152.670547431553</v>
      </c>
      <c r="AD548" s="182">
        <f>AD547*Data!AC$9</f>
        <v>0</v>
      </c>
      <c r="AE548" s="182">
        <f>AE547*Data!AD$9</f>
        <v>0</v>
      </c>
      <c r="AF548" s="49"/>
      <c r="AG548" s="49"/>
      <c r="AH548" s="49"/>
      <c r="AI548" s="49"/>
      <c r="AJ548" s="49"/>
      <c r="AK548" s="49"/>
      <c r="AL548" s="49"/>
      <c r="AM548" s="49"/>
      <c r="AN548" s="49"/>
      <c r="AO548" s="49"/>
      <c r="AP548" s="50"/>
    </row>
    <row r="549" spans="1:42" outlineLevel="1" x14ac:dyDescent="0.25">
      <c r="A549" s="12"/>
      <c r="B549" s="13"/>
      <c r="C549" s="14" t="s">
        <v>479</v>
      </c>
      <c r="D549" s="14"/>
      <c r="E549" s="15" t="s">
        <v>54</v>
      </c>
      <c r="F549" s="16"/>
      <c r="G549" s="185">
        <f>SUM(H548:AO548)</f>
        <v>1478981.2497742397</v>
      </c>
      <c r="H549" s="165"/>
      <c r="I549" s="165"/>
      <c r="J549" s="165"/>
      <c r="K549" s="165"/>
      <c r="L549" s="165"/>
      <c r="M549" s="165"/>
      <c r="N549" s="165"/>
      <c r="O549" s="165"/>
      <c r="P549" s="165"/>
      <c r="Q549" s="165"/>
      <c r="R549" s="165"/>
      <c r="S549" s="165"/>
      <c r="T549" s="165"/>
      <c r="U549" s="165"/>
      <c r="V549" s="165"/>
      <c r="W549" s="28"/>
      <c r="X549" s="28"/>
      <c r="Y549" s="28"/>
      <c r="Z549" s="28"/>
      <c r="AA549" s="28"/>
      <c r="AB549" s="28"/>
      <c r="AC549" s="28"/>
      <c r="AD549" s="28"/>
      <c r="AE549" s="28"/>
      <c r="AF549" s="28"/>
      <c r="AG549" s="28"/>
      <c r="AH549" s="28"/>
      <c r="AI549" s="28"/>
      <c r="AJ549" s="28"/>
      <c r="AK549" s="28"/>
      <c r="AL549" s="28"/>
      <c r="AM549" s="28"/>
      <c r="AN549" s="28"/>
      <c r="AO549" s="28"/>
      <c r="AP549" s="29"/>
    </row>
    <row r="550" spans="1:42" outlineLevel="1" x14ac:dyDescent="0.25">
      <c r="A550" s="12"/>
      <c r="B550" s="13"/>
      <c r="C550" s="44" t="s">
        <v>481</v>
      </c>
      <c r="D550" s="45"/>
      <c r="E550" s="15" t="s">
        <v>261</v>
      </c>
      <c r="F550" s="16"/>
      <c r="G550" s="183">
        <f>G549/(SUM(H344:AO344))</f>
        <v>1.4364619753052057</v>
      </c>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9"/>
    </row>
    <row r="551" spans="1:42" outlineLevel="1" x14ac:dyDescent="0.25">
      <c r="A551" s="12"/>
      <c r="B551" s="13"/>
      <c r="C551" s="14"/>
      <c r="D551" s="14"/>
      <c r="E551" s="15"/>
      <c r="F551" s="16"/>
      <c r="G551" s="14"/>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17"/>
    </row>
    <row r="552" spans="1:42" outlineLevel="1" x14ac:dyDescent="0.25">
      <c r="A552" s="12"/>
      <c r="B552" s="13"/>
      <c r="C552" s="37" t="s">
        <v>515</v>
      </c>
      <c r="D552" s="37"/>
      <c r="E552" s="38"/>
      <c r="F552" s="39"/>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17"/>
    </row>
    <row r="553" spans="1:42" outlineLevel="1" x14ac:dyDescent="0.25">
      <c r="A553" s="12"/>
      <c r="B553" s="13"/>
      <c r="C553" s="14"/>
      <c r="D553" s="14"/>
      <c r="E553" s="15"/>
      <c r="F553" s="16"/>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row>
    <row r="554" spans="1:42" outlineLevel="1" x14ac:dyDescent="0.25">
      <c r="A554" s="12"/>
      <c r="B554" s="13"/>
      <c r="C554" s="20" t="s">
        <v>516</v>
      </c>
      <c r="D554" s="45"/>
      <c r="E554" s="15"/>
      <c r="F554" s="16"/>
      <c r="G554" s="165"/>
      <c r="H554" s="165"/>
      <c r="I554" s="165"/>
      <c r="J554" s="165"/>
      <c r="K554" s="165"/>
      <c r="L554" s="165"/>
      <c r="M554" s="165"/>
      <c r="N554" s="165"/>
      <c r="O554" s="165"/>
      <c r="P554" s="165"/>
      <c r="Q554" s="165"/>
      <c r="R554" s="165"/>
      <c r="S554" s="165"/>
      <c r="T554" s="165"/>
      <c r="U554" s="28"/>
      <c r="V554" s="28"/>
      <c r="W554" s="28"/>
      <c r="X554" s="28"/>
      <c r="Y554" s="28"/>
      <c r="Z554" s="28"/>
      <c r="AA554" s="28"/>
      <c r="AB554" s="28"/>
      <c r="AC554" s="28"/>
      <c r="AD554" s="28"/>
      <c r="AE554" s="28"/>
      <c r="AF554" s="28"/>
      <c r="AG554" s="28"/>
      <c r="AH554" s="28"/>
      <c r="AI554" s="28"/>
      <c r="AJ554" s="28"/>
      <c r="AK554" s="28"/>
      <c r="AL554" s="28"/>
      <c r="AM554" s="28"/>
      <c r="AN554" s="28"/>
      <c r="AO554" s="28"/>
      <c r="AP554" s="29"/>
    </row>
    <row r="555" spans="1:42" outlineLevel="1" x14ac:dyDescent="0.25">
      <c r="A555" s="12"/>
      <c r="B555" s="13"/>
      <c r="C555" s="45" t="s">
        <v>517</v>
      </c>
      <c r="D555" s="45"/>
      <c r="E555" s="15" t="s">
        <v>342</v>
      </c>
      <c r="F555" s="179">
        <f>Data!$E$354</f>
        <v>147000</v>
      </c>
      <c r="G555" s="165"/>
      <c r="H555" s="165"/>
      <c r="I555" s="165"/>
      <c r="J555" s="165"/>
      <c r="K555" s="165"/>
      <c r="L555" s="165"/>
      <c r="M555" s="165"/>
      <c r="N555" s="165"/>
      <c r="O555" s="165"/>
      <c r="P555" s="165"/>
      <c r="Q555" s="165"/>
      <c r="R555" s="165"/>
      <c r="S555" s="165"/>
      <c r="T555" s="165"/>
      <c r="U555" s="28"/>
      <c r="V555" s="28"/>
      <c r="W555" s="28"/>
      <c r="X555" s="28"/>
      <c r="Y555" s="28"/>
      <c r="Z555" s="28"/>
      <c r="AA555" s="28"/>
      <c r="AB555" s="28"/>
      <c r="AC555" s="28"/>
      <c r="AD555" s="28"/>
      <c r="AE555" s="28"/>
      <c r="AF555" s="28"/>
      <c r="AG555" s="28"/>
      <c r="AH555" s="28"/>
      <c r="AI555" s="28"/>
      <c r="AJ555" s="28"/>
      <c r="AK555" s="28"/>
      <c r="AL555" s="28"/>
      <c r="AM555" s="28"/>
      <c r="AN555" s="28"/>
      <c r="AO555" s="28"/>
      <c r="AP555" s="29"/>
    </row>
    <row r="556" spans="1:42" outlineLevel="1" x14ac:dyDescent="0.25">
      <c r="A556" s="12"/>
      <c r="B556" s="13"/>
      <c r="C556" s="45" t="s">
        <v>574</v>
      </c>
      <c r="D556" s="45"/>
      <c r="E556" s="15" t="s">
        <v>342</v>
      </c>
      <c r="F556" s="179">
        <f>Data!$E$355</f>
        <v>47000</v>
      </c>
      <c r="G556" s="165"/>
      <c r="H556" s="165"/>
      <c r="I556" s="165"/>
      <c r="J556" s="165"/>
      <c r="K556" s="165"/>
      <c r="L556" s="165"/>
      <c r="M556" s="165"/>
      <c r="N556" s="165"/>
      <c r="O556" s="165"/>
      <c r="P556" s="165"/>
      <c r="Q556" s="165"/>
      <c r="R556" s="165"/>
      <c r="S556" s="165"/>
      <c r="T556" s="165"/>
      <c r="U556" s="28"/>
      <c r="V556" s="28"/>
      <c r="W556" s="28"/>
      <c r="X556" s="28"/>
      <c r="Y556" s="28"/>
      <c r="Z556" s="28"/>
      <c r="AA556" s="28"/>
      <c r="AB556" s="28"/>
      <c r="AC556" s="28"/>
      <c r="AD556" s="28"/>
      <c r="AE556" s="28"/>
      <c r="AF556" s="28"/>
      <c r="AG556" s="28"/>
      <c r="AH556" s="28"/>
      <c r="AI556" s="28"/>
      <c r="AJ556" s="28"/>
      <c r="AK556" s="28"/>
      <c r="AL556" s="28"/>
      <c r="AM556" s="28"/>
      <c r="AN556" s="28"/>
      <c r="AO556" s="28"/>
      <c r="AP556" s="29"/>
    </row>
    <row r="557" spans="1:42" outlineLevel="1" x14ac:dyDescent="0.25">
      <c r="A557" s="12"/>
      <c r="B557" s="13"/>
      <c r="C557" s="45" t="s">
        <v>518</v>
      </c>
      <c r="D557" s="45"/>
      <c r="E557" s="15" t="s">
        <v>142</v>
      </c>
      <c r="F557" s="179"/>
      <c r="G557" s="186">
        <f>F555*Data!G$16/1000</f>
        <v>12789</v>
      </c>
      <c r="H557" s="165"/>
      <c r="I557" s="165"/>
      <c r="J557" s="165"/>
      <c r="K557" s="165"/>
      <c r="L557" s="165"/>
      <c r="M557" s="165"/>
      <c r="N557" s="165"/>
      <c r="O557" s="165"/>
      <c r="P557" s="165"/>
      <c r="Q557" s="165"/>
      <c r="R557" s="165"/>
      <c r="S557" s="165"/>
      <c r="T557" s="165"/>
      <c r="U557" s="28"/>
      <c r="V557" s="28"/>
      <c r="W557" s="28"/>
      <c r="X557" s="28"/>
      <c r="Y557" s="28"/>
      <c r="Z557" s="28"/>
      <c r="AA557" s="28"/>
      <c r="AB557" s="28"/>
      <c r="AC557" s="28"/>
      <c r="AD557" s="28"/>
      <c r="AE557" s="28"/>
      <c r="AF557" s="28"/>
      <c r="AG557" s="28"/>
      <c r="AH557" s="28"/>
      <c r="AI557" s="28"/>
      <c r="AJ557" s="28"/>
      <c r="AK557" s="28"/>
      <c r="AL557" s="28"/>
      <c r="AM557" s="28"/>
      <c r="AN557" s="28"/>
      <c r="AO557" s="28"/>
      <c r="AP557" s="29"/>
    </row>
    <row r="558" spans="1:42" outlineLevel="1" x14ac:dyDescent="0.25">
      <c r="A558" s="12"/>
      <c r="B558" s="13"/>
      <c r="C558" s="45" t="s">
        <v>575</v>
      </c>
      <c r="D558" s="45"/>
      <c r="E558" s="15" t="s">
        <v>142</v>
      </c>
      <c r="F558" s="179"/>
      <c r="G558" s="186">
        <f>G557+SUM(H558:AO558)</f>
        <v>18303.603287558239</v>
      </c>
      <c r="H558" s="165">
        <f>IF(SUM(H504:H506)&gt;0,($F$119*Data!G$16*Data!G$9)/1000,0)</f>
        <v>0</v>
      </c>
      <c r="I558" s="165">
        <f>IF(SUM(I504:I506)&gt;0,($F$119*Data!H$16*Data!H$9)/1000,0)</f>
        <v>0</v>
      </c>
      <c r="J558" s="165">
        <f>IF(SUM(J504:J506)&gt;0,($F$119*Data!I$16*Data!I$9)/1000,0)</f>
        <v>0</v>
      </c>
      <c r="K558" s="165">
        <f>IF(SUM(K504:K506)&gt;0,($F$119*Data!J$16*Data!J$9)/1000,0)</f>
        <v>0</v>
      </c>
      <c r="L558" s="165">
        <f>IF(SUM(L504:L506)&gt;0,($F$119*Data!K$16*Data!K$9)/1000,0)</f>
        <v>0</v>
      </c>
      <c r="M558" s="165">
        <f>IF(SUM(M504:M506)&gt;0,($F$119*Data!L$16*Data!L$9)/1000,0)</f>
        <v>0</v>
      </c>
      <c r="N558" s="165">
        <f>IF(SUM(N504:N506)&gt;0,($F$119*Data!M$16*Data!M$9)/1000,0)</f>
        <v>0</v>
      </c>
      <c r="O558" s="165">
        <f>IF(SUM(O504:O506)&gt;0,($F$119*Data!N$16*Data!N$9)/1000,0)</f>
        <v>0</v>
      </c>
      <c r="P558" s="165">
        <f>IF(SUM(P504:P506)&gt;0,($F$119*Data!O$16*Data!O$9)/1000,0)</f>
        <v>0</v>
      </c>
      <c r="Q558" s="165">
        <f>IF(SUM(Q504:Q506)&gt;0,($F$119*Data!P$16*Data!P$9)/1000,0)</f>
        <v>5514.6032875582396</v>
      </c>
      <c r="R558" s="165">
        <f>IF(SUM(R504:R506)&gt;0,($F$119*Data!Q$16*Data!Q$9)/1000,0)</f>
        <v>0</v>
      </c>
      <c r="S558" s="165">
        <f>IF(SUM(S504:S506)&gt;0,($F$119*Data!R$16*Data!R$9)/1000,0)</f>
        <v>0</v>
      </c>
      <c r="T558" s="165">
        <f>IF(SUM(T504:T506)&gt;0,($F$119*Data!S$16*Data!S$9)/1000,0)</f>
        <v>0</v>
      </c>
      <c r="U558" s="165">
        <f>IF(SUM(U504:U506)&gt;0,($F$119*Data!T$16*Data!T$9)/1000,0)</f>
        <v>0</v>
      </c>
      <c r="V558" s="165">
        <f>IF(SUM(V504:V506)&gt;0,($F$119*Data!U$16*Data!U$9)/1000,0)</f>
        <v>0</v>
      </c>
      <c r="W558" s="165">
        <f>IF(SUM(W504:W506)&gt;0,($F$119*Data!V$16*Data!V$9)/1000,0)</f>
        <v>0</v>
      </c>
      <c r="X558" s="165">
        <f>IF(SUM(X504:X506)&gt;0,($F$119*Data!W$16*Data!W$9)/1000,0)</f>
        <v>0</v>
      </c>
      <c r="Y558" s="165">
        <f>IF(SUM(Y504:Y506)&gt;0,($F$119*Data!X$16*Data!X$9)/1000,0)</f>
        <v>0</v>
      </c>
      <c r="Z558" s="165">
        <f>IF(SUM(Z504:Z506)&gt;0,($F$119*Data!Y$16*Data!Y$9)/1000,0)</f>
        <v>0</v>
      </c>
      <c r="AA558" s="165">
        <f>IF(SUM(AA504:AA506)&gt;0,($F$119*Data!Z$16*Data!Z$9)/1000,0)</f>
        <v>0</v>
      </c>
      <c r="AB558" s="165">
        <f>IF(SUM(AB504:AB506)&gt;0,($F$119*Data!AA$16*Data!AA$9)/1000,0)</f>
        <v>0</v>
      </c>
      <c r="AC558" s="165">
        <f>IF(SUM(AC504:AC506)&gt;0,($F$119*Data!AB$16*Data!AB$9)/1000,0)</f>
        <v>0</v>
      </c>
      <c r="AD558" s="165">
        <f>IF(SUM(AD504:AD506)&gt;0,($F$119*Data!AC$16*Data!AC$9)/1000,0)</f>
        <v>0</v>
      </c>
      <c r="AE558" s="165">
        <f>IF(SUM(AE504:AE506)&gt;0,($F$119*Data!AD$16*Data!AD$9)/1000,0)</f>
        <v>0</v>
      </c>
      <c r="AF558" s="165">
        <f>IF(SUM(AF504:AF506)&gt;0,($F$119*Data!AE$16*Data!AE$9)/1000,0)</f>
        <v>0</v>
      </c>
      <c r="AG558" s="165">
        <f>IF(SUM(AG504:AG506)&gt;0,($F$119*Data!AF$16*Data!AF$9)/1000,0)</f>
        <v>0</v>
      </c>
      <c r="AH558" s="165">
        <f>IF(SUM(AH504:AH506)&gt;0,($F$119*Data!AG$16*Data!AG$9)/1000,0)</f>
        <v>0</v>
      </c>
      <c r="AI558" s="165">
        <f>IF(SUM(AI504:AI506)&gt;0,($F$119*Data!AH$16*Data!AH$9)/1000,0)</f>
        <v>0</v>
      </c>
      <c r="AJ558" s="165">
        <f>IF(SUM(AJ504:AJ506)&gt;0,($F$119*Data!AI$16*Data!AI$9)/1000,0)</f>
        <v>0</v>
      </c>
      <c r="AK558" s="165">
        <f>IF(SUM(AK504:AK506)&gt;0,($F$119*Data!AJ$16*Data!AJ$9)/1000,0)</f>
        <v>0</v>
      </c>
      <c r="AL558" s="165">
        <f>IF(SUM(AL504:AL506)&gt;0,($F$119*Data!AK$16*Data!AK$9)/1000,0)</f>
        <v>0</v>
      </c>
      <c r="AM558" s="165">
        <f>IF(SUM(AM504:AM506)&gt;0,($F$119*Data!AL$16*Data!AL$9)/1000,0)</f>
        <v>0</v>
      </c>
      <c r="AN558" s="165">
        <f>IF(SUM(AN504:AN506)&gt;0,($F$119*Data!AM$16*Data!AM$9)/1000,0)</f>
        <v>0</v>
      </c>
      <c r="AO558" s="165">
        <f>IF(SUM(AO504:AO506)&gt;0,($F$119*Data!AN$16*Data!AN$9)/1000,0)</f>
        <v>0</v>
      </c>
      <c r="AP558" s="29"/>
    </row>
    <row r="559" spans="1:42" outlineLevel="1" x14ac:dyDescent="0.25">
      <c r="A559" s="12"/>
      <c r="B559" s="13"/>
      <c r="C559" s="45" t="s">
        <v>518</v>
      </c>
      <c r="D559" s="45"/>
      <c r="E559" s="15" t="s">
        <v>261</v>
      </c>
      <c r="F559" s="179"/>
      <c r="G559" s="184">
        <f>(G557+SUM(H558:AO558))/(SUM(I344:AN344))</f>
        <v>1.777739247043341E-2</v>
      </c>
      <c r="H559" s="165"/>
      <c r="I559" s="165"/>
      <c r="J559" s="165"/>
      <c r="K559" s="165"/>
      <c r="L559" s="165"/>
      <c r="M559" s="165"/>
      <c r="N559" s="165"/>
      <c r="O559" s="165"/>
      <c r="P559" s="165"/>
      <c r="Q559" s="165"/>
      <c r="R559" s="165"/>
      <c r="S559" s="165"/>
      <c r="T559" s="165"/>
      <c r="U559" s="28"/>
      <c r="V559" s="28"/>
      <c r="W559" s="28"/>
      <c r="X559" s="28"/>
      <c r="Y559" s="28"/>
      <c r="Z559" s="28"/>
      <c r="AA559" s="28"/>
      <c r="AB559" s="28"/>
      <c r="AC559" s="28"/>
      <c r="AD559" s="28"/>
      <c r="AE559" s="28"/>
      <c r="AF559" s="28"/>
      <c r="AG559" s="28"/>
      <c r="AH559" s="28"/>
      <c r="AI559" s="28"/>
      <c r="AJ559" s="28"/>
      <c r="AK559" s="28"/>
      <c r="AL559" s="28"/>
      <c r="AM559" s="28"/>
      <c r="AN559" s="28"/>
      <c r="AO559" s="28"/>
      <c r="AP559" s="29"/>
    </row>
    <row r="560" spans="1:42" outlineLevel="1" x14ac:dyDescent="0.25">
      <c r="A560" s="12"/>
      <c r="B560" s="13"/>
      <c r="C560" s="20"/>
      <c r="D560" s="19"/>
      <c r="E560" s="15"/>
      <c r="F560" s="16"/>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7"/>
    </row>
    <row r="561" spans="1:42" outlineLevel="1" x14ac:dyDescent="0.25">
      <c r="A561" s="12"/>
      <c r="B561" s="13"/>
      <c r="C561" s="20" t="s">
        <v>519</v>
      </c>
      <c r="D561" s="19"/>
      <c r="E561" s="15"/>
      <c r="F561" s="16"/>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7"/>
    </row>
    <row r="562" spans="1:42" outlineLevel="1" x14ac:dyDescent="0.25">
      <c r="A562" s="12"/>
      <c r="B562" s="13"/>
      <c r="C562" t="s">
        <v>520</v>
      </c>
      <c r="D562" s="14"/>
      <c r="E562" s="15" t="s">
        <v>521</v>
      </c>
      <c r="F562" s="16"/>
      <c r="G562" s="14"/>
      <c r="H562" s="141"/>
      <c r="I562" s="141">
        <f t="shared" ref="I562:AO562" si="146">I344</f>
        <v>51480</v>
      </c>
      <c r="J562" s="141">
        <f t="shared" si="146"/>
        <v>51480</v>
      </c>
      <c r="K562" s="141">
        <f t="shared" si="146"/>
        <v>51480</v>
      </c>
      <c r="L562" s="141">
        <f t="shared" si="146"/>
        <v>51480</v>
      </c>
      <c r="M562" s="141">
        <f t="shared" si="146"/>
        <v>51480</v>
      </c>
      <c r="N562" s="141">
        <f t="shared" si="146"/>
        <v>51480</v>
      </c>
      <c r="O562" s="141">
        <f t="shared" si="146"/>
        <v>51480</v>
      </c>
      <c r="P562" s="141">
        <f t="shared" si="146"/>
        <v>51480</v>
      </c>
      <c r="Q562" s="141">
        <f t="shared" si="146"/>
        <v>51480</v>
      </c>
      <c r="R562" s="141">
        <f t="shared" si="146"/>
        <v>51480</v>
      </c>
      <c r="S562" s="141">
        <f t="shared" si="146"/>
        <v>51480</v>
      </c>
      <c r="T562" s="141">
        <f t="shared" si="146"/>
        <v>51480</v>
      </c>
      <c r="U562" s="141">
        <f t="shared" si="146"/>
        <v>51480</v>
      </c>
      <c r="V562" s="141">
        <f t="shared" si="146"/>
        <v>51480</v>
      </c>
      <c r="W562" s="141">
        <f t="shared" si="146"/>
        <v>51480</v>
      </c>
      <c r="X562" s="141">
        <f t="shared" si="146"/>
        <v>51480</v>
      </c>
      <c r="Y562" s="141">
        <f t="shared" si="146"/>
        <v>51480</v>
      </c>
      <c r="Z562" s="141">
        <f t="shared" si="146"/>
        <v>51480</v>
      </c>
      <c r="AA562" s="141">
        <f t="shared" si="146"/>
        <v>51480</v>
      </c>
      <c r="AB562" s="141">
        <f t="shared" si="146"/>
        <v>51480</v>
      </c>
      <c r="AC562" s="141">
        <f t="shared" si="146"/>
        <v>0</v>
      </c>
      <c r="AD562" s="141">
        <f t="shared" si="146"/>
        <v>0</v>
      </c>
      <c r="AE562" s="141">
        <f t="shared" si="146"/>
        <v>0</v>
      </c>
      <c r="AF562" s="141">
        <f t="shared" si="146"/>
        <v>0</v>
      </c>
      <c r="AG562" s="141">
        <f t="shared" si="146"/>
        <v>0</v>
      </c>
      <c r="AH562" s="141">
        <f t="shared" si="146"/>
        <v>0</v>
      </c>
      <c r="AI562" s="141">
        <f t="shared" si="146"/>
        <v>0</v>
      </c>
      <c r="AJ562" s="141">
        <f t="shared" si="146"/>
        <v>0</v>
      </c>
      <c r="AK562" s="141">
        <f t="shared" si="146"/>
        <v>0</v>
      </c>
      <c r="AL562" s="141">
        <f t="shared" si="146"/>
        <v>0</v>
      </c>
      <c r="AM562" s="141">
        <f t="shared" si="146"/>
        <v>0</v>
      </c>
      <c r="AN562" s="141">
        <f t="shared" si="146"/>
        <v>0</v>
      </c>
      <c r="AO562" s="141">
        <f t="shared" si="146"/>
        <v>0</v>
      </c>
      <c r="AP562" s="14"/>
    </row>
    <row r="563" spans="1:42" outlineLevel="1" x14ac:dyDescent="0.25">
      <c r="A563" s="12"/>
      <c r="B563" s="13"/>
      <c r="C563" s="20" t="s">
        <v>483</v>
      </c>
      <c r="D563" s="14"/>
      <c r="E563" s="15"/>
      <c r="F563" s="16"/>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4"/>
    </row>
    <row r="564" spans="1:42" ht="14.25" customHeight="1" outlineLevel="1" x14ac:dyDescent="0.25">
      <c r="A564" s="54"/>
      <c r="B564" s="13"/>
      <c r="C564" s="14" t="s">
        <v>205</v>
      </c>
      <c r="D564" s="14"/>
      <c r="E564" s="70" t="s">
        <v>352</v>
      </c>
      <c r="F564" s="201">
        <f>Data!E525/1000</f>
        <v>0</v>
      </c>
      <c r="G564" s="56"/>
      <c r="H564" s="56"/>
      <c r="I564" s="56">
        <f>I$562*$F$564</f>
        <v>0</v>
      </c>
      <c r="J564" s="56">
        <f t="shared" ref="J564:AO564" si="147">J$562*$F$564</f>
        <v>0</v>
      </c>
      <c r="K564" s="56">
        <f t="shared" si="147"/>
        <v>0</v>
      </c>
      <c r="L564" s="56">
        <f t="shared" si="147"/>
        <v>0</v>
      </c>
      <c r="M564" s="56">
        <f t="shared" si="147"/>
        <v>0</v>
      </c>
      <c r="N564" s="56">
        <f t="shared" si="147"/>
        <v>0</v>
      </c>
      <c r="O564" s="56">
        <f t="shared" si="147"/>
        <v>0</v>
      </c>
      <c r="P564" s="56">
        <f t="shared" si="147"/>
        <v>0</v>
      </c>
      <c r="Q564" s="56">
        <f t="shared" si="147"/>
        <v>0</v>
      </c>
      <c r="R564" s="56">
        <f t="shared" si="147"/>
        <v>0</v>
      </c>
      <c r="S564" s="56">
        <f t="shared" si="147"/>
        <v>0</v>
      </c>
      <c r="T564" s="56">
        <f t="shared" si="147"/>
        <v>0</v>
      </c>
      <c r="U564" s="56">
        <f t="shared" si="147"/>
        <v>0</v>
      </c>
      <c r="V564" s="56">
        <f t="shared" si="147"/>
        <v>0</v>
      </c>
      <c r="W564" s="56">
        <f t="shared" si="147"/>
        <v>0</v>
      </c>
      <c r="X564" s="56">
        <f t="shared" si="147"/>
        <v>0</v>
      </c>
      <c r="Y564" s="56">
        <f t="shared" si="147"/>
        <v>0</v>
      </c>
      <c r="Z564" s="56">
        <f t="shared" si="147"/>
        <v>0</v>
      </c>
      <c r="AA564" s="56">
        <f t="shared" si="147"/>
        <v>0</v>
      </c>
      <c r="AB564" s="56">
        <f t="shared" si="147"/>
        <v>0</v>
      </c>
      <c r="AC564" s="56">
        <f t="shared" si="147"/>
        <v>0</v>
      </c>
      <c r="AD564" s="56">
        <f t="shared" si="147"/>
        <v>0</v>
      </c>
      <c r="AE564" s="56">
        <f t="shared" si="147"/>
        <v>0</v>
      </c>
      <c r="AF564" s="56">
        <f t="shared" si="147"/>
        <v>0</v>
      </c>
      <c r="AG564" s="56">
        <f t="shared" si="147"/>
        <v>0</v>
      </c>
      <c r="AH564" s="56">
        <f t="shared" si="147"/>
        <v>0</v>
      </c>
      <c r="AI564" s="56">
        <f t="shared" si="147"/>
        <v>0</v>
      </c>
      <c r="AJ564" s="56">
        <f t="shared" si="147"/>
        <v>0</v>
      </c>
      <c r="AK564" s="56">
        <f t="shared" si="147"/>
        <v>0</v>
      </c>
      <c r="AL564" s="56">
        <f t="shared" si="147"/>
        <v>0</v>
      </c>
      <c r="AM564" s="56">
        <f t="shared" si="147"/>
        <v>0</v>
      </c>
      <c r="AN564" s="56">
        <f t="shared" si="147"/>
        <v>0</v>
      </c>
      <c r="AO564" s="56">
        <f t="shared" si="147"/>
        <v>0</v>
      </c>
      <c r="AP564" s="29"/>
    </row>
    <row r="565" spans="1:42" outlineLevel="1" x14ac:dyDescent="0.25">
      <c r="A565" s="54"/>
      <c r="B565" s="13"/>
      <c r="C565" s="14" t="s">
        <v>484</v>
      </c>
      <c r="D565" s="14"/>
      <c r="E565" s="70" t="s">
        <v>352</v>
      </c>
      <c r="F565" s="201">
        <f>Data!E526</f>
        <v>0.17887155708091804</v>
      </c>
      <c r="G565" s="56"/>
      <c r="H565" s="56"/>
      <c r="I565" s="56">
        <f>I$562*$F$565</f>
        <v>9208.3077585256597</v>
      </c>
      <c r="J565" s="56">
        <f t="shared" ref="J565:AO565" si="148">J$562*$F$565</f>
        <v>9208.3077585256597</v>
      </c>
      <c r="K565" s="56">
        <f t="shared" si="148"/>
        <v>9208.3077585256597</v>
      </c>
      <c r="L565" s="56">
        <f t="shared" si="148"/>
        <v>9208.3077585256597</v>
      </c>
      <c r="M565" s="56">
        <f t="shared" si="148"/>
        <v>9208.3077585256597</v>
      </c>
      <c r="N565" s="56">
        <f t="shared" si="148"/>
        <v>9208.3077585256597</v>
      </c>
      <c r="O565" s="56">
        <f t="shared" si="148"/>
        <v>9208.3077585256597</v>
      </c>
      <c r="P565" s="56">
        <f t="shared" si="148"/>
        <v>9208.3077585256597</v>
      </c>
      <c r="Q565" s="56">
        <f t="shared" si="148"/>
        <v>9208.3077585256597</v>
      </c>
      <c r="R565" s="56">
        <f t="shared" si="148"/>
        <v>9208.3077585256597</v>
      </c>
      <c r="S565" s="56">
        <f t="shared" si="148"/>
        <v>9208.3077585256597</v>
      </c>
      <c r="T565" s="56">
        <f t="shared" si="148"/>
        <v>9208.3077585256597</v>
      </c>
      <c r="U565" s="56">
        <f t="shared" si="148"/>
        <v>9208.3077585256597</v>
      </c>
      <c r="V565" s="56">
        <f t="shared" si="148"/>
        <v>9208.3077585256597</v>
      </c>
      <c r="W565" s="56">
        <f t="shared" si="148"/>
        <v>9208.3077585256597</v>
      </c>
      <c r="X565" s="56">
        <f t="shared" si="148"/>
        <v>9208.3077585256597</v>
      </c>
      <c r="Y565" s="56">
        <f t="shared" si="148"/>
        <v>9208.3077585256597</v>
      </c>
      <c r="Z565" s="56">
        <f t="shared" si="148"/>
        <v>9208.3077585256597</v>
      </c>
      <c r="AA565" s="56">
        <f t="shared" si="148"/>
        <v>9208.3077585256597</v>
      </c>
      <c r="AB565" s="56">
        <f t="shared" si="148"/>
        <v>9208.3077585256597</v>
      </c>
      <c r="AC565" s="56">
        <f t="shared" si="148"/>
        <v>0</v>
      </c>
      <c r="AD565" s="56">
        <f t="shared" si="148"/>
        <v>0</v>
      </c>
      <c r="AE565" s="56">
        <f t="shared" si="148"/>
        <v>0</v>
      </c>
      <c r="AF565" s="56">
        <f t="shared" si="148"/>
        <v>0</v>
      </c>
      <c r="AG565" s="56">
        <f t="shared" si="148"/>
        <v>0</v>
      </c>
      <c r="AH565" s="56">
        <f t="shared" si="148"/>
        <v>0</v>
      </c>
      <c r="AI565" s="56">
        <f t="shared" si="148"/>
        <v>0</v>
      </c>
      <c r="AJ565" s="56">
        <f t="shared" si="148"/>
        <v>0</v>
      </c>
      <c r="AK565" s="56">
        <f t="shared" si="148"/>
        <v>0</v>
      </c>
      <c r="AL565" s="56">
        <f t="shared" si="148"/>
        <v>0</v>
      </c>
      <c r="AM565" s="56">
        <f t="shared" si="148"/>
        <v>0</v>
      </c>
      <c r="AN565" s="56">
        <f t="shared" si="148"/>
        <v>0</v>
      </c>
      <c r="AO565" s="56">
        <f t="shared" si="148"/>
        <v>0</v>
      </c>
      <c r="AP565" s="29"/>
    </row>
    <row r="566" spans="1:42" outlineLevel="1" x14ac:dyDescent="0.25">
      <c r="A566" s="54"/>
      <c r="B566" s="13"/>
      <c r="C566" s="14" t="s">
        <v>285</v>
      </c>
      <c r="D566" s="14"/>
      <c r="E566" s="70" t="s">
        <v>352</v>
      </c>
      <c r="F566" s="201">
        <f>Data!E527/1000</f>
        <v>0</v>
      </c>
      <c r="G566" s="56"/>
      <c r="H566" s="56"/>
      <c r="I566" s="56">
        <f>I$562*$F$566</f>
        <v>0</v>
      </c>
      <c r="J566" s="56">
        <f t="shared" ref="J566:AO566" si="149">J$562*$F$566</f>
        <v>0</v>
      </c>
      <c r="K566" s="56">
        <f t="shared" si="149"/>
        <v>0</v>
      </c>
      <c r="L566" s="56">
        <f t="shared" si="149"/>
        <v>0</v>
      </c>
      <c r="M566" s="56">
        <f t="shared" si="149"/>
        <v>0</v>
      </c>
      <c r="N566" s="56">
        <f t="shared" si="149"/>
        <v>0</v>
      </c>
      <c r="O566" s="56">
        <f t="shared" si="149"/>
        <v>0</v>
      </c>
      <c r="P566" s="56">
        <f t="shared" si="149"/>
        <v>0</v>
      </c>
      <c r="Q566" s="56">
        <f t="shared" si="149"/>
        <v>0</v>
      </c>
      <c r="R566" s="56">
        <f t="shared" si="149"/>
        <v>0</v>
      </c>
      <c r="S566" s="56">
        <f t="shared" si="149"/>
        <v>0</v>
      </c>
      <c r="T566" s="56">
        <f t="shared" si="149"/>
        <v>0</v>
      </c>
      <c r="U566" s="56">
        <f t="shared" si="149"/>
        <v>0</v>
      </c>
      <c r="V566" s="56">
        <f t="shared" si="149"/>
        <v>0</v>
      </c>
      <c r="W566" s="56">
        <f t="shared" si="149"/>
        <v>0</v>
      </c>
      <c r="X566" s="56">
        <f t="shared" si="149"/>
        <v>0</v>
      </c>
      <c r="Y566" s="56">
        <f t="shared" si="149"/>
        <v>0</v>
      </c>
      <c r="Z566" s="56">
        <f t="shared" si="149"/>
        <v>0</v>
      </c>
      <c r="AA566" s="56">
        <f t="shared" si="149"/>
        <v>0</v>
      </c>
      <c r="AB566" s="56">
        <f t="shared" si="149"/>
        <v>0</v>
      </c>
      <c r="AC566" s="56">
        <f t="shared" si="149"/>
        <v>0</v>
      </c>
      <c r="AD566" s="56">
        <f t="shared" si="149"/>
        <v>0</v>
      </c>
      <c r="AE566" s="56">
        <f t="shared" si="149"/>
        <v>0</v>
      </c>
      <c r="AF566" s="56">
        <f t="shared" si="149"/>
        <v>0</v>
      </c>
      <c r="AG566" s="56">
        <f t="shared" si="149"/>
        <v>0</v>
      </c>
      <c r="AH566" s="56">
        <f t="shared" si="149"/>
        <v>0</v>
      </c>
      <c r="AI566" s="56">
        <f t="shared" si="149"/>
        <v>0</v>
      </c>
      <c r="AJ566" s="56">
        <f t="shared" si="149"/>
        <v>0</v>
      </c>
      <c r="AK566" s="56">
        <f t="shared" si="149"/>
        <v>0</v>
      </c>
      <c r="AL566" s="56">
        <f t="shared" si="149"/>
        <v>0</v>
      </c>
      <c r="AM566" s="56">
        <f t="shared" si="149"/>
        <v>0</v>
      </c>
      <c r="AN566" s="56">
        <f t="shared" si="149"/>
        <v>0</v>
      </c>
      <c r="AO566" s="56">
        <f t="shared" si="149"/>
        <v>0</v>
      </c>
      <c r="AP566" s="29"/>
    </row>
    <row r="567" spans="1:42" outlineLevel="1" x14ac:dyDescent="0.25">
      <c r="A567" s="54"/>
      <c r="B567" s="13"/>
      <c r="C567" s="14" t="s">
        <v>220</v>
      </c>
      <c r="D567" s="14"/>
      <c r="E567" s="70" t="s">
        <v>352</v>
      </c>
      <c r="F567" s="201">
        <f>Data!E528/1000</f>
        <v>0</v>
      </c>
      <c r="G567" s="56"/>
      <c r="H567" s="56"/>
      <c r="I567" s="56">
        <f>I$562*$F$567</f>
        <v>0</v>
      </c>
      <c r="J567" s="56">
        <f t="shared" ref="J567:AO567" si="150">J$562*$F$567</f>
        <v>0</v>
      </c>
      <c r="K567" s="56">
        <f t="shared" si="150"/>
        <v>0</v>
      </c>
      <c r="L567" s="56">
        <f t="shared" si="150"/>
        <v>0</v>
      </c>
      <c r="M567" s="56">
        <f t="shared" si="150"/>
        <v>0</v>
      </c>
      <c r="N567" s="56">
        <f t="shared" si="150"/>
        <v>0</v>
      </c>
      <c r="O567" s="56">
        <f t="shared" si="150"/>
        <v>0</v>
      </c>
      <c r="P567" s="56">
        <f t="shared" si="150"/>
        <v>0</v>
      </c>
      <c r="Q567" s="56">
        <f t="shared" si="150"/>
        <v>0</v>
      </c>
      <c r="R567" s="56">
        <f t="shared" si="150"/>
        <v>0</v>
      </c>
      <c r="S567" s="56">
        <f t="shared" si="150"/>
        <v>0</v>
      </c>
      <c r="T567" s="56">
        <f t="shared" si="150"/>
        <v>0</v>
      </c>
      <c r="U567" s="56">
        <f t="shared" si="150"/>
        <v>0</v>
      </c>
      <c r="V567" s="56">
        <f t="shared" si="150"/>
        <v>0</v>
      </c>
      <c r="W567" s="56">
        <f t="shared" si="150"/>
        <v>0</v>
      </c>
      <c r="X567" s="56">
        <f t="shared" si="150"/>
        <v>0</v>
      </c>
      <c r="Y567" s="56">
        <f t="shared" si="150"/>
        <v>0</v>
      </c>
      <c r="Z567" s="56">
        <f t="shared" si="150"/>
        <v>0</v>
      </c>
      <c r="AA567" s="56">
        <f t="shared" si="150"/>
        <v>0</v>
      </c>
      <c r="AB567" s="56">
        <f t="shared" si="150"/>
        <v>0</v>
      </c>
      <c r="AC567" s="56">
        <f t="shared" si="150"/>
        <v>0</v>
      </c>
      <c r="AD567" s="56">
        <f t="shared" si="150"/>
        <v>0</v>
      </c>
      <c r="AE567" s="56">
        <f t="shared" si="150"/>
        <v>0</v>
      </c>
      <c r="AF567" s="56">
        <f t="shared" si="150"/>
        <v>0</v>
      </c>
      <c r="AG567" s="56">
        <f t="shared" si="150"/>
        <v>0</v>
      </c>
      <c r="AH567" s="56">
        <f t="shared" si="150"/>
        <v>0</v>
      </c>
      <c r="AI567" s="56">
        <f t="shared" si="150"/>
        <v>0</v>
      </c>
      <c r="AJ567" s="56">
        <f t="shared" si="150"/>
        <v>0</v>
      </c>
      <c r="AK567" s="56">
        <f t="shared" si="150"/>
        <v>0</v>
      </c>
      <c r="AL567" s="56">
        <f t="shared" si="150"/>
        <v>0</v>
      </c>
      <c r="AM567" s="56">
        <f t="shared" si="150"/>
        <v>0</v>
      </c>
      <c r="AN567" s="56">
        <f t="shared" si="150"/>
        <v>0</v>
      </c>
      <c r="AO567" s="56">
        <f t="shared" si="150"/>
        <v>0</v>
      </c>
      <c r="AP567" s="29"/>
    </row>
    <row r="568" spans="1:42" outlineLevel="1" x14ac:dyDescent="0.25">
      <c r="A568" s="54"/>
      <c r="B568" s="13"/>
      <c r="C568" s="14" t="s">
        <v>212</v>
      </c>
      <c r="D568" s="14"/>
      <c r="E568" s="70" t="s">
        <v>352</v>
      </c>
      <c r="F568" s="201">
        <f>Data!E529/1000</f>
        <v>0</v>
      </c>
      <c r="G568" s="56"/>
      <c r="H568" s="56"/>
      <c r="I568" s="56">
        <f>I$562*$F$568</f>
        <v>0</v>
      </c>
      <c r="J568" s="56">
        <f t="shared" ref="J568:AO568" si="151">J$562*$F$568</f>
        <v>0</v>
      </c>
      <c r="K568" s="56">
        <f t="shared" si="151"/>
        <v>0</v>
      </c>
      <c r="L568" s="56">
        <f t="shared" si="151"/>
        <v>0</v>
      </c>
      <c r="M568" s="56">
        <f t="shared" si="151"/>
        <v>0</v>
      </c>
      <c r="N568" s="56">
        <f t="shared" si="151"/>
        <v>0</v>
      </c>
      <c r="O568" s="56">
        <f t="shared" si="151"/>
        <v>0</v>
      </c>
      <c r="P568" s="56">
        <f t="shared" si="151"/>
        <v>0</v>
      </c>
      <c r="Q568" s="56">
        <f t="shared" si="151"/>
        <v>0</v>
      </c>
      <c r="R568" s="56">
        <f t="shared" si="151"/>
        <v>0</v>
      </c>
      <c r="S568" s="56">
        <f t="shared" si="151"/>
        <v>0</v>
      </c>
      <c r="T568" s="56">
        <f t="shared" si="151"/>
        <v>0</v>
      </c>
      <c r="U568" s="56">
        <f t="shared" si="151"/>
        <v>0</v>
      </c>
      <c r="V568" s="56">
        <f t="shared" si="151"/>
        <v>0</v>
      </c>
      <c r="W568" s="56">
        <f t="shared" si="151"/>
        <v>0</v>
      </c>
      <c r="X568" s="56">
        <f t="shared" si="151"/>
        <v>0</v>
      </c>
      <c r="Y568" s="56">
        <f t="shared" si="151"/>
        <v>0</v>
      </c>
      <c r="Z568" s="56">
        <f t="shared" si="151"/>
        <v>0</v>
      </c>
      <c r="AA568" s="56">
        <f t="shared" si="151"/>
        <v>0</v>
      </c>
      <c r="AB568" s="56">
        <f t="shared" si="151"/>
        <v>0</v>
      </c>
      <c r="AC568" s="56">
        <f t="shared" si="151"/>
        <v>0</v>
      </c>
      <c r="AD568" s="56">
        <f t="shared" si="151"/>
        <v>0</v>
      </c>
      <c r="AE568" s="56">
        <f t="shared" si="151"/>
        <v>0</v>
      </c>
      <c r="AF568" s="56">
        <f t="shared" si="151"/>
        <v>0</v>
      </c>
      <c r="AG568" s="56">
        <f t="shared" si="151"/>
        <v>0</v>
      </c>
      <c r="AH568" s="56">
        <f t="shared" si="151"/>
        <v>0</v>
      </c>
      <c r="AI568" s="56">
        <f t="shared" si="151"/>
        <v>0</v>
      </c>
      <c r="AJ568" s="56">
        <f t="shared" si="151"/>
        <v>0</v>
      </c>
      <c r="AK568" s="56">
        <f t="shared" si="151"/>
        <v>0</v>
      </c>
      <c r="AL568" s="56">
        <f t="shared" si="151"/>
        <v>0</v>
      </c>
      <c r="AM568" s="56">
        <f t="shared" si="151"/>
        <v>0</v>
      </c>
      <c r="AN568" s="56">
        <f t="shared" si="151"/>
        <v>0</v>
      </c>
      <c r="AO568" s="56">
        <f t="shared" si="151"/>
        <v>0</v>
      </c>
      <c r="AP568" s="29"/>
    </row>
    <row r="569" spans="1:42" outlineLevel="1" x14ac:dyDescent="0.25">
      <c r="A569" s="54"/>
      <c r="B569" s="13"/>
      <c r="C569" s="14" t="s">
        <v>485</v>
      </c>
      <c r="D569" s="14"/>
      <c r="E569" s="70" t="s">
        <v>352</v>
      </c>
      <c r="F569" s="201">
        <f>Data!E530/1000</f>
        <v>0</v>
      </c>
      <c r="G569" s="56"/>
      <c r="H569" s="56"/>
      <c r="I569" s="56">
        <f>I$562*$F$569</f>
        <v>0</v>
      </c>
      <c r="J569" s="56">
        <f t="shared" ref="J569:AO569" si="152">J$562*$F$569</f>
        <v>0</v>
      </c>
      <c r="K569" s="56">
        <f t="shared" si="152"/>
        <v>0</v>
      </c>
      <c r="L569" s="56">
        <f t="shared" si="152"/>
        <v>0</v>
      </c>
      <c r="M569" s="56">
        <f t="shared" si="152"/>
        <v>0</v>
      </c>
      <c r="N569" s="56">
        <f t="shared" si="152"/>
        <v>0</v>
      </c>
      <c r="O569" s="56">
        <f t="shared" si="152"/>
        <v>0</v>
      </c>
      <c r="P569" s="56">
        <f t="shared" si="152"/>
        <v>0</v>
      </c>
      <c r="Q569" s="56">
        <f t="shared" si="152"/>
        <v>0</v>
      </c>
      <c r="R569" s="56">
        <f t="shared" si="152"/>
        <v>0</v>
      </c>
      <c r="S569" s="56">
        <f t="shared" si="152"/>
        <v>0</v>
      </c>
      <c r="T569" s="56">
        <f t="shared" si="152"/>
        <v>0</v>
      </c>
      <c r="U569" s="56">
        <f t="shared" si="152"/>
        <v>0</v>
      </c>
      <c r="V569" s="56">
        <f t="shared" si="152"/>
        <v>0</v>
      </c>
      <c r="W569" s="56">
        <f t="shared" si="152"/>
        <v>0</v>
      </c>
      <c r="X569" s="56">
        <f t="shared" si="152"/>
        <v>0</v>
      </c>
      <c r="Y569" s="56">
        <f t="shared" si="152"/>
        <v>0</v>
      </c>
      <c r="Z569" s="56">
        <f t="shared" si="152"/>
        <v>0</v>
      </c>
      <c r="AA569" s="56">
        <f t="shared" si="152"/>
        <v>0</v>
      </c>
      <c r="AB569" s="56">
        <f t="shared" si="152"/>
        <v>0</v>
      </c>
      <c r="AC569" s="56">
        <f t="shared" si="152"/>
        <v>0</v>
      </c>
      <c r="AD569" s="56">
        <f t="shared" si="152"/>
        <v>0</v>
      </c>
      <c r="AE569" s="56">
        <f t="shared" si="152"/>
        <v>0</v>
      </c>
      <c r="AF569" s="56">
        <f t="shared" si="152"/>
        <v>0</v>
      </c>
      <c r="AG569" s="56">
        <f t="shared" si="152"/>
        <v>0</v>
      </c>
      <c r="AH569" s="56">
        <f t="shared" si="152"/>
        <v>0</v>
      </c>
      <c r="AI569" s="56">
        <f t="shared" si="152"/>
        <v>0</v>
      </c>
      <c r="AJ569" s="56">
        <f t="shared" si="152"/>
        <v>0</v>
      </c>
      <c r="AK569" s="56">
        <f t="shared" si="152"/>
        <v>0</v>
      </c>
      <c r="AL569" s="56">
        <f t="shared" si="152"/>
        <v>0</v>
      </c>
      <c r="AM569" s="56">
        <f t="shared" si="152"/>
        <v>0</v>
      </c>
      <c r="AN569" s="56">
        <f t="shared" si="152"/>
        <v>0</v>
      </c>
      <c r="AO569" s="56">
        <f t="shared" si="152"/>
        <v>0</v>
      </c>
      <c r="AP569" s="29"/>
    </row>
    <row r="570" spans="1:42" outlineLevel="1" x14ac:dyDescent="0.25">
      <c r="A570" s="54"/>
      <c r="B570" s="13"/>
      <c r="C570" s="14" t="s">
        <v>214</v>
      </c>
      <c r="D570" s="14"/>
      <c r="E570" s="70" t="s">
        <v>352</v>
      </c>
      <c r="F570" s="201">
        <f>Data!E531/1000</f>
        <v>7.7953456755433772E-5</v>
      </c>
      <c r="G570" s="56"/>
      <c r="H570" s="56"/>
      <c r="I570" s="56">
        <f>I$562*$F$570</f>
        <v>4.0130439537697304</v>
      </c>
      <c r="J570" s="56">
        <f t="shared" ref="J570:AO570" si="153">J$562*$F$570</f>
        <v>4.0130439537697304</v>
      </c>
      <c r="K570" s="56">
        <f t="shared" si="153"/>
        <v>4.0130439537697304</v>
      </c>
      <c r="L570" s="56">
        <f t="shared" si="153"/>
        <v>4.0130439537697304</v>
      </c>
      <c r="M570" s="56">
        <f t="shared" si="153"/>
        <v>4.0130439537697304</v>
      </c>
      <c r="N570" s="56">
        <f t="shared" si="153"/>
        <v>4.0130439537697304</v>
      </c>
      <c r="O570" s="56">
        <f t="shared" si="153"/>
        <v>4.0130439537697304</v>
      </c>
      <c r="P570" s="56">
        <f t="shared" si="153"/>
        <v>4.0130439537697304</v>
      </c>
      <c r="Q570" s="56">
        <f t="shared" si="153"/>
        <v>4.0130439537697304</v>
      </c>
      <c r="R570" s="56">
        <f t="shared" si="153"/>
        <v>4.0130439537697304</v>
      </c>
      <c r="S570" s="56">
        <f t="shared" si="153"/>
        <v>4.0130439537697304</v>
      </c>
      <c r="T570" s="56">
        <f t="shared" si="153"/>
        <v>4.0130439537697304</v>
      </c>
      <c r="U570" s="56">
        <f t="shared" si="153"/>
        <v>4.0130439537697304</v>
      </c>
      <c r="V570" s="56">
        <f t="shared" si="153"/>
        <v>4.0130439537697304</v>
      </c>
      <c r="W570" s="56">
        <f t="shared" si="153"/>
        <v>4.0130439537697304</v>
      </c>
      <c r="X570" s="56">
        <f t="shared" si="153"/>
        <v>4.0130439537697304</v>
      </c>
      <c r="Y570" s="56">
        <f t="shared" si="153"/>
        <v>4.0130439537697304</v>
      </c>
      <c r="Z570" s="56">
        <f t="shared" si="153"/>
        <v>4.0130439537697304</v>
      </c>
      <c r="AA570" s="56">
        <f t="shared" si="153"/>
        <v>4.0130439537697304</v>
      </c>
      <c r="AB570" s="56">
        <f t="shared" si="153"/>
        <v>4.0130439537697304</v>
      </c>
      <c r="AC570" s="56">
        <f t="shared" si="153"/>
        <v>0</v>
      </c>
      <c r="AD570" s="56">
        <f t="shared" si="153"/>
        <v>0</v>
      </c>
      <c r="AE570" s="56">
        <f t="shared" si="153"/>
        <v>0</v>
      </c>
      <c r="AF570" s="56">
        <f t="shared" si="153"/>
        <v>0</v>
      </c>
      <c r="AG570" s="56">
        <f t="shared" si="153"/>
        <v>0</v>
      </c>
      <c r="AH570" s="56">
        <f t="shared" si="153"/>
        <v>0</v>
      </c>
      <c r="AI570" s="56">
        <f t="shared" si="153"/>
        <v>0</v>
      </c>
      <c r="AJ570" s="56">
        <f t="shared" si="153"/>
        <v>0</v>
      </c>
      <c r="AK570" s="56">
        <f t="shared" si="153"/>
        <v>0</v>
      </c>
      <c r="AL570" s="56">
        <f t="shared" si="153"/>
        <v>0</v>
      </c>
      <c r="AM570" s="56">
        <f t="shared" si="153"/>
        <v>0</v>
      </c>
      <c r="AN570" s="56">
        <f t="shared" si="153"/>
        <v>0</v>
      </c>
      <c r="AO570" s="56">
        <f t="shared" si="153"/>
        <v>0</v>
      </c>
      <c r="AP570" s="29"/>
    </row>
    <row r="571" spans="1:42" outlineLevel="1" x14ac:dyDescent="0.25">
      <c r="A571" s="12"/>
      <c r="B571" s="13"/>
      <c r="C571" s="14"/>
      <c r="D571" s="14"/>
      <c r="E571" s="15"/>
      <c r="F571" s="16"/>
      <c r="G571" s="159"/>
      <c r="H571" s="159"/>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14"/>
    </row>
    <row r="572" spans="1:42" outlineLevel="1" x14ac:dyDescent="0.25">
      <c r="A572" s="54"/>
      <c r="B572" s="13"/>
      <c r="C572" s="14" t="s">
        <v>205</v>
      </c>
      <c r="D572" s="14"/>
      <c r="E572" s="70" t="s">
        <v>474</v>
      </c>
      <c r="F572" s="200">
        <f>Data!$E$35/1000</f>
        <v>3.4099438202247192E-3</v>
      </c>
      <c r="G572" s="56"/>
      <c r="H572" s="56"/>
      <c r="I572" s="56">
        <f>I564*F572</f>
        <v>0</v>
      </c>
      <c r="J572" s="56">
        <f t="shared" ref="J572:AO572" si="154">J564*G572</f>
        <v>0</v>
      </c>
      <c r="K572" s="56">
        <f t="shared" si="154"/>
        <v>0</v>
      </c>
      <c r="L572" s="56">
        <f t="shared" si="154"/>
        <v>0</v>
      </c>
      <c r="M572" s="56">
        <f t="shared" si="154"/>
        <v>0</v>
      </c>
      <c r="N572" s="56">
        <f t="shared" si="154"/>
        <v>0</v>
      </c>
      <c r="O572" s="56">
        <f t="shared" si="154"/>
        <v>0</v>
      </c>
      <c r="P572" s="56">
        <f t="shared" si="154"/>
        <v>0</v>
      </c>
      <c r="Q572" s="56">
        <f t="shared" si="154"/>
        <v>0</v>
      </c>
      <c r="R572" s="56">
        <f t="shared" si="154"/>
        <v>0</v>
      </c>
      <c r="S572" s="56">
        <f t="shared" si="154"/>
        <v>0</v>
      </c>
      <c r="T572" s="56">
        <f t="shared" si="154"/>
        <v>0</v>
      </c>
      <c r="U572" s="56">
        <f t="shared" si="154"/>
        <v>0</v>
      </c>
      <c r="V572" s="56">
        <f t="shared" si="154"/>
        <v>0</v>
      </c>
      <c r="W572" s="56">
        <f t="shared" si="154"/>
        <v>0</v>
      </c>
      <c r="X572" s="56">
        <f t="shared" si="154"/>
        <v>0</v>
      </c>
      <c r="Y572" s="56">
        <f t="shared" si="154"/>
        <v>0</v>
      </c>
      <c r="Z572" s="56">
        <f t="shared" si="154"/>
        <v>0</v>
      </c>
      <c r="AA572" s="56">
        <f t="shared" si="154"/>
        <v>0</v>
      </c>
      <c r="AB572" s="56">
        <f t="shared" si="154"/>
        <v>0</v>
      </c>
      <c r="AC572" s="56">
        <f t="shared" si="154"/>
        <v>0</v>
      </c>
      <c r="AD572" s="56">
        <f t="shared" si="154"/>
        <v>0</v>
      </c>
      <c r="AE572" s="56">
        <f t="shared" si="154"/>
        <v>0</v>
      </c>
      <c r="AF572" s="56">
        <f t="shared" si="154"/>
        <v>0</v>
      </c>
      <c r="AG572" s="56">
        <f t="shared" si="154"/>
        <v>0</v>
      </c>
      <c r="AH572" s="56">
        <f t="shared" si="154"/>
        <v>0</v>
      </c>
      <c r="AI572" s="56">
        <f t="shared" si="154"/>
        <v>0</v>
      </c>
      <c r="AJ572" s="56">
        <f t="shared" si="154"/>
        <v>0</v>
      </c>
      <c r="AK572" s="56">
        <f t="shared" si="154"/>
        <v>0</v>
      </c>
      <c r="AL572" s="56">
        <f t="shared" si="154"/>
        <v>0</v>
      </c>
      <c r="AM572" s="56">
        <f t="shared" si="154"/>
        <v>0</v>
      </c>
      <c r="AN572" s="56">
        <f t="shared" si="154"/>
        <v>0</v>
      </c>
      <c r="AO572" s="56">
        <f t="shared" si="154"/>
        <v>0</v>
      </c>
      <c r="AP572" s="29"/>
    </row>
    <row r="573" spans="1:42" outlineLevel="1" x14ac:dyDescent="0.25">
      <c r="A573" s="54"/>
      <c r="B573" s="13"/>
      <c r="C573" s="14" t="s">
        <v>484</v>
      </c>
      <c r="D573" s="14"/>
      <c r="E573" s="70" t="s">
        <v>474</v>
      </c>
      <c r="F573" s="200"/>
      <c r="G573" s="56"/>
      <c r="H573" s="56"/>
      <c r="I573" s="56">
        <f>I565*Data!H$16/1000</f>
        <v>893.20585257698895</v>
      </c>
      <c r="J573" s="56">
        <f>J565*Data!I$16/1000</f>
        <v>985.28893016224561</v>
      </c>
      <c r="K573" s="56">
        <f>K565*Data!J$16/1000</f>
        <v>1068.1636999889765</v>
      </c>
      <c r="L573" s="56">
        <f>L565*Data!K$16/1000</f>
        <v>1160.246777574233</v>
      </c>
      <c r="M573" s="56">
        <f>M565*Data!L$16/1000</f>
        <v>1252.3298551594896</v>
      </c>
      <c r="N573" s="56">
        <f>N565*Data!M$16/1000</f>
        <v>1344.4129327447463</v>
      </c>
      <c r="O573" s="56">
        <f>O565*Data!N$16/1000</f>
        <v>1427.2877025714772</v>
      </c>
      <c r="P573" s="56">
        <f>P565*Data!O$16/1000</f>
        <v>1482.5375491226314</v>
      </c>
      <c r="Q573" s="56">
        <f>Q565*Data!P$16/1000</f>
        <v>1537.7873956737851</v>
      </c>
      <c r="R573" s="56">
        <f>R565*Data!Q$16/1000</f>
        <v>1602.2455499834648</v>
      </c>
      <c r="S573" s="56">
        <f>S565*Data!R$16/1000</f>
        <v>1657.4953965346187</v>
      </c>
      <c r="T573" s="56">
        <f>T565*Data!S$16/1000</f>
        <v>1712.7452430857727</v>
      </c>
      <c r="U573" s="56">
        <f>U565*Data!T$16/1000</f>
        <v>1767.9950896369267</v>
      </c>
      <c r="V573" s="56">
        <f>V565*Data!U$16/1000</f>
        <v>1823.2449361880806</v>
      </c>
      <c r="W573" s="56">
        <f>W565*Data!V$16/1000</f>
        <v>1878.4947827392346</v>
      </c>
      <c r="X573" s="56">
        <f>X565*Data!W$16/1000</f>
        <v>1933.7446292903885</v>
      </c>
      <c r="Y573" s="56">
        <f>Y565*Data!X$16/1000</f>
        <v>1988.9944758415425</v>
      </c>
      <c r="Z573" s="56">
        <f>Z565*Data!Y$16/1000</f>
        <v>2044.2443223926964</v>
      </c>
      <c r="AA573" s="56">
        <f>AA565*Data!Z$16/1000</f>
        <v>2099.4941689438501</v>
      </c>
      <c r="AB573" s="56">
        <f>AB565*Data!AA$16/1000</f>
        <v>2163.9523232535303</v>
      </c>
      <c r="AC573" s="56">
        <f>AC565*Data!AB$16/1000</f>
        <v>0</v>
      </c>
      <c r="AD573" s="56">
        <f>AD565*Data!AC$16/1000</f>
        <v>0</v>
      </c>
      <c r="AE573" s="56">
        <f>AE565*Data!AD$16/1000</f>
        <v>0</v>
      </c>
      <c r="AF573" s="56">
        <f>AF565*Data!AE$16/1000</f>
        <v>0</v>
      </c>
      <c r="AG573" s="56">
        <f>AG565*Data!AF$16/1000</f>
        <v>0</v>
      </c>
      <c r="AH573" s="56">
        <f>AH565*Data!AG$16/1000</f>
        <v>0</v>
      </c>
      <c r="AI573" s="56">
        <f>AI565*Data!AH$16/1000</f>
        <v>0</v>
      </c>
      <c r="AJ573" s="56">
        <f>AJ565*Data!AI$16/1000</f>
        <v>0</v>
      </c>
      <c r="AK573" s="56">
        <f>AK565*Data!AJ$16/1000</f>
        <v>0</v>
      </c>
      <c r="AL573" s="56">
        <f>AL565*Data!AK$16/1000</f>
        <v>0</v>
      </c>
      <c r="AM573" s="56">
        <f>AM565*Data!AL$16/1000</f>
        <v>0</v>
      </c>
      <c r="AN573" s="56">
        <f>AN565*Data!AM$16/1000</f>
        <v>0</v>
      </c>
      <c r="AO573" s="56">
        <f>AO565*Data!AN$16/1000</f>
        <v>0</v>
      </c>
      <c r="AP573" s="29"/>
    </row>
    <row r="574" spans="1:42" outlineLevel="1" x14ac:dyDescent="0.25">
      <c r="A574" s="54"/>
      <c r="B574" s="13"/>
      <c r="C574" s="14" t="s">
        <v>285</v>
      </c>
      <c r="D574" s="14"/>
      <c r="E574" s="70" t="s">
        <v>474</v>
      </c>
      <c r="F574" s="200">
        <f>Data!$E$36/1000</f>
        <v>1.0822865168539326</v>
      </c>
      <c r="G574" s="56"/>
      <c r="H574" s="56"/>
      <c r="I574" s="56">
        <f>I566*$F$574</f>
        <v>0</v>
      </c>
      <c r="J574" s="56">
        <f t="shared" ref="J574:AO574" si="155">J566*$F$574</f>
        <v>0</v>
      </c>
      <c r="K574" s="56">
        <f t="shared" si="155"/>
        <v>0</v>
      </c>
      <c r="L574" s="56">
        <f t="shared" si="155"/>
        <v>0</v>
      </c>
      <c r="M574" s="56">
        <f t="shared" si="155"/>
        <v>0</v>
      </c>
      <c r="N574" s="56">
        <f t="shared" si="155"/>
        <v>0</v>
      </c>
      <c r="O574" s="56">
        <f t="shared" si="155"/>
        <v>0</v>
      </c>
      <c r="P574" s="56">
        <f t="shared" si="155"/>
        <v>0</v>
      </c>
      <c r="Q574" s="56">
        <f t="shared" si="155"/>
        <v>0</v>
      </c>
      <c r="R574" s="56">
        <f t="shared" si="155"/>
        <v>0</v>
      </c>
      <c r="S574" s="56">
        <f t="shared" si="155"/>
        <v>0</v>
      </c>
      <c r="T574" s="56">
        <f t="shared" si="155"/>
        <v>0</v>
      </c>
      <c r="U574" s="56">
        <f t="shared" si="155"/>
        <v>0</v>
      </c>
      <c r="V574" s="56">
        <f t="shared" si="155"/>
        <v>0</v>
      </c>
      <c r="W574" s="56">
        <f t="shared" si="155"/>
        <v>0</v>
      </c>
      <c r="X574" s="56">
        <f t="shared" si="155"/>
        <v>0</v>
      </c>
      <c r="Y574" s="56">
        <f t="shared" si="155"/>
        <v>0</v>
      </c>
      <c r="Z574" s="56">
        <f t="shared" si="155"/>
        <v>0</v>
      </c>
      <c r="AA574" s="56">
        <f t="shared" si="155"/>
        <v>0</v>
      </c>
      <c r="AB574" s="56">
        <f t="shared" si="155"/>
        <v>0</v>
      </c>
      <c r="AC574" s="56">
        <f t="shared" si="155"/>
        <v>0</v>
      </c>
      <c r="AD574" s="56">
        <f t="shared" si="155"/>
        <v>0</v>
      </c>
      <c r="AE574" s="56">
        <f t="shared" si="155"/>
        <v>0</v>
      </c>
      <c r="AF574" s="56">
        <f t="shared" si="155"/>
        <v>0</v>
      </c>
      <c r="AG574" s="56">
        <f t="shared" si="155"/>
        <v>0</v>
      </c>
      <c r="AH574" s="56">
        <f t="shared" si="155"/>
        <v>0</v>
      </c>
      <c r="AI574" s="56">
        <f t="shared" si="155"/>
        <v>0</v>
      </c>
      <c r="AJ574" s="56">
        <f t="shared" si="155"/>
        <v>0</v>
      </c>
      <c r="AK574" s="56">
        <f t="shared" si="155"/>
        <v>0</v>
      </c>
      <c r="AL574" s="56">
        <f t="shared" si="155"/>
        <v>0</v>
      </c>
      <c r="AM574" s="56">
        <f t="shared" si="155"/>
        <v>0</v>
      </c>
      <c r="AN574" s="56">
        <f t="shared" si="155"/>
        <v>0</v>
      </c>
      <c r="AO574" s="56">
        <f t="shared" si="155"/>
        <v>0</v>
      </c>
      <c r="AP574" s="29"/>
    </row>
    <row r="575" spans="1:42" outlineLevel="1" x14ac:dyDescent="0.25">
      <c r="A575" s="54"/>
      <c r="B575" s="13"/>
      <c r="C575" s="14" t="s">
        <v>220</v>
      </c>
      <c r="D575" s="14"/>
      <c r="E575" s="70" t="s">
        <v>474</v>
      </c>
      <c r="F575" s="200">
        <f>Data!$E$37/1000</f>
        <v>371.00188764044947</v>
      </c>
      <c r="G575" s="56"/>
      <c r="H575" s="56"/>
      <c r="I575" s="56">
        <f>I567*$F$575</f>
        <v>0</v>
      </c>
      <c r="J575" s="56">
        <f t="shared" ref="J575:AO575" si="156">J567*$F$575</f>
        <v>0</v>
      </c>
      <c r="K575" s="56">
        <f t="shared" si="156"/>
        <v>0</v>
      </c>
      <c r="L575" s="56">
        <f t="shared" si="156"/>
        <v>0</v>
      </c>
      <c r="M575" s="56">
        <f t="shared" si="156"/>
        <v>0</v>
      </c>
      <c r="N575" s="56">
        <f t="shared" si="156"/>
        <v>0</v>
      </c>
      <c r="O575" s="56">
        <f t="shared" si="156"/>
        <v>0</v>
      </c>
      <c r="P575" s="56">
        <f t="shared" si="156"/>
        <v>0</v>
      </c>
      <c r="Q575" s="56">
        <f t="shared" si="156"/>
        <v>0</v>
      </c>
      <c r="R575" s="56">
        <f t="shared" si="156"/>
        <v>0</v>
      </c>
      <c r="S575" s="56">
        <f t="shared" si="156"/>
        <v>0</v>
      </c>
      <c r="T575" s="56">
        <f t="shared" si="156"/>
        <v>0</v>
      </c>
      <c r="U575" s="56">
        <f t="shared" si="156"/>
        <v>0</v>
      </c>
      <c r="V575" s="56">
        <f t="shared" si="156"/>
        <v>0</v>
      </c>
      <c r="W575" s="56">
        <f t="shared" si="156"/>
        <v>0</v>
      </c>
      <c r="X575" s="56">
        <f t="shared" si="156"/>
        <v>0</v>
      </c>
      <c r="Y575" s="56">
        <f t="shared" si="156"/>
        <v>0</v>
      </c>
      <c r="Z575" s="56">
        <f t="shared" si="156"/>
        <v>0</v>
      </c>
      <c r="AA575" s="56">
        <f t="shared" si="156"/>
        <v>0</v>
      </c>
      <c r="AB575" s="56">
        <f t="shared" si="156"/>
        <v>0</v>
      </c>
      <c r="AC575" s="56">
        <f t="shared" si="156"/>
        <v>0</v>
      </c>
      <c r="AD575" s="56">
        <f t="shared" si="156"/>
        <v>0</v>
      </c>
      <c r="AE575" s="56">
        <f t="shared" si="156"/>
        <v>0</v>
      </c>
      <c r="AF575" s="56">
        <f t="shared" si="156"/>
        <v>0</v>
      </c>
      <c r="AG575" s="56">
        <f t="shared" si="156"/>
        <v>0</v>
      </c>
      <c r="AH575" s="56">
        <f t="shared" si="156"/>
        <v>0</v>
      </c>
      <c r="AI575" s="56">
        <f t="shared" si="156"/>
        <v>0</v>
      </c>
      <c r="AJ575" s="56">
        <f t="shared" si="156"/>
        <v>0</v>
      </c>
      <c r="AK575" s="56">
        <f t="shared" si="156"/>
        <v>0</v>
      </c>
      <c r="AL575" s="56">
        <f t="shared" si="156"/>
        <v>0</v>
      </c>
      <c r="AM575" s="56">
        <f t="shared" si="156"/>
        <v>0</v>
      </c>
      <c r="AN575" s="56">
        <f t="shared" si="156"/>
        <v>0</v>
      </c>
      <c r="AO575" s="56">
        <f t="shared" si="156"/>
        <v>0</v>
      </c>
      <c r="AP575" s="29"/>
    </row>
    <row r="576" spans="1:42" outlineLevel="1" x14ac:dyDescent="0.25">
      <c r="A576" s="54"/>
      <c r="B576" s="13"/>
      <c r="C576" s="14" t="s">
        <v>212</v>
      </c>
      <c r="D576" s="14"/>
      <c r="E576" s="70" t="s">
        <v>474</v>
      </c>
      <c r="F576" s="200">
        <f>Data!$E$39/1000</f>
        <v>0</v>
      </c>
      <c r="G576" s="56"/>
      <c r="H576" s="56"/>
      <c r="I576" s="56">
        <f>I568*$F$576</f>
        <v>0</v>
      </c>
      <c r="J576" s="56">
        <f t="shared" ref="J576:AO576" si="157">J568*$F$576</f>
        <v>0</v>
      </c>
      <c r="K576" s="56">
        <f t="shared" si="157"/>
        <v>0</v>
      </c>
      <c r="L576" s="56">
        <f t="shared" si="157"/>
        <v>0</v>
      </c>
      <c r="M576" s="56">
        <f t="shared" si="157"/>
        <v>0</v>
      </c>
      <c r="N576" s="56">
        <f t="shared" si="157"/>
        <v>0</v>
      </c>
      <c r="O576" s="56">
        <f t="shared" si="157"/>
        <v>0</v>
      </c>
      <c r="P576" s="56">
        <f t="shared" si="157"/>
        <v>0</v>
      </c>
      <c r="Q576" s="56">
        <f t="shared" si="157"/>
        <v>0</v>
      </c>
      <c r="R576" s="56">
        <f t="shared" si="157"/>
        <v>0</v>
      </c>
      <c r="S576" s="56">
        <f t="shared" si="157"/>
        <v>0</v>
      </c>
      <c r="T576" s="56">
        <f t="shared" si="157"/>
        <v>0</v>
      </c>
      <c r="U576" s="56">
        <f t="shared" si="157"/>
        <v>0</v>
      </c>
      <c r="V576" s="56">
        <f t="shared" si="157"/>
        <v>0</v>
      </c>
      <c r="W576" s="56">
        <f t="shared" si="157"/>
        <v>0</v>
      </c>
      <c r="X576" s="56">
        <f t="shared" si="157"/>
        <v>0</v>
      </c>
      <c r="Y576" s="56">
        <f t="shared" si="157"/>
        <v>0</v>
      </c>
      <c r="Z576" s="56">
        <f t="shared" si="157"/>
        <v>0</v>
      </c>
      <c r="AA576" s="56">
        <f t="shared" si="157"/>
        <v>0</v>
      </c>
      <c r="AB576" s="56">
        <f t="shared" si="157"/>
        <v>0</v>
      </c>
      <c r="AC576" s="56">
        <f t="shared" si="157"/>
        <v>0</v>
      </c>
      <c r="AD576" s="56">
        <f t="shared" si="157"/>
        <v>0</v>
      </c>
      <c r="AE576" s="56">
        <f t="shared" si="157"/>
        <v>0</v>
      </c>
      <c r="AF576" s="56">
        <f t="shared" si="157"/>
        <v>0</v>
      </c>
      <c r="AG576" s="56">
        <f t="shared" si="157"/>
        <v>0</v>
      </c>
      <c r="AH576" s="56">
        <f t="shared" si="157"/>
        <v>0</v>
      </c>
      <c r="AI576" s="56">
        <f t="shared" si="157"/>
        <v>0</v>
      </c>
      <c r="AJ576" s="56">
        <f t="shared" si="157"/>
        <v>0</v>
      </c>
      <c r="AK576" s="56">
        <f t="shared" si="157"/>
        <v>0</v>
      </c>
      <c r="AL576" s="56">
        <f t="shared" si="157"/>
        <v>0</v>
      </c>
      <c r="AM576" s="56">
        <f t="shared" si="157"/>
        <v>0</v>
      </c>
      <c r="AN576" s="56">
        <f t="shared" si="157"/>
        <v>0</v>
      </c>
      <c r="AO576" s="56">
        <f t="shared" si="157"/>
        <v>0</v>
      </c>
      <c r="AP576" s="29"/>
    </row>
    <row r="577" spans="1:42" outlineLevel="1" x14ac:dyDescent="0.25">
      <c r="A577" s="54"/>
      <c r="B577" s="13"/>
      <c r="C577" s="14" t="s">
        <v>485</v>
      </c>
      <c r="D577" s="14"/>
      <c r="E577" s="70" t="s">
        <v>474</v>
      </c>
      <c r="F577" s="200">
        <f>Data!$E$40/1000</f>
        <v>605.20914606741576</v>
      </c>
      <c r="G577" s="56"/>
      <c r="H577" s="56"/>
      <c r="I577" s="56">
        <f>I569*$F$577</f>
        <v>0</v>
      </c>
      <c r="J577" s="56">
        <f t="shared" ref="J577:AO577" si="158">J569*$F$577</f>
        <v>0</v>
      </c>
      <c r="K577" s="56">
        <f t="shared" si="158"/>
        <v>0</v>
      </c>
      <c r="L577" s="56">
        <f t="shared" si="158"/>
        <v>0</v>
      </c>
      <c r="M577" s="56">
        <f t="shared" si="158"/>
        <v>0</v>
      </c>
      <c r="N577" s="56">
        <f t="shared" si="158"/>
        <v>0</v>
      </c>
      <c r="O577" s="56">
        <f t="shared" si="158"/>
        <v>0</v>
      </c>
      <c r="P577" s="56">
        <f t="shared" si="158"/>
        <v>0</v>
      </c>
      <c r="Q577" s="56">
        <f t="shared" si="158"/>
        <v>0</v>
      </c>
      <c r="R577" s="56">
        <f t="shared" si="158"/>
        <v>0</v>
      </c>
      <c r="S577" s="56">
        <f t="shared" si="158"/>
        <v>0</v>
      </c>
      <c r="T577" s="56">
        <f t="shared" si="158"/>
        <v>0</v>
      </c>
      <c r="U577" s="56">
        <f t="shared" si="158"/>
        <v>0</v>
      </c>
      <c r="V577" s="56">
        <f t="shared" si="158"/>
        <v>0</v>
      </c>
      <c r="W577" s="56">
        <f t="shared" si="158"/>
        <v>0</v>
      </c>
      <c r="X577" s="56">
        <f t="shared" si="158"/>
        <v>0</v>
      </c>
      <c r="Y577" s="56">
        <f t="shared" si="158"/>
        <v>0</v>
      </c>
      <c r="Z577" s="56">
        <f t="shared" si="158"/>
        <v>0</v>
      </c>
      <c r="AA577" s="56">
        <f t="shared" si="158"/>
        <v>0</v>
      </c>
      <c r="AB577" s="56">
        <f t="shared" si="158"/>
        <v>0</v>
      </c>
      <c r="AC577" s="56">
        <f t="shared" si="158"/>
        <v>0</v>
      </c>
      <c r="AD577" s="56">
        <f t="shared" si="158"/>
        <v>0</v>
      </c>
      <c r="AE577" s="56">
        <f t="shared" si="158"/>
        <v>0</v>
      </c>
      <c r="AF577" s="56">
        <f t="shared" si="158"/>
        <v>0</v>
      </c>
      <c r="AG577" s="56">
        <f t="shared" si="158"/>
        <v>0</v>
      </c>
      <c r="AH577" s="56">
        <f t="shared" si="158"/>
        <v>0</v>
      </c>
      <c r="AI577" s="56">
        <f t="shared" si="158"/>
        <v>0</v>
      </c>
      <c r="AJ577" s="56">
        <f t="shared" si="158"/>
        <v>0</v>
      </c>
      <c r="AK577" s="56">
        <f t="shared" si="158"/>
        <v>0</v>
      </c>
      <c r="AL577" s="56">
        <f t="shared" si="158"/>
        <v>0</v>
      </c>
      <c r="AM577" s="56">
        <f t="shared" si="158"/>
        <v>0</v>
      </c>
      <c r="AN577" s="56">
        <f t="shared" si="158"/>
        <v>0</v>
      </c>
      <c r="AO577" s="56">
        <f t="shared" si="158"/>
        <v>0</v>
      </c>
      <c r="AP577" s="29"/>
    </row>
    <row r="578" spans="1:42" outlineLevel="1" x14ac:dyDescent="0.25">
      <c r="A578" s="54"/>
      <c r="B578" s="13"/>
      <c r="C578" s="14" t="s">
        <v>214</v>
      </c>
      <c r="D578" s="14"/>
      <c r="E578" s="70" t="s">
        <v>474</v>
      </c>
      <c r="F578" s="200">
        <f>Data!$E$41/1000</f>
        <v>0</v>
      </c>
      <c r="G578" s="56"/>
      <c r="H578" s="56"/>
      <c r="I578" s="56">
        <f>I570*$F$578</f>
        <v>0</v>
      </c>
      <c r="J578" s="56">
        <f t="shared" ref="J578:AO578" si="159">J570*$F$578</f>
        <v>0</v>
      </c>
      <c r="K578" s="56">
        <f t="shared" si="159"/>
        <v>0</v>
      </c>
      <c r="L578" s="56">
        <f t="shared" si="159"/>
        <v>0</v>
      </c>
      <c r="M578" s="56">
        <f t="shared" si="159"/>
        <v>0</v>
      </c>
      <c r="N578" s="56">
        <f t="shared" si="159"/>
        <v>0</v>
      </c>
      <c r="O578" s="56">
        <f t="shared" si="159"/>
        <v>0</v>
      </c>
      <c r="P578" s="56">
        <f t="shared" si="159"/>
        <v>0</v>
      </c>
      <c r="Q578" s="56">
        <f t="shared" si="159"/>
        <v>0</v>
      </c>
      <c r="R578" s="56">
        <f t="shared" si="159"/>
        <v>0</v>
      </c>
      <c r="S578" s="56">
        <f t="shared" si="159"/>
        <v>0</v>
      </c>
      <c r="T578" s="56">
        <f t="shared" si="159"/>
        <v>0</v>
      </c>
      <c r="U578" s="56">
        <f t="shared" si="159"/>
        <v>0</v>
      </c>
      <c r="V578" s="56">
        <f t="shared" si="159"/>
        <v>0</v>
      </c>
      <c r="W578" s="56">
        <f t="shared" si="159"/>
        <v>0</v>
      </c>
      <c r="X578" s="56">
        <f t="shared" si="159"/>
        <v>0</v>
      </c>
      <c r="Y578" s="56">
        <f t="shared" si="159"/>
        <v>0</v>
      </c>
      <c r="Z578" s="56">
        <f t="shared" si="159"/>
        <v>0</v>
      </c>
      <c r="AA578" s="56">
        <f t="shared" si="159"/>
        <v>0</v>
      </c>
      <c r="AB578" s="56">
        <f t="shared" si="159"/>
        <v>0</v>
      </c>
      <c r="AC578" s="56">
        <f t="shared" si="159"/>
        <v>0</v>
      </c>
      <c r="AD578" s="56">
        <f t="shared" si="159"/>
        <v>0</v>
      </c>
      <c r="AE578" s="56">
        <f t="shared" si="159"/>
        <v>0</v>
      </c>
      <c r="AF578" s="56">
        <f t="shared" si="159"/>
        <v>0</v>
      </c>
      <c r="AG578" s="56">
        <f t="shared" si="159"/>
        <v>0</v>
      </c>
      <c r="AH578" s="56">
        <f t="shared" si="159"/>
        <v>0</v>
      </c>
      <c r="AI578" s="56">
        <f t="shared" si="159"/>
        <v>0</v>
      </c>
      <c r="AJ578" s="56">
        <f t="shared" si="159"/>
        <v>0</v>
      </c>
      <c r="AK578" s="56">
        <f t="shared" si="159"/>
        <v>0</v>
      </c>
      <c r="AL578" s="56">
        <f t="shared" si="159"/>
        <v>0</v>
      </c>
      <c r="AM578" s="56">
        <f t="shared" si="159"/>
        <v>0</v>
      </c>
      <c r="AN578" s="56">
        <f t="shared" si="159"/>
        <v>0</v>
      </c>
      <c r="AO578" s="56">
        <f t="shared" si="159"/>
        <v>0</v>
      </c>
      <c r="AP578" s="29"/>
    </row>
    <row r="579" spans="1:42" outlineLevel="1" x14ac:dyDescent="0.25">
      <c r="A579" s="12"/>
      <c r="B579" s="13"/>
      <c r="C579" s="20" t="s">
        <v>536</v>
      </c>
      <c r="D579" s="14"/>
      <c r="E579" s="70" t="s">
        <v>474</v>
      </c>
      <c r="F579" s="16"/>
      <c r="G579" s="159"/>
      <c r="H579" s="185"/>
      <c r="I579" s="185">
        <f>SUM(I572:I578)</f>
        <v>893.20585257698895</v>
      </c>
      <c r="J579" s="185">
        <f t="shared" ref="J579:AO579" si="160">SUM(J572:J578)</f>
        <v>985.28893016224561</v>
      </c>
      <c r="K579" s="185">
        <f t="shared" si="160"/>
        <v>1068.1636999889765</v>
      </c>
      <c r="L579" s="185">
        <f t="shared" si="160"/>
        <v>1160.246777574233</v>
      </c>
      <c r="M579" s="185">
        <f t="shared" si="160"/>
        <v>1252.3298551594896</v>
      </c>
      <c r="N579" s="185">
        <f t="shared" si="160"/>
        <v>1344.4129327447463</v>
      </c>
      <c r="O579" s="185">
        <f t="shared" si="160"/>
        <v>1427.2877025714772</v>
      </c>
      <c r="P579" s="185">
        <f t="shared" si="160"/>
        <v>1482.5375491226314</v>
      </c>
      <c r="Q579" s="185">
        <f t="shared" si="160"/>
        <v>1537.7873956737851</v>
      </c>
      <c r="R579" s="185">
        <f t="shared" si="160"/>
        <v>1602.2455499834648</v>
      </c>
      <c r="S579" s="185">
        <f t="shared" si="160"/>
        <v>1657.4953965346187</v>
      </c>
      <c r="T579" s="185">
        <f t="shared" si="160"/>
        <v>1712.7452430857727</v>
      </c>
      <c r="U579" s="185">
        <f t="shared" si="160"/>
        <v>1767.9950896369267</v>
      </c>
      <c r="V579" s="185">
        <f t="shared" si="160"/>
        <v>1823.2449361880806</v>
      </c>
      <c r="W579" s="185">
        <f t="shared" si="160"/>
        <v>1878.4947827392346</v>
      </c>
      <c r="X579" s="185">
        <f t="shared" si="160"/>
        <v>1933.7446292903885</v>
      </c>
      <c r="Y579" s="185">
        <f t="shared" si="160"/>
        <v>1988.9944758415425</v>
      </c>
      <c r="Z579" s="185">
        <f t="shared" si="160"/>
        <v>2044.2443223926964</v>
      </c>
      <c r="AA579" s="185">
        <f t="shared" si="160"/>
        <v>2099.4941689438501</v>
      </c>
      <c r="AB579" s="185">
        <f t="shared" si="160"/>
        <v>2163.9523232535303</v>
      </c>
      <c r="AC579" s="185">
        <f t="shared" si="160"/>
        <v>0</v>
      </c>
      <c r="AD579" s="185">
        <f t="shared" si="160"/>
        <v>0</v>
      </c>
      <c r="AE579" s="185">
        <f t="shared" si="160"/>
        <v>0</v>
      </c>
      <c r="AF579" s="185">
        <f t="shared" si="160"/>
        <v>0</v>
      </c>
      <c r="AG579" s="185">
        <f t="shared" si="160"/>
        <v>0</v>
      </c>
      <c r="AH579" s="185">
        <f t="shared" si="160"/>
        <v>0</v>
      </c>
      <c r="AI579" s="185">
        <f t="shared" si="160"/>
        <v>0</v>
      </c>
      <c r="AJ579" s="185">
        <f t="shared" si="160"/>
        <v>0</v>
      </c>
      <c r="AK579" s="185">
        <f t="shared" si="160"/>
        <v>0</v>
      </c>
      <c r="AL579" s="185">
        <f t="shared" si="160"/>
        <v>0</v>
      </c>
      <c r="AM579" s="185">
        <f t="shared" si="160"/>
        <v>0</v>
      </c>
      <c r="AN579" s="185">
        <f t="shared" si="160"/>
        <v>0</v>
      </c>
      <c r="AO579" s="185">
        <f t="shared" si="160"/>
        <v>0</v>
      </c>
      <c r="AP579" s="14"/>
    </row>
    <row r="580" spans="1:42" outlineLevel="1" x14ac:dyDescent="0.25">
      <c r="A580" s="12"/>
      <c r="B580" s="13"/>
      <c r="C580" s="14"/>
      <c r="D580" s="14"/>
      <c r="E580" s="15"/>
      <c r="F580" s="16"/>
      <c r="G580" s="159"/>
      <c r="H580" s="159"/>
      <c r="I580" s="159"/>
      <c r="J580" s="159"/>
      <c r="K580" s="159"/>
      <c r="L580" s="159"/>
      <c r="M580" s="159"/>
      <c r="N580" s="159"/>
      <c r="O580" s="159"/>
      <c r="P580" s="159"/>
      <c r="Q580" s="159"/>
      <c r="R580" s="159"/>
      <c r="S580" s="159"/>
      <c r="T580" s="159"/>
      <c r="U580" s="159"/>
      <c r="V580" s="159"/>
      <c r="W580" s="159"/>
      <c r="X580" s="14"/>
      <c r="Y580" s="14"/>
      <c r="Z580" s="14"/>
      <c r="AA580" s="14"/>
      <c r="AB580" s="14"/>
      <c r="AC580" s="14"/>
      <c r="AD580" s="14"/>
      <c r="AE580" s="14"/>
      <c r="AF580" s="14"/>
      <c r="AG580" s="14"/>
      <c r="AH580" s="14"/>
      <c r="AI580" s="14"/>
      <c r="AJ580" s="14"/>
      <c r="AK580" s="14"/>
      <c r="AL580" s="14"/>
      <c r="AM580" s="14"/>
      <c r="AN580" s="14"/>
      <c r="AO580" s="14"/>
      <c r="AP580" s="14"/>
    </row>
    <row r="581" spans="1:42" outlineLevel="1" x14ac:dyDescent="0.25">
      <c r="A581" s="12"/>
      <c r="B581" s="13"/>
      <c r="C581" s="14" t="s">
        <v>523</v>
      </c>
      <c r="D581" s="14"/>
      <c r="E581" s="15" t="s">
        <v>474</v>
      </c>
      <c r="F581" s="48"/>
      <c r="G581" s="185"/>
      <c r="H581" s="185"/>
      <c r="I581" s="185">
        <f>I579*Data!H$9</f>
        <v>858.8517813240278</v>
      </c>
      <c r="J581" s="185">
        <f>J579*Data!I$9</f>
        <v>910.95500199911748</v>
      </c>
      <c r="K581" s="185">
        <f>K579*Data!J$9</f>
        <v>949.59363975465169</v>
      </c>
      <c r="L581" s="185">
        <f>L579*Data!K$9</f>
        <v>991.78380809918826</v>
      </c>
      <c r="M581" s="185">
        <f>M579*Data!L$9</f>
        <v>1029.3238545595971</v>
      </c>
      <c r="N581" s="185">
        <f>N579*Data!M$9</f>
        <v>1062.5090693276384</v>
      </c>
      <c r="O581" s="185">
        <f>O579*Data!N$9</f>
        <v>1084.6213497483138</v>
      </c>
      <c r="P581" s="185">
        <f>P579*Data!O$9</f>
        <v>1083.2756656915542</v>
      </c>
      <c r="Q581" s="185">
        <f>Q579*Data!P$9</f>
        <v>1080.4290263407161</v>
      </c>
      <c r="R581" s="185">
        <f>R579*Data!Q$9</f>
        <v>1082.4196832294137</v>
      </c>
      <c r="S581" s="185">
        <f>S579*Data!R$9</f>
        <v>1076.6774037427858</v>
      </c>
      <c r="T581" s="185">
        <f>T579*Data!S$9</f>
        <v>1069.7756255136651</v>
      </c>
      <c r="U581" s="185">
        <f>U579*Data!T$9</f>
        <v>1061.8120352492954</v>
      </c>
      <c r="V581" s="185">
        <f>V579*Data!U$9</f>
        <v>1052.8785205296499</v>
      </c>
      <c r="W581" s="185">
        <f>W579*Data!V$9</f>
        <v>1043.0614713871821</v>
      </c>
      <c r="X581" s="185">
        <f>X579*Data!W$9</f>
        <v>1032.4420672667243</v>
      </c>
      <c r="Y581" s="185">
        <f>Y579*Data!X$9</f>
        <v>1021.096550044013</v>
      </c>
      <c r="Z581" s="185">
        <f>Z579*Data!Y$9</f>
        <v>1009.0964837507606</v>
      </c>
      <c r="AA581" s="185">
        <f>AA579*Data!Z$9</f>
        <v>996.50900162497146</v>
      </c>
      <c r="AB581" s="185">
        <f>AB579*Data!AA$9</f>
        <v>987.59959253486988</v>
      </c>
      <c r="AC581" s="185">
        <f>AC579*Data!AB$9</f>
        <v>0</v>
      </c>
      <c r="AD581" s="185">
        <f>AD579*Data!AC$9</f>
        <v>0</v>
      </c>
      <c r="AE581" s="185">
        <f>AE579*Data!AD$9</f>
        <v>0</v>
      </c>
      <c r="AF581" s="185">
        <f>AF579*Data!AE$9</f>
        <v>0</v>
      </c>
      <c r="AG581" s="185">
        <f>AG579*Data!AF$9</f>
        <v>0</v>
      </c>
      <c r="AH581" s="185">
        <f>AH579*Data!AG$9</f>
        <v>0</v>
      </c>
      <c r="AI581" s="185">
        <f>AI579*Data!AH$9</f>
        <v>0</v>
      </c>
      <c r="AJ581" s="185">
        <f>AJ579*Data!AI$9</f>
        <v>0</v>
      </c>
      <c r="AK581" s="185">
        <f>AK579*Data!AJ$9</f>
        <v>0</v>
      </c>
      <c r="AL581" s="185">
        <f>AL579*Data!AK$9</f>
        <v>0</v>
      </c>
      <c r="AM581" s="185">
        <f>AM579*Data!AL$9</f>
        <v>0</v>
      </c>
      <c r="AN581" s="185">
        <f>AN579*Data!AM$9</f>
        <v>0</v>
      </c>
      <c r="AO581" s="185">
        <f>AO579*Data!AN$9</f>
        <v>0</v>
      </c>
      <c r="AP581" s="14"/>
    </row>
    <row r="582" spans="1:42" outlineLevel="1" x14ac:dyDescent="0.25">
      <c r="A582" s="12"/>
      <c r="B582" s="13"/>
      <c r="C582" s="14" t="s">
        <v>489</v>
      </c>
      <c r="D582" s="13"/>
      <c r="E582" s="15" t="s">
        <v>142</v>
      </c>
      <c r="F582" s="16"/>
      <c r="G582" s="159">
        <f>SUM(H581:AO581)</f>
        <v>20484.711631718135</v>
      </c>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row>
    <row r="583" spans="1:42" outlineLevel="1" x14ac:dyDescent="0.25">
      <c r="A583" s="12"/>
      <c r="B583" s="13"/>
      <c r="C583" s="41" t="s">
        <v>62</v>
      </c>
      <c r="D583" s="41"/>
      <c r="E583" s="15" t="s">
        <v>261</v>
      </c>
      <c r="F583" s="16"/>
      <c r="G583" s="184">
        <f>G582/(SUM(H562:AO562))</f>
        <v>1.9895796068102305E-2</v>
      </c>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7"/>
    </row>
    <row r="584" spans="1:42" outlineLevel="1" x14ac:dyDescent="0.25">
      <c r="A584" s="12"/>
      <c r="B584" s="13"/>
      <c r="C584" s="14"/>
      <c r="D584" s="14"/>
      <c r="E584" s="15"/>
      <c r="F584" s="16"/>
      <c r="G584" s="14"/>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17"/>
    </row>
    <row r="585" spans="1:42" outlineLevel="1" x14ac:dyDescent="0.25">
      <c r="A585" s="12"/>
      <c r="B585" s="13"/>
      <c r="C585" s="45"/>
      <c r="D585" s="45"/>
      <c r="E585" s="15"/>
      <c r="F585" s="16"/>
      <c r="G585" s="14"/>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9"/>
    </row>
    <row r="586" spans="1:42" outlineLevel="1" x14ac:dyDescent="0.25">
      <c r="A586" s="12"/>
      <c r="B586" s="13"/>
      <c r="C586" s="37" t="s">
        <v>578</v>
      </c>
      <c r="D586" s="37"/>
      <c r="E586" s="38"/>
      <c r="F586" s="39"/>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17"/>
    </row>
    <row r="587" spans="1:42" outlineLevel="1" x14ac:dyDescent="0.25">
      <c r="A587" s="12"/>
      <c r="B587" s="13"/>
      <c r="C587" s="14"/>
      <c r="D587" s="14"/>
      <c r="E587" s="15"/>
      <c r="F587" s="16"/>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7"/>
    </row>
    <row r="588" spans="1:42" outlineLevel="1" x14ac:dyDescent="0.25">
      <c r="A588" s="12"/>
      <c r="B588" s="13"/>
      <c r="C588" s="20" t="s">
        <v>252</v>
      </c>
      <c r="D588" s="14"/>
      <c r="E588" s="15"/>
      <c r="F588" s="16"/>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row>
    <row r="589" spans="1:42" outlineLevel="1" x14ac:dyDescent="0.25">
      <c r="A589" s="12"/>
      <c r="B589" s="13"/>
      <c r="C589" t="s">
        <v>520</v>
      </c>
      <c r="D589" s="14"/>
      <c r="E589" s="15" t="s">
        <v>521</v>
      </c>
      <c r="F589" s="16"/>
      <c r="G589" s="14"/>
      <c r="H589" s="141"/>
      <c r="I589" s="141">
        <f t="shared" ref="I589:AO589" si="161">I339</f>
        <v>51480</v>
      </c>
      <c r="J589" s="141">
        <f t="shared" si="161"/>
        <v>51480</v>
      </c>
      <c r="K589" s="141">
        <f t="shared" si="161"/>
        <v>51480</v>
      </c>
      <c r="L589" s="141">
        <f t="shared" si="161"/>
        <v>51480</v>
      </c>
      <c r="M589" s="141">
        <f t="shared" si="161"/>
        <v>51480</v>
      </c>
      <c r="N589" s="141">
        <f t="shared" si="161"/>
        <v>51480</v>
      </c>
      <c r="O589" s="141">
        <f t="shared" si="161"/>
        <v>51480</v>
      </c>
      <c r="P589" s="141">
        <f t="shared" si="161"/>
        <v>51480</v>
      </c>
      <c r="Q589" s="141">
        <f t="shared" si="161"/>
        <v>51480</v>
      </c>
      <c r="R589" s="141">
        <f t="shared" si="161"/>
        <v>51480</v>
      </c>
      <c r="S589" s="141">
        <f t="shared" si="161"/>
        <v>51480</v>
      </c>
      <c r="T589" s="141">
        <f t="shared" si="161"/>
        <v>51480</v>
      </c>
      <c r="U589" s="141">
        <f t="shared" si="161"/>
        <v>0</v>
      </c>
      <c r="V589" s="141">
        <f t="shared" si="161"/>
        <v>0</v>
      </c>
      <c r="W589" s="141">
        <f t="shared" si="161"/>
        <v>0</v>
      </c>
      <c r="X589" s="141">
        <f t="shared" si="161"/>
        <v>0</v>
      </c>
      <c r="Y589" s="141">
        <f t="shared" si="161"/>
        <v>0</v>
      </c>
      <c r="Z589" s="141">
        <f t="shared" si="161"/>
        <v>0</v>
      </c>
      <c r="AA589" s="141">
        <f t="shared" si="161"/>
        <v>0</v>
      </c>
      <c r="AB589" s="141">
        <f t="shared" si="161"/>
        <v>0</v>
      </c>
      <c r="AC589" s="141">
        <f t="shared" si="161"/>
        <v>0</v>
      </c>
      <c r="AD589" s="141">
        <f t="shared" si="161"/>
        <v>0</v>
      </c>
      <c r="AE589" s="141">
        <f t="shared" si="161"/>
        <v>0</v>
      </c>
      <c r="AF589" s="141">
        <f t="shared" si="161"/>
        <v>0</v>
      </c>
      <c r="AG589" s="141">
        <f t="shared" si="161"/>
        <v>0</v>
      </c>
      <c r="AH589" s="141">
        <f t="shared" si="161"/>
        <v>0</v>
      </c>
      <c r="AI589" s="141">
        <f t="shared" si="161"/>
        <v>0</v>
      </c>
      <c r="AJ589" s="141">
        <f t="shared" si="161"/>
        <v>0</v>
      </c>
      <c r="AK589" s="141">
        <f t="shared" si="161"/>
        <v>0</v>
      </c>
      <c r="AL589" s="141">
        <f t="shared" si="161"/>
        <v>0</v>
      </c>
      <c r="AM589" s="141">
        <f t="shared" si="161"/>
        <v>0</v>
      </c>
      <c r="AN589" s="141">
        <f t="shared" si="161"/>
        <v>0</v>
      </c>
      <c r="AO589" s="141">
        <f t="shared" si="161"/>
        <v>0</v>
      </c>
      <c r="AP589" s="14"/>
    </row>
    <row r="590" spans="1:42" outlineLevel="1" x14ac:dyDescent="0.25">
      <c r="A590" s="12"/>
      <c r="B590" s="13"/>
      <c r="C590" s="14" t="s">
        <v>535</v>
      </c>
      <c r="D590" s="14"/>
      <c r="E590" s="15"/>
      <c r="F590" s="16"/>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159"/>
      <c r="AG590" s="14"/>
      <c r="AH590" s="14"/>
      <c r="AI590" s="14"/>
      <c r="AJ590" s="14"/>
      <c r="AK590" s="14"/>
      <c r="AL590" s="14"/>
      <c r="AM590" s="14"/>
      <c r="AN590" s="14"/>
      <c r="AO590" s="14"/>
      <c r="AP590" s="14"/>
    </row>
    <row r="591" spans="1:42" ht="14.25" customHeight="1" outlineLevel="1" x14ac:dyDescent="0.25">
      <c r="A591" s="54"/>
      <c r="B591" s="13"/>
      <c r="C591" s="14" t="s">
        <v>205</v>
      </c>
      <c r="D591" s="14"/>
      <c r="E591" s="70" t="s">
        <v>352</v>
      </c>
      <c r="F591" s="201">
        <f>Data!$E$485/1000</f>
        <v>4.3953694163207466E-3</v>
      </c>
      <c r="G591" s="56"/>
      <c r="H591" s="56"/>
      <c r="I591" s="56">
        <f>I$589*$F$591</f>
        <v>226.27361755219204</v>
      </c>
      <c r="J591" s="56">
        <f t="shared" ref="J591:AP591" si="162">J$589*$F$591</f>
        <v>226.27361755219204</v>
      </c>
      <c r="K591" s="56">
        <f t="shared" si="162"/>
        <v>226.27361755219204</v>
      </c>
      <c r="L591" s="56">
        <f t="shared" si="162"/>
        <v>226.27361755219204</v>
      </c>
      <c r="M591" s="56">
        <f t="shared" si="162"/>
        <v>226.27361755219204</v>
      </c>
      <c r="N591" s="56">
        <f t="shared" si="162"/>
        <v>226.27361755219204</v>
      </c>
      <c r="O591" s="56">
        <f t="shared" si="162"/>
        <v>226.27361755219204</v>
      </c>
      <c r="P591" s="56">
        <f t="shared" si="162"/>
        <v>226.27361755219204</v>
      </c>
      <c r="Q591" s="56">
        <f t="shared" si="162"/>
        <v>226.27361755219204</v>
      </c>
      <c r="R591" s="56">
        <f t="shared" si="162"/>
        <v>226.27361755219204</v>
      </c>
      <c r="S591" s="56">
        <f t="shared" si="162"/>
        <v>226.27361755219204</v>
      </c>
      <c r="T591" s="56">
        <f t="shared" si="162"/>
        <v>226.27361755219204</v>
      </c>
      <c r="U591" s="56">
        <f t="shared" si="162"/>
        <v>0</v>
      </c>
      <c r="V591" s="56">
        <f t="shared" si="162"/>
        <v>0</v>
      </c>
      <c r="W591" s="56">
        <f t="shared" si="162"/>
        <v>0</v>
      </c>
      <c r="X591" s="56">
        <f t="shared" si="162"/>
        <v>0</v>
      </c>
      <c r="Y591" s="56">
        <f t="shared" si="162"/>
        <v>0</v>
      </c>
      <c r="Z591" s="56">
        <f t="shared" si="162"/>
        <v>0</v>
      </c>
      <c r="AA591" s="56">
        <f t="shared" si="162"/>
        <v>0</v>
      </c>
      <c r="AB591" s="56">
        <f t="shared" si="162"/>
        <v>0</v>
      </c>
      <c r="AC591" s="56">
        <f t="shared" si="162"/>
        <v>0</v>
      </c>
      <c r="AD591" s="56">
        <f t="shared" si="162"/>
        <v>0</v>
      </c>
      <c r="AE591" s="56">
        <f t="shared" si="162"/>
        <v>0</v>
      </c>
      <c r="AF591" s="56">
        <f t="shared" si="162"/>
        <v>0</v>
      </c>
      <c r="AG591" s="56">
        <f t="shared" si="162"/>
        <v>0</v>
      </c>
      <c r="AH591" s="56">
        <f t="shared" si="162"/>
        <v>0</v>
      </c>
      <c r="AI591" s="56">
        <f t="shared" si="162"/>
        <v>0</v>
      </c>
      <c r="AJ591" s="56">
        <f t="shared" si="162"/>
        <v>0</v>
      </c>
      <c r="AK591" s="56">
        <f t="shared" si="162"/>
        <v>0</v>
      </c>
      <c r="AL591" s="56">
        <f t="shared" si="162"/>
        <v>0</v>
      </c>
      <c r="AM591" s="56">
        <f t="shared" si="162"/>
        <v>0</v>
      </c>
      <c r="AN591" s="56">
        <f t="shared" si="162"/>
        <v>0</v>
      </c>
      <c r="AO591" s="56">
        <f t="shared" si="162"/>
        <v>0</v>
      </c>
      <c r="AP591" s="56">
        <f t="shared" si="162"/>
        <v>0</v>
      </c>
    </row>
    <row r="592" spans="1:42" outlineLevel="1" x14ac:dyDescent="0.25">
      <c r="A592" s="54"/>
      <c r="B592" s="13"/>
      <c r="C592" s="14" t="s">
        <v>484</v>
      </c>
      <c r="D592" s="14"/>
      <c r="E592" s="70" t="s">
        <v>352</v>
      </c>
      <c r="F592" s="201">
        <f>Data!$E$486/1000</f>
        <v>2.7723529845073447</v>
      </c>
      <c r="G592" s="56"/>
      <c r="H592" s="56"/>
      <c r="I592" s="56">
        <f>I$589*$F$592</f>
        <v>142720.7316424381</v>
      </c>
      <c r="J592" s="56">
        <f t="shared" ref="J592:AP592" si="163">J$589*$F$592</f>
        <v>142720.7316424381</v>
      </c>
      <c r="K592" s="56">
        <f t="shared" si="163"/>
        <v>142720.7316424381</v>
      </c>
      <c r="L592" s="56">
        <f t="shared" si="163"/>
        <v>142720.7316424381</v>
      </c>
      <c r="M592" s="56">
        <f t="shared" si="163"/>
        <v>142720.7316424381</v>
      </c>
      <c r="N592" s="56">
        <f t="shared" si="163"/>
        <v>142720.7316424381</v>
      </c>
      <c r="O592" s="56">
        <f t="shared" si="163"/>
        <v>142720.7316424381</v>
      </c>
      <c r="P592" s="56">
        <f t="shared" si="163"/>
        <v>142720.7316424381</v>
      </c>
      <c r="Q592" s="56">
        <f t="shared" si="163"/>
        <v>142720.7316424381</v>
      </c>
      <c r="R592" s="56">
        <f t="shared" si="163"/>
        <v>142720.7316424381</v>
      </c>
      <c r="S592" s="56">
        <f t="shared" si="163"/>
        <v>142720.7316424381</v>
      </c>
      <c r="T592" s="56">
        <f t="shared" si="163"/>
        <v>142720.7316424381</v>
      </c>
      <c r="U592" s="56">
        <f t="shared" si="163"/>
        <v>0</v>
      </c>
      <c r="V592" s="56">
        <f t="shared" si="163"/>
        <v>0</v>
      </c>
      <c r="W592" s="56">
        <f t="shared" si="163"/>
        <v>0</v>
      </c>
      <c r="X592" s="56">
        <f t="shared" si="163"/>
        <v>0</v>
      </c>
      <c r="Y592" s="56">
        <f t="shared" si="163"/>
        <v>0</v>
      </c>
      <c r="Z592" s="56">
        <f t="shared" si="163"/>
        <v>0</v>
      </c>
      <c r="AA592" s="56">
        <f t="shared" si="163"/>
        <v>0</v>
      </c>
      <c r="AB592" s="56">
        <f t="shared" si="163"/>
        <v>0</v>
      </c>
      <c r="AC592" s="56">
        <f t="shared" si="163"/>
        <v>0</v>
      </c>
      <c r="AD592" s="56">
        <f t="shared" si="163"/>
        <v>0</v>
      </c>
      <c r="AE592" s="56">
        <f t="shared" si="163"/>
        <v>0</v>
      </c>
      <c r="AF592" s="56">
        <f t="shared" si="163"/>
        <v>0</v>
      </c>
      <c r="AG592" s="56">
        <f t="shared" si="163"/>
        <v>0</v>
      </c>
      <c r="AH592" s="56">
        <f t="shared" si="163"/>
        <v>0</v>
      </c>
      <c r="AI592" s="56">
        <f t="shared" si="163"/>
        <v>0</v>
      </c>
      <c r="AJ592" s="56">
        <f t="shared" si="163"/>
        <v>0</v>
      </c>
      <c r="AK592" s="56">
        <f t="shared" si="163"/>
        <v>0</v>
      </c>
      <c r="AL592" s="56">
        <f t="shared" si="163"/>
        <v>0</v>
      </c>
      <c r="AM592" s="56">
        <f t="shared" si="163"/>
        <v>0</v>
      </c>
      <c r="AN592" s="56">
        <f t="shared" si="163"/>
        <v>0</v>
      </c>
      <c r="AO592" s="56">
        <f t="shared" si="163"/>
        <v>0</v>
      </c>
      <c r="AP592" s="56">
        <f t="shared" si="163"/>
        <v>0</v>
      </c>
    </row>
    <row r="593" spans="1:42" outlineLevel="1" x14ac:dyDescent="0.25">
      <c r="A593" s="54"/>
      <c r="B593" s="13"/>
      <c r="C593" s="14" t="s">
        <v>285</v>
      </c>
      <c r="D593" s="14"/>
      <c r="E593" s="70" t="s">
        <v>352</v>
      </c>
      <c r="F593" s="201">
        <f>Data!$E$487/1000</f>
        <v>3.4917477856892727E-4</v>
      </c>
      <c r="G593" s="56"/>
      <c r="H593" s="56"/>
      <c r="I593" s="56">
        <f>I$589*$F$593</f>
        <v>17.975517600728377</v>
      </c>
      <c r="J593" s="56">
        <f t="shared" ref="J593:AP593" si="164">J$589*$F$593</f>
        <v>17.975517600728377</v>
      </c>
      <c r="K593" s="56">
        <f t="shared" si="164"/>
        <v>17.975517600728377</v>
      </c>
      <c r="L593" s="56">
        <f t="shared" si="164"/>
        <v>17.975517600728377</v>
      </c>
      <c r="M593" s="56">
        <f t="shared" si="164"/>
        <v>17.975517600728377</v>
      </c>
      <c r="N593" s="56">
        <f t="shared" si="164"/>
        <v>17.975517600728377</v>
      </c>
      <c r="O593" s="56">
        <f t="shared" si="164"/>
        <v>17.975517600728377</v>
      </c>
      <c r="P593" s="56">
        <f t="shared" si="164"/>
        <v>17.975517600728377</v>
      </c>
      <c r="Q593" s="56">
        <f t="shared" si="164"/>
        <v>17.975517600728377</v>
      </c>
      <c r="R593" s="56">
        <f t="shared" si="164"/>
        <v>17.975517600728377</v>
      </c>
      <c r="S593" s="56">
        <f t="shared" si="164"/>
        <v>17.975517600728377</v>
      </c>
      <c r="T593" s="56">
        <f t="shared" si="164"/>
        <v>17.975517600728377</v>
      </c>
      <c r="U593" s="56">
        <f t="shared" si="164"/>
        <v>0</v>
      </c>
      <c r="V593" s="56">
        <f t="shared" si="164"/>
        <v>0</v>
      </c>
      <c r="W593" s="56">
        <f t="shared" si="164"/>
        <v>0</v>
      </c>
      <c r="X593" s="56">
        <f t="shared" si="164"/>
        <v>0</v>
      </c>
      <c r="Y593" s="56">
        <f t="shared" si="164"/>
        <v>0</v>
      </c>
      <c r="Z593" s="56">
        <f t="shared" si="164"/>
        <v>0</v>
      </c>
      <c r="AA593" s="56">
        <f t="shared" si="164"/>
        <v>0</v>
      </c>
      <c r="AB593" s="56">
        <f t="shared" si="164"/>
        <v>0</v>
      </c>
      <c r="AC593" s="56">
        <f t="shared" si="164"/>
        <v>0</v>
      </c>
      <c r="AD593" s="56">
        <f t="shared" si="164"/>
        <v>0</v>
      </c>
      <c r="AE593" s="56">
        <f t="shared" si="164"/>
        <v>0</v>
      </c>
      <c r="AF593" s="56">
        <f t="shared" si="164"/>
        <v>0</v>
      </c>
      <c r="AG593" s="56">
        <f t="shared" si="164"/>
        <v>0</v>
      </c>
      <c r="AH593" s="56">
        <f t="shared" si="164"/>
        <v>0</v>
      </c>
      <c r="AI593" s="56">
        <f t="shared" si="164"/>
        <v>0</v>
      </c>
      <c r="AJ593" s="56">
        <f t="shared" si="164"/>
        <v>0</v>
      </c>
      <c r="AK593" s="56">
        <f t="shared" si="164"/>
        <v>0</v>
      </c>
      <c r="AL593" s="56">
        <f t="shared" si="164"/>
        <v>0</v>
      </c>
      <c r="AM593" s="56">
        <f t="shared" si="164"/>
        <v>0</v>
      </c>
      <c r="AN593" s="56">
        <f t="shared" si="164"/>
        <v>0</v>
      </c>
      <c r="AO593" s="56">
        <f t="shared" si="164"/>
        <v>0</v>
      </c>
      <c r="AP593" s="56">
        <f t="shared" si="164"/>
        <v>0</v>
      </c>
    </row>
    <row r="594" spans="1:42" outlineLevel="1" x14ac:dyDescent="0.25">
      <c r="A594" s="54"/>
      <c r="B594" s="13"/>
      <c r="C594" s="14" t="s">
        <v>220</v>
      </c>
      <c r="D594" s="14"/>
      <c r="E594" s="70" t="s">
        <v>352</v>
      </c>
      <c r="F594" s="201">
        <f>Data!$E$488/1000</f>
        <v>1.5499642131509336E-2</v>
      </c>
      <c r="G594" s="56"/>
      <c r="H594" s="56"/>
      <c r="I594" s="56">
        <f>I$589*$F$594</f>
        <v>797.92157693010063</v>
      </c>
      <c r="J594" s="56">
        <f t="shared" ref="J594:AP594" si="165">J$589*$F$594</f>
        <v>797.92157693010063</v>
      </c>
      <c r="K594" s="56">
        <f t="shared" si="165"/>
        <v>797.92157693010063</v>
      </c>
      <c r="L594" s="56">
        <f t="shared" si="165"/>
        <v>797.92157693010063</v>
      </c>
      <c r="M594" s="56">
        <f t="shared" si="165"/>
        <v>797.92157693010063</v>
      </c>
      <c r="N594" s="56">
        <f t="shared" si="165"/>
        <v>797.92157693010063</v>
      </c>
      <c r="O594" s="56">
        <f t="shared" si="165"/>
        <v>797.92157693010063</v>
      </c>
      <c r="P594" s="56">
        <f t="shared" si="165"/>
        <v>797.92157693010063</v>
      </c>
      <c r="Q594" s="56">
        <f t="shared" si="165"/>
        <v>797.92157693010063</v>
      </c>
      <c r="R594" s="56">
        <f t="shared" si="165"/>
        <v>797.92157693010063</v>
      </c>
      <c r="S594" s="56">
        <f t="shared" si="165"/>
        <v>797.92157693010063</v>
      </c>
      <c r="T594" s="56">
        <f t="shared" si="165"/>
        <v>797.92157693010063</v>
      </c>
      <c r="U594" s="56">
        <f t="shared" si="165"/>
        <v>0</v>
      </c>
      <c r="V594" s="56">
        <f t="shared" si="165"/>
        <v>0</v>
      </c>
      <c r="W594" s="56">
        <f t="shared" si="165"/>
        <v>0</v>
      </c>
      <c r="X594" s="56">
        <f t="shared" si="165"/>
        <v>0</v>
      </c>
      <c r="Y594" s="56">
        <f t="shared" si="165"/>
        <v>0</v>
      </c>
      <c r="Z594" s="56">
        <f t="shared" si="165"/>
        <v>0</v>
      </c>
      <c r="AA594" s="56">
        <f t="shared" si="165"/>
        <v>0</v>
      </c>
      <c r="AB594" s="56">
        <f t="shared" si="165"/>
        <v>0</v>
      </c>
      <c r="AC594" s="56">
        <f t="shared" si="165"/>
        <v>0</v>
      </c>
      <c r="AD594" s="56">
        <f t="shared" si="165"/>
        <v>0</v>
      </c>
      <c r="AE594" s="56">
        <f t="shared" si="165"/>
        <v>0</v>
      </c>
      <c r="AF594" s="56">
        <f t="shared" si="165"/>
        <v>0</v>
      </c>
      <c r="AG594" s="56">
        <f t="shared" si="165"/>
        <v>0</v>
      </c>
      <c r="AH594" s="56">
        <f t="shared" si="165"/>
        <v>0</v>
      </c>
      <c r="AI594" s="56">
        <f t="shared" si="165"/>
        <v>0</v>
      </c>
      <c r="AJ594" s="56">
        <f t="shared" si="165"/>
        <v>0</v>
      </c>
      <c r="AK594" s="56">
        <f t="shared" si="165"/>
        <v>0</v>
      </c>
      <c r="AL594" s="56">
        <f t="shared" si="165"/>
        <v>0</v>
      </c>
      <c r="AM594" s="56">
        <f t="shared" si="165"/>
        <v>0</v>
      </c>
      <c r="AN594" s="56">
        <f t="shared" si="165"/>
        <v>0</v>
      </c>
      <c r="AO594" s="56">
        <f t="shared" si="165"/>
        <v>0</v>
      </c>
      <c r="AP594" s="56">
        <f t="shared" si="165"/>
        <v>0</v>
      </c>
    </row>
    <row r="595" spans="1:42" outlineLevel="1" x14ac:dyDescent="0.25">
      <c r="A595" s="54"/>
      <c r="B595" s="13"/>
      <c r="C595" s="14" t="s">
        <v>212</v>
      </c>
      <c r="D595" s="14"/>
      <c r="E595" s="70" t="s">
        <v>352</v>
      </c>
      <c r="F595" s="201">
        <f>Data!$E$489/1000</f>
        <v>1.7773516852597467E-3</v>
      </c>
      <c r="G595" s="56"/>
      <c r="H595" s="56"/>
      <c r="I595" s="56">
        <f>I$589*$F$595</f>
        <v>91.498064757171761</v>
      </c>
      <c r="J595" s="56">
        <f t="shared" ref="J595:AP595" si="166">J$589*$F$595</f>
        <v>91.498064757171761</v>
      </c>
      <c r="K595" s="56">
        <f t="shared" si="166"/>
        <v>91.498064757171761</v>
      </c>
      <c r="L595" s="56">
        <f t="shared" si="166"/>
        <v>91.498064757171761</v>
      </c>
      <c r="M595" s="56">
        <f t="shared" si="166"/>
        <v>91.498064757171761</v>
      </c>
      <c r="N595" s="56">
        <f t="shared" si="166"/>
        <v>91.498064757171761</v>
      </c>
      <c r="O595" s="56">
        <f t="shared" si="166"/>
        <v>91.498064757171761</v>
      </c>
      <c r="P595" s="56">
        <f t="shared" si="166"/>
        <v>91.498064757171761</v>
      </c>
      <c r="Q595" s="56">
        <f t="shared" si="166"/>
        <v>91.498064757171761</v>
      </c>
      <c r="R595" s="56">
        <f t="shared" si="166"/>
        <v>91.498064757171761</v>
      </c>
      <c r="S595" s="56">
        <f t="shared" si="166"/>
        <v>91.498064757171761</v>
      </c>
      <c r="T595" s="56">
        <f t="shared" si="166"/>
        <v>91.498064757171761</v>
      </c>
      <c r="U595" s="56">
        <f t="shared" si="166"/>
        <v>0</v>
      </c>
      <c r="V595" s="56">
        <f t="shared" si="166"/>
        <v>0</v>
      </c>
      <c r="W595" s="56">
        <f t="shared" si="166"/>
        <v>0</v>
      </c>
      <c r="X595" s="56">
        <f t="shared" si="166"/>
        <v>0</v>
      </c>
      <c r="Y595" s="56">
        <f t="shared" si="166"/>
        <v>0</v>
      </c>
      <c r="Z595" s="56">
        <f t="shared" si="166"/>
        <v>0</v>
      </c>
      <c r="AA595" s="56">
        <f t="shared" si="166"/>
        <v>0</v>
      </c>
      <c r="AB595" s="56">
        <f t="shared" si="166"/>
        <v>0</v>
      </c>
      <c r="AC595" s="56">
        <f t="shared" si="166"/>
        <v>0</v>
      </c>
      <c r="AD595" s="56">
        <f t="shared" si="166"/>
        <v>0</v>
      </c>
      <c r="AE595" s="56">
        <f t="shared" si="166"/>
        <v>0</v>
      </c>
      <c r="AF595" s="56">
        <f t="shared" si="166"/>
        <v>0</v>
      </c>
      <c r="AG595" s="56">
        <f t="shared" si="166"/>
        <v>0</v>
      </c>
      <c r="AH595" s="56">
        <f t="shared" si="166"/>
        <v>0</v>
      </c>
      <c r="AI595" s="56">
        <f t="shared" si="166"/>
        <v>0</v>
      </c>
      <c r="AJ595" s="56">
        <f t="shared" si="166"/>
        <v>0</v>
      </c>
      <c r="AK595" s="56">
        <f t="shared" si="166"/>
        <v>0</v>
      </c>
      <c r="AL595" s="56">
        <f t="shared" si="166"/>
        <v>0</v>
      </c>
      <c r="AM595" s="56">
        <f t="shared" si="166"/>
        <v>0</v>
      </c>
      <c r="AN595" s="56">
        <f t="shared" si="166"/>
        <v>0</v>
      </c>
      <c r="AO595" s="56">
        <f t="shared" si="166"/>
        <v>0</v>
      </c>
      <c r="AP595" s="56">
        <f t="shared" si="166"/>
        <v>0</v>
      </c>
    </row>
    <row r="596" spans="1:42" outlineLevel="1" x14ac:dyDescent="0.25">
      <c r="A596" s="54"/>
      <c r="B596" s="13"/>
      <c r="C596" s="14" t="s">
        <v>485</v>
      </c>
      <c r="D596" s="14"/>
      <c r="E596" s="70" t="s">
        <v>352</v>
      </c>
      <c r="F596" s="201">
        <f>Data!$E$490/1000</f>
        <v>3.8228686252612731E-4</v>
      </c>
      <c r="G596" s="56"/>
      <c r="H596" s="56"/>
      <c r="I596" s="56">
        <f>I$589*$F$596</f>
        <v>19.680127682845033</v>
      </c>
      <c r="J596" s="56">
        <f t="shared" ref="J596:AP596" si="167">J$589*$F$596</f>
        <v>19.680127682845033</v>
      </c>
      <c r="K596" s="56">
        <f t="shared" si="167"/>
        <v>19.680127682845033</v>
      </c>
      <c r="L596" s="56">
        <f t="shared" si="167"/>
        <v>19.680127682845033</v>
      </c>
      <c r="M596" s="56">
        <f t="shared" si="167"/>
        <v>19.680127682845033</v>
      </c>
      <c r="N596" s="56">
        <f t="shared" si="167"/>
        <v>19.680127682845033</v>
      </c>
      <c r="O596" s="56">
        <f t="shared" si="167"/>
        <v>19.680127682845033</v>
      </c>
      <c r="P596" s="56">
        <f t="shared" si="167"/>
        <v>19.680127682845033</v>
      </c>
      <c r="Q596" s="56">
        <f t="shared" si="167"/>
        <v>19.680127682845033</v>
      </c>
      <c r="R596" s="56">
        <f t="shared" si="167"/>
        <v>19.680127682845033</v>
      </c>
      <c r="S596" s="56">
        <f t="shared" si="167"/>
        <v>19.680127682845033</v>
      </c>
      <c r="T596" s="56">
        <f t="shared" si="167"/>
        <v>19.680127682845033</v>
      </c>
      <c r="U596" s="56">
        <f t="shared" si="167"/>
        <v>0</v>
      </c>
      <c r="V596" s="56">
        <f t="shared" si="167"/>
        <v>0</v>
      </c>
      <c r="W596" s="56">
        <f t="shared" si="167"/>
        <v>0</v>
      </c>
      <c r="X596" s="56">
        <f t="shared" si="167"/>
        <v>0</v>
      </c>
      <c r="Y596" s="56">
        <f t="shared" si="167"/>
        <v>0</v>
      </c>
      <c r="Z596" s="56">
        <f t="shared" si="167"/>
        <v>0</v>
      </c>
      <c r="AA596" s="56">
        <f t="shared" si="167"/>
        <v>0</v>
      </c>
      <c r="AB596" s="56">
        <f t="shared" si="167"/>
        <v>0</v>
      </c>
      <c r="AC596" s="56">
        <f t="shared" si="167"/>
        <v>0</v>
      </c>
      <c r="AD596" s="56">
        <f t="shared" si="167"/>
        <v>0</v>
      </c>
      <c r="AE596" s="56">
        <f t="shared" si="167"/>
        <v>0</v>
      </c>
      <c r="AF596" s="56">
        <f t="shared" si="167"/>
        <v>0</v>
      </c>
      <c r="AG596" s="56">
        <f t="shared" si="167"/>
        <v>0</v>
      </c>
      <c r="AH596" s="56">
        <f t="shared" si="167"/>
        <v>0</v>
      </c>
      <c r="AI596" s="56">
        <f t="shared" si="167"/>
        <v>0</v>
      </c>
      <c r="AJ596" s="56">
        <f t="shared" si="167"/>
        <v>0</v>
      </c>
      <c r="AK596" s="56">
        <f t="shared" si="167"/>
        <v>0</v>
      </c>
      <c r="AL596" s="56">
        <f t="shared" si="167"/>
        <v>0</v>
      </c>
      <c r="AM596" s="56">
        <f t="shared" si="167"/>
        <v>0</v>
      </c>
      <c r="AN596" s="56">
        <f t="shared" si="167"/>
        <v>0</v>
      </c>
      <c r="AO596" s="56">
        <f t="shared" si="167"/>
        <v>0</v>
      </c>
      <c r="AP596" s="56">
        <f t="shared" si="167"/>
        <v>0</v>
      </c>
    </row>
    <row r="597" spans="1:42" outlineLevel="1" x14ac:dyDescent="0.25">
      <c r="A597" s="54"/>
      <c r="B597" s="13"/>
      <c r="C597" s="14" t="s">
        <v>214</v>
      </c>
      <c r="D597" s="14"/>
      <c r="E597" s="70" t="s">
        <v>352</v>
      </c>
      <c r="F597" s="201">
        <f>Data!$E$491/1000</f>
        <v>4.1005175397632309E-5</v>
      </c>
      <c r="G597" s="56"/>
      <c r="H597" s="56"/>
      <c r="I597" s="56">
        <f>I$589*$F$597</f>
        <v>2.1109464294701112</v>
      </c>
      <c r="J597" s="56">
        <f t="shared" ref="J597:AP597" si="168">J$589*$F$597</f>
        <v>2.1109464294701112</v>
      </c>
      <c r="K597" s="56">
        <f t="shared" si="168"/>
        <v>2.1109464294701112</v>
      </c>
      <c r="L597" s="56">
        <f t="shared" si="168"/>
        <v>2.1109464294701112</v>
      </c>
      <c r="M597" s="56">
        <f t="shared" si="168"/>
        <v>2.1109464294701112</v>
      </c>
      <c r="N597" s="56">
        <f t="shared" si="168"/>
        <v>2.1109464294701112</v>
      </c>
      <c r="O597" s="56">
        <f t="shared" si="168"/>
        <v>2.1109464294701112</v>
      </c>
      <c r="P597" s="56">
        <f t="shared" si="168"/>
        <v>2.1109464294701112</v>
      </c>
      <c r="Q597" s="56">
        <f t="shared" si="168"/>
        <v>2.1109464294701112</v>
      </c>
      <c r="R597" s="56">
        <f t="shared" si="168"/>
        <v>2.1109464294701112</v>
      </c>
      <c r="S597" s="56">
        <f t="shared" si="168"/>
        <v>2.1109464294701112</v>
      </c>
      <c r="T597" s="56">
        <f t="shared" si="168"/>
        <v>2.1109464294701112</v>
      </c>
      <c r="U597" s="56">
        <f t="shared" si="168"/>
        <v>0</v>
      </c>
      <c r="V597" s="56">
        <f t="shared" si="168"/>
        <v>0</v>
      </c>
      <c r="W597" s="56">
        <f t="shared" si="168"/>
        <v>0</v>
      </c>
      <c r="X597" s="56">
        <f t="shared" si="168"/>
        <v>0</v>
      </c>
      <c r="Y597" s="56">
        <f t="shared" si="168"/>
        <v>0</v>
      </c>
      <c r="Z597" s="56">
        <f t="shared" si="168"/>
        <v>0</v>
      </c>
      <c r="AA597" s="56">
        <f t="shared" si="168"/>
        <v>0</v>
      </c>
      <c r="AB597" s="56">
        <f t="shared" si="168"/>
        <v>0</v>
      </c>
      <c r="AC597" s="56">
        <f t="shared" si="168"/>
        <v>0</v>
      </c>
      <c r="AD597" s="56">
        <f t="shared" si="168"/>
        <v>0</v>
      </c>
      <c r="AE597" s="56">
        <f t="shared" si="168"/>
        <v>0</v>
      </c>
      <c r="AF597" s="56">
        <f t="shared" si="168"/>
        <v>0</v>
      </c>
      <c r="AG597" s="56">
        <f t="shared" si="168"/>
        <v>0</v>
      </c>
      <c r="AH597" s="56">
        <f t="shared" si="168"/>
        <v>0</v>
      </c>
      <c r="AI597" s="56">
        <f t="shared" si="168"/>
        <v>0</v>
      </c>
      <c r="AJ597" s="56">
        <f t="shared" si="168"/>
        <v>0</v>
      </c>
      <c r="AK597" s="56">
        <f t="shared" si="168"/>
        <v>0</v>
      </c>
      <c r="AL597" s="56">
        <f t="shared" si="168"/>
        <v>0</v>
      </c>
      <c r="AM597" s="56">
        <f t="shared" si="168"/>
        <v>0</v>
      </c>
      <c r="AN597" s="56">
        <f t="shared" si="168"/>
        <v>0</v>
      </c>
      <c r="AO597" s="56">
        <f t="shared" si="168"/>
        <v>0</v>
      </c>
      <c r="AP597" s="56">
        <f t="shared" si="168"/>
        <v>0</v>
      </c>
    </row>
    <row r="598" spans="1:42" outlineLevel="1" x14ac:dyDescent="0.25">
      <c r="A598" s="12"/>
      <c r="B598" s="13"/>
      <c r="C598" s="14"/>
      <c r="D598" s="14"/>
      <c r="E598" s="15"/>
      <c r="F598" s="16"/>
      <c r="G598" s="159"/>
      <c r="H598" s="56"/>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row>
    <row r="599" spans="1:42" outlineLevel="1" x14ac:dyDescent="0.25">
      <c r="A599" s="54"/>
      <c r="B599" s="13"/>
      <c r="C599" s="14" t="s">
        <v>205</v>
      </c>
      <c r="D599" s="14"/>
      <c r="E599" s="70" t="s">
        <v>474</v>
      </c>
      <c r="F599" s="200">
        <f>Data!$E$35/1000</f>
        <v>3.4099438202247192E-3</v>
      </c>
      <c r="G599" s="56"/>
      <c r="H599" s="56"/>
      <c r="I599" s="56">
        <f>I591*$F$599</f>
        <v>0.77158032385198883</v>
      </c>
      <c r="J599" s="56">
        <f t="shared" ref="J599:AP599" si="169">J591*$F$599</f>
        <v>0.77158032385198883</v>
      </c>
      <c r="K599" s="56">
        <f t="shared" si="169"/>
        <v>0.77158032385198883</v>
      </c>
      <c r="L599" s="56">
        <f t="shared" si="169"/>
        <v>0.77158032385198883</v>
      </c>
      <c r="M599" s="56">
        <f t="shared" si="169"/>
        <v>0.77158032385198883</v>
      </c>
      <c r="N599" s="56">
        <f t="shared" si="169"/>
        <v>0.77158032385198883</v>
      </c>
      <c r="O599" s="56">
        <f t="shared" si="169"/>
        <v>0.77158032385198883</v>
      </c>
      <c r="P599" s="56">
        <f t="shared" si="169"/>
        <v>0.77158032385198883</v>
      </c>
      <c r="Q599" s="56">
        <f t="shared" si="169"/>
        <v>0.77158032385198883</v>
      </c>
      <c r="R599" s="56">
        <f t="shared" si="169"/>
        <v>0.77158032385198883</v>
      </c>
      <c r="S599" s="56">
        <f t="shared" si="169"/>
        <v>0.77158032385198883</v>
      </c>
      <c r="T599" s="56">
        <f t="shared" si="169"/>
        <v>0.77158032385198883</v>
      </c>
      <c r="U599" s="56">
        <f t="shared" si="169"/>
        <v>0</v>
      </c>
      <c r="V599" s="56">
        <f t="shared" si="169"/>
        <v>0</v>
      </c>
      <c r="W599" s="56">
        <f t="shared" si="169"/>
        <v>0</v>
      </c>
      <c r="X599" s="56">
        <f t="shared" si="169"/>
        <v>0</v>
      </c>
      <c r="Y599" s="56">
        <f t="shared" si="169"/>
        <v>0</v>
      </c>
      <c r="Z599" s="56">
        <f t="shared" si="169"/>
        <v>0</v>
      </c>
      <c r="AA599" s="56">
        <f t="shared" si="169"/>
        <v>0</v>
      </c>
      <c r="AB599" s="56">
        <f t="shared" si="169"/>
        <v>0</v>
      </c>
      <c r="AC599" s="56">
        <f t="shared" si="169"/>
        <v>0</v>
      </c>
      <c r="AD599" s="56">
        <f t="shared" si="169"/>
        <v>0</v>
      </c>
      <c r="AE599" s="56">
        <f t="shared" si="169"/>
        <v>0</v>
      </c>
      <c r="AF599" s="56">
        <f t="shared" si="169"/>
        <v>0</v>
      </c>
      <c r="AG599" s="56">
        <f t="shared" si="169"/>
        <v>0</v>
      </c>
      <c r="AH599" s="56">
        <f t="shared" si="169"/>
        <v>0</v>
      </c>
      <c r="AI599" s="56">
        <f t="shared" si="169"/>
        <v>0</v>
      </c>
      <c r="AJ599" s="56">
        <f t="shared" si="169"/>
        <v>0</v>
      </c>
      <c r="AK599" s="56">
        <f t="shared" si="169"/>
        <v>0</v>
      </c>
      <c r="AL599" s="56">
        <f t="shared" si="169"/>
        <v>0</v>
      </c>
      <c r="AM599" s="56">
        <f t="shared" si="169"/>
        <v>0</v>
      </c>
      <c r="AN599" s="56">
        <f t="shared" si="169"/>
        <v>0</v>
      </c>
      <c r="AO599" s="56">
        <f t="shared" si="169"/>
        <v>0</v>
      </c>
      <c r="AP599" s="56">
        <f t="shared" si="169"/>
        <v>0</v>
      </c>
    </row>
    <row r="600" spans="1:42" outlineLevel="1" x14ac:dyDescent="0.25">
      <c r="A600" s="54"/>
      <c r="B600" s="13"/>
      <c r="C600" s="14" t="s">
        <v>484</v>
      </c>
      <c r="D600" s="14"/>
      <c r="E600" s="70" t="s">
        <v>474</v>
      </c>
      <c r="F600" s="200"/>
      <c r="G600" s="56"/>
      <c r="H600" s="56"/>
      <c r="I600" s="56">
        <f>I592*Data!H$16/1000</f>
        <v>13843.910969316496</v>
      </c>
      <c r="J600" s="56">
        <f>J592*Data!I$16/1000</f>
        <v>15271.118285740877</v>
      </c>
      <c r="K600" s="56">
        <f>K592*Data!J$16/1000</f>
        <v>16555.60487052282</v>
      </c>
      <c r="L600" s="56">
        <f>L592*Data!K$16/1000</f>
        <v>17982.812186947202</v>
      </c>
      <c r="M600" s="56">
        <f>M592*Data!L$16/1000</f>
        <v>19410.019503371583</v>
      </c>
      <c r="N600" s="56">
        <f>N592*Data!M$16/1000</f>
        <v>20837.226819795964</v>
      </c>
      <c r="O600" s="56">
        <f>O592*Data!N$16/1000</f>
        <v>22121.713404577902</v>
      </c>
      <c r="P600" s="56">
        <f>P592*Data!O$16/1000</f>
        <v>22978.037794432537</v>
      </c>
      <c r="Q600" s="56">
        <f>Q592*Data!P$16/1000</f>
        <v>23834.362184287162</v>
      </c>
      <c r="R600" s="56">
        <f>R592*Data!Q$16/1000</f>
        <v>24833.407305784229</v>
      </c>
      <c r="S600" s="56">
        <f>S592*Data!R$16/1000</f>
        <v>25689.731695638857</v>
      </c>
      <c r="T600" s="56">
        <f>T592*Data!S$16/1000</f>
        <v>26546.056085493485</v>
      </c>
      <c r="U600" s="56">
        <f>U592*Data!T$16/1000</f>
        <v>0</v>
      </c>
      <c r="V600" s="56">
        <f>V592*Data!U$16/1000</f>
        <v>0</v>
      </c>
      <c r="W600" s="56">
        <f>W592*Data!V$16/1000</f>
        <v>0</v>
      </c>
      <c r="X600" s="56">
        <f>X592*Data!W$16/1000</f>
        <v>0</v>
      </c>
      <c r="Y600" s="56">
        <f>Y592*Data!X$16/1000</f>
        <v>0</v>
      </c>
      <c r="Z600" s="56">
        <f>Z592*Data!Y$16/1000</f>
        <v>0</v>
      </c>
      <c r="AA600" s="56">
        <f>AA592*Data!Z$16/1000</f>
        <v>0</v>
      </c>
      <c r="AB600" s="56">
        <f>AB592*Data!AA$16/1000</f>
        <v>0</v>
      </c>
      <c r="AC600" s="56">
        <f>AC592*Data!AB$16/1000</f>
        <v>0</v>
      </c>
      <c r="AD600" s="56">
        <f>AD592*Data!AC$16/1000</f>
        <v>0</v>
      </c>
      <c r="AE600" s="56">
        <f>AE592*Data!AD$16/1000</f>
        <v>0</v>
      </c>
      <c r="AF600" s="56">
        <f>AF592*Data!AE$16/1000</f>
        <v>0</v>
      </c>
      <c r="AG600" s="56">
        <f>AG592*Data!AF$16/1000</f>
        <v>0</v>
      </c>
      <c r="AH600" s="56">
        <f>AH592*Data!AG$16/1000</f>
        <v>0</v>
      </c>
      <c r="AI600" s="56">
        <f>AI592*Data!AH$16/1000</f>
        <v>0</v>
      </c>
      <c r="AJ600" s="56">
        <f>AJ592*Data!AI$16/1000</f>
        <v>0</v>
      </c>
      <c r="AK600" s="56">
        <f>AK592*Data!AJ$16/1000</f>
        <v>0</v>
      </c>
      <c r="AL600" s="56">
        <f>AL592*Data!AK$16/1000</f>
        <v>0</v>
      </c>
      <c r="AM600" s="56">
        <f>AM592*Data!AL$16/1000</f>
        <v>0</v>
      </c>
      <c r="AN600" s="56">
        <f>AN592*Data!AM$16/1000</f>
        <v>0</v>
      </c>
      <c r="AO600" s="56">
        <f>AO592*Data!AN$16/1000</f>
        <v>0</v>
      </c>
      <c r="AP600" s="56">
        <f>AP592*Data!AO$16/1000</f>
        <v>0</v>
      </c>
    </row>
    <row r="601" spans="1:42" outlineLevel="1" x14ac:dyDescent="0.25">
      <c r="A601" s="54"/>
      <c r="B601" s="13"/>
      <c r="C601" s="14" t="s">
        <v>285</v>
      </c>
      <c r="D601" s="14"/>
      <c r="E601" s="70" t="s">
        <v>474</v>
      </c>
      <c r="F601" s="200">
        <f>Data!$E$36/1000</f>
        <v>1.0822865168539326</v>
      </c>
      <c r="G601" s="56"/>
      <c r="H601" s="56"/>
      <c r="I601" s="56">
        <f>I593*$F$601</f>
        <v>19.454660332738875</v>
      </c>
      <c r="J601" s="56">
        <f t="shared" ref="J601:AO601" si="170">J593*$F$601</f>
        <v>19.454660332738875</v>
      </c>
      <c r="K601" s="56">
        <f t="shared" si="170"/>
        <v>19.454660332738875</v>
      </c>
      <c r="L601" s="56">
        <f t="shared" si="170"/>
        <v>19.454660332738875</v>
      </c>
      <c r="M601" s="56">
        <f t="shared" si="170"/>
        <v>19.454660332738875</v>
      </c>
      <c r="N601" s="56">
        <f t="shared" si="170"/>
        <v>19.454660332738875</v>
      </c>
      <c r="O601" s="56">
        <f t="shared" si="170"/>
        <v>19.454660332738875</v>
      </c>
      <c r="P601" s="56">
        <f t="shared" si="170"/>
        <v>19.454660332738875</v>
      </c>
      <c r="Q601" s="56">
        <f t="shared" si="170"/>
        <v>19.454660332738875</v>
      </c>
      <c r="R601" s="56">
        <f t="shared" si="170"/>
        <v>19.454660332738875</v>
      </c>
      <c r="S601" s="56">
        <f t="shared" si="170"/>
        <v>19.454660332738875</v>
      </c>
      <c r="T601" s="56">
        <f t="shared" si="170"/>
        <v>19.454660332738875</v>
      </c>
      <c r="U601" s="56">
        <f t="shared" si="170"/>
        <v>0</v>
      </c>
      <c r="V601" s="56">
        <f t="shared" si="170"/>
        <v>0</v>
      </c>
      <c r="W601" s="56">
        <f t="shared" si="170"/>
        <v>0</v>
      </c>
      <c r="X601" s="56">
        <f t="shared" si="170"/>
        <v>0</v>
      </c>
      <c r="Y601" s="56">
        <f t="shared" si="170"/>
        <v>0</v>
      </c>
      <c r="Z601" s="56">
        <f t="shared" si="170"/>
        <v>0</v>
      </c>
      <c r="AA601" s="56">
        <f t="shared" si="170"/>
        <v>0</v>
      </c>
      <c r="AB601" s="56">
        <f t="shared" si="170"/>
        <v>0</v>
      </c>
      <c r="AC601" s="56">
        <f t="shared" si="170"/>
        <v>0</v>
      </c>
      <c r="AD601" s="56">
        <f t="shared" si="170"/>
        <v>0</v>
      </c>
      <c r="AE601" s="56">
        <f t="shared" si="170"/>
        <v>0</v>
      </c>
      <c r="AF601" s="56">
        <f t="shared" si="170"/>
        <v>0</v>
      </c>
      <c r="AG601" s="56">
        <f t="shared" si="170"/>
        <v>0</v>
      </c>
      <c r="AH601" s="56">
        <f t="shared" si="170"/>
        <v>0</v>
      </c>
      <c r="AI601" s="56">
        <f t="shared" si="170"/>
        <v>0</v>
      </c>
      <c r="AJ601" s="56">
        <f t="shared" si="170"/>
        <v>0</v>
      </c>
      <c r="AK601" s="56">
        <f t="shared" si="170"/>
        <v>0</v>
      </c>
      <c r="AL601" s="56">
        <f t="shared" si="170"/>
        <v>0</v>
      </c>
      <c r="AM601" s="56">
        <f t="shared" si="170"/>
        <v>0</v>
      </c>
      <c r="AN601" s="56">
        <f t="shared" si="170"/>
        <v>0</v>
      </c>
      <c r="AO601" s="56">
        <f t="shared" si="170"/>
        <v>0</v>
      </c>
      <c r="AP601" s="56">
        <f>AP593*$F$601</f>
        <v>0</v>
      </c>
    </row>
    <row r="602" spans="1:42" outlineLevel="1" x14ac:dyDescent="0.25">
      <c r="A602" s="54"/>
      <c r="B602" s="13"/>
      <c r="C602" s="14" t="s">
        <v>220</v>
      </c>
      <c r="D602" s="14"/>
      <c r="E602" s="70" t="s">
        <v>474</v>
      </c>
      <c r="F602" s="200">
        <f>Data!$E$37/1000</f>
        <v>371.00188764044947</v>
      </c>
      <c r="G602" s="56"/>
      <c r="H602" s="56"/>
      <c r="I602" s="56">
        <f>I594*$F$602</f>
        <v>296030.41123011144</v>
      </c>
      <c r="J602" s="56">
        <f t="shared" ref="J602:AP602" si="171">J594*$F$602</f>
        <v>296030.41123011144</v>
      </c>
      <c r="K602" s="56">
        <f t="shared" si="171"/>
        <v>296030.41123011144</v>
      </c>
      <c r="L602" s="56">
        <f t="shared" si="171"/>
        <v>296030.41123011144</v>
      </c>
      <c r="M602" s="56">
        <f t="shared" si="171"/>
        <v>296030.41123011144</v>
      </c>
      <c r="N602" s="56">
        <f t="shared" si="171"/>
        <v>296030.41123011144</v>
      </c>
      <c r="O602" s="56">
        <f t="shared" si="171"/>
        <v>296030.41123011144</v>
      </c>
      <c r="P602" s="56">
        <f t="shared" si="171"/>
        <v>296030.41123011144</v>
      </c>
      <c r="Q602" s="56">
        <f t="shared" si="171"/>
        <v>296030.41123011144</v>
      </c>
      <c r="R602" s="56">
        <f t="shared" si="171"/>
        <v>296030.41123011144</v>
      </c>
      <c r="S602" s="56">
        <f t="shared" si="171"/>
        <v>296030.41123011144</v>
      </c>
      <c r="T602" s="56">
        <f t="shared" si="171"/>
        <v>296030.41123011144</v>
      </c>
      <c r="U602" s="56">
        <f t="shared" si="171"/>
        <v>0</v>
      </c>
      <c r="V602" s="56">
        <f t="shared" si="171"/>
        <v>0</v>
      </c>
      <c r="W602" s="56">
        <f t="shared" si="171"/>
        <v>0</v>
      </c>
      <c r="X602" s="56">
        <f t="shared" si="171"/>
        <v>0</v>
      </c>
      <c r="Y602" s="56">
        <f t="shared" si="171"/>
        <v>0</v>
      </c>
      <c r="Z602" s="56">
        <f t="shared" si="171"/>
        <v>0</v>
      </c>
      <c r="AA602" s="56">
        <f t="shared" si="171"/>
        <v>0</v>
      </c>
      <c r="AB602" s="56">
        <f t="shared" si="171"/>
        <v>0</v>
      </c>
      <c r="AC602" s="56">
        <f t="shared" si="171"/>
        <v>0</v>
      </c>
      <c r="AD602" s="56">
        <f t="shared" si="171"/>
        <v>0</v>
      </c>
      <c r="AE602" s="56">
        <f t="shared" si="171"/>
        <v>0</v>
      </c>
      <c r="AF602" s="56">
        <f t="shared" si="171"/>
        <v>0</v>
      </c>
      <c r="AG602" s="56">
        <f t="shared" si="171"/>
        <v>0</v>
      </c>
      <c r="AH602" s="56">
        <f t="shared" si="171"/>
        <v>0</v>
      </c>
      <c r="AI602" s="56">
        <f t="shared" si="171"/>
        <v>0</v>
      </c>
      <c r="AJ602" s="56">
        <f t="shared" si="171"/>
        <v>0</v>
      </c>
      <c r="AK602" s="56">
        <f t="shared" si="171"/>
        <v>0</v>
      </c>
      <c r="AL602" s="56">
        <f t="shared" si="171"/>
        <v>0</v>
      </c>
      <c r="AM602" s="56">
        <f t="shared" si="171"/>
        <v>0</v>
      </c>
      <c r="AN602" s="56">
        <f t="shared" si="171"/>
        <v>0</v>
      </c>
      <c r="AO602" s="56">
        <f t="shared" si="171"/>
        <v>0</v>
      </c>
      <c r="AP602" s="56">
        <f t="shared" si="171"/>
        <v>0</v>
      </c>
    </row>
    <row r="603" spans="1:42" outlineLevel="1" x14ac:dyDescent="0.25">
      <c r="A603" s="54"/>
      <c r="B603" s="13"/>
      <c r="C603" s="14" t="s">
        <v>212</v>
      </c>
      <c r="D603" s="14"/>
      <c r="E603" s="70" t="s">
        <v>474</v>
      </c>
      <c r="F603" s="200">
        <f>Data!$E$39/1000</f>
        <v>0</v>
      </c>
      <c r="G603" s="56"/>
      <c r="H603" s="56"/>
      <c r="I603" s="56">
        <f>I595*$F$603</f>
        <v>0</v>
      </c>
      <c r="J603" s="56">
        <f t="shared" ref="J603:AP603" si="172">J595*$F$603</f>
        <v>0</v>
      </c>
      <c r="K603" s="56">
        <f t="shared" si="172"/>
        <v>0</v>
      </c>
      <c r="L603" s="56">
        <f t="shared" si="172"/>
        <v>0</v>
      </c>
      <c r="M603" s="56">
        <f t="shared" si="172"/>
        <v>0</v>
      </c>
      <c r="N603" s="56">
        <f t="shared" si="172"/>
        <v>0</v>
      </c>
      <c r="O603" s="56">
        <f t="shared" si="172"/>
        <v>0</v>
      </c>
      <c r="P603" s="56">
        <f t="shared" si="172"/>
        <v>0</v>
      </c>
      <c r="Q603" s="56">
        <f t="shared" si="172"/>
        <v>0</v>
      </c>
      <c r="R603" s="56">
        <f t="shared" si="172"/>
        <v>0</v>
      </c>
      <c r="S603" s="56">
        <f t="shared" si="172"/>
        <v>0</v>
      </c>
      <c r="T603" s="56">
        <f t="shared" si="172"/>
        <v>0</v>
      </c>
      <c r="U603" s="56">
        <f t="shared" si="172"/>
        <v>0</v>
      </c>
      <c r="V603" s="56">
        <f t="shared" si="172"/>
        <v>0</v>
      </c>
      <c r="W603" s="56">
        <f t="shared" si="172"/>
        <v>0</v>
      </c>
      <c r="X603" s="56">
        <f t="shared" si="172"/>
        <v>0</v>
      </c>
      <c r="Y603" s="56">
        <f t="shared" si="172"/>
        <v>0</v>
      </c>
      <c r="Z603" s="56">
        <f t="shared" si="172"/>
        <v>0</v>
      </c>
      <c r="AA603" s="56">
        <f t="shared" si="172"/>
        <v>0</v>
      </c>
      <c r="AB603" s="56">
        <f t="shared" si="172"/>
        <v>0</v>
      </c>
      <c r="AC603" s="56">
        <f t="shared" si="172"/>
        <v>0</v>
      </c>
      <c r="AD603" s="56">
        <f t="shared" si="172"/>
        <v>0</v>
      </c>
      <c r="AE603" s="56">
        <f t="shared" si="172"/>
        <v>0</v>
      </c>
      <c r="AF603" s="56">
        <f t="shared" si="172"/>
        <v>0</v>
      </c>
      <c r="AG603" s="56">
        <f t="shared" si="172"/>
        <v>0</v>
      </c>
      <c r="AH603" s="56">
        <f t="shared" si="172"/>
        <v>0</v>
      </c>
      <c r="AI603" s="56">
        <f t="shared" si="172"/>
        <v>0</v>
      </c>
      <c r="AJ603" s="56">
        <f t="shared" si="172"/>
        <v>0</v>
      </c>
      <c r="AK603" s="56">
        <f t="shared" si="172"/>
        <v>0</v>
      </c>
      <c r="AL603" s="56">
        <f t="shared" si="172"/>
        <v>0</v>
      </c>
      <c r="AM603" s="56">
        <f t="shared" si="172"/>
        <v>0</v>
      </c>
      <c r="AN603" s="56">
        <f t="shared" si="172"/>
        <v>0</v>
      </c>
      <c r="AO603" s="56">
        <f t="shared" si="172"/>
        <v>0</v>
      </c>
      <c r="AP603" s="56">
        <f t="shared" si="172"/>
        <v>0</v>
      </c>
    </row>
    <row r="604" spans="1:42" outlineLevel="1" x14ac:dyDescent="0.25">
      <c r="A604" s="54"/>
      <c r="B604" s="13"/>
      <c r="C604" s="14" t="s">
        <v>485</v>
      </c>
      <c r="D604" s="14"/>
      <c r="E604" s="70" t="s">
        <v>474</v>
      </c>
      <c r="F604" s="200">
        <f>Data!$E$40/1000</f>
        <v>605.20914606741576</v>
      </c>
      <c r="G604" s="56"/>
      <c r="H604" s="56"/>
      <c r="I604" s="56">
        <f>I596*$F$604</f>
        <v>11910.593269432351</v>
      </c>
      <c r="J604" s="56">
        <f t="shared" ref="J604:AP604" si="173">J596*$F$604</f>
        <v>11910.593269432351</v>
      </c>
      <c r="K604" s="56">
        <f t="shared" si="173"/>
        <v>11910.593269432351</v>
      </c>
      <c r="L604" s="56">
        <f t="shared" si="173"/>
        <v>11910.593269432351</v>
      </c>
      <c r="M604" s="56">
        <f t="shared" si="173"/>
        <v>11910.593269432351</v>
      </c>
      <c r="N604" s="56">
        <f t="shared" si="173"/>
        <v>11910.593269432351</v>
      </c>
      <c r="O604" s="56">
        <f t="shared" si="173"/>
        <v>11910.593269432351</v>
      </c>
      <c r="P604" s="56">
        <f t="shared" si="173"/>
        <v>11910.593269432351</v>
      </c>
      <c r="Q604" s="56">
        <f t="shared" si="173"/>
        <v>11910.593269432351</v>
      </c>
      <c r="R604" s="56">
        <f t="shared" si="173"/>
        <v>11910.593269432351</v>
      </c>
      <c r="S604" s="56">
        <f t="shared" si="173"/>
        <v>11910.593269432351</v>
      </c>
      <c r="T604" s="56">
        <f t="shared" si="173"/>
        <v>11910.593269432351</v>
      </c>
      <c r="U604" s="56">
        <f t="shared" si="173"/>
        <v>0</v>
      </c>
      <c r="V604" s="56">
        <f t="shared" si="173"/>
        <v>0</v>
      </c>
      <c r="W604" s="56">
        <f t="shared" si="173"/>
        <v>0</v>
      </c>
      <c r="X604" s="56">
        <f t="shared" si="173"/>
        <v>0</v>
      </c>
      <c r="Y604" s="56">
        <f t="shared" si="173"/>
        <v>0</v>
      </c>
      <c r="Z604" s="56">
        <f t="shared" si="173"/>
        <v>0</v>
      </c>
      <c r="AA604" s="56">
        <f t="shared" si="173"/>
        <v>0</v>
      </c>
      <c r="AB604" s="56">
        <f t="shared" si="173"/>
        <v>0</v>
      </c>
      <c r="AC604" s="56">
        <f t="shared" si="173"/>
        <v>0</v>
      </c>
      <c r="AD604" s="56">
        <f t="shared" si="173"/>
        <v>0</v>
      </c>
      <c r="AE604" s="56">
        <f t="shared" si="173"/>
        <v>0</v>
      </c>
      <c r="AF604" s="56">
        <f t="shared" si="173"/>
        <v>0</v>
      </c>
      <c r="AG604" s="56">
        <f t="shared" si="173"/>
        <v>0</v>
      </c>
      <c r="AH604" s="56">
        <f t="shared" si="173"/>
        <v>0</v>
      </c>
      <c r="AI604" s="56">
        <f t="shared" si="173"/>
        <v>0</v>
      </c>
      <c r="AJ604" s="56">
        <f t="shared" si="173"/>
        <v>0</v>
      </c>
      <c r="AK604" s="56">
        <f t="shared" si="173"/>
        <v>0</v>
      </c>
      <c r="AL604" s="56">
        <f t="shared" si="173"/>
        <v>0</v>
      </c>
      <c r="AM604" s="56">
        <f t="shared" si="173"/>
        <v>0</v>
      </c>
      <c r="AN604" s="56">
        <f t="shared" si="173"/>
        <v>0</v>
      </c>
      <c r="AO604" s="56">
        <f t="shared" si="173"/>
        <v>0</v>
      </c>
      <c r="AP604" s="56">
        <f t="shared" si="173"/>
        <v>0</v>
      </c>
    </row>
    <row r="605" spans="1:42" outlineLevel="1" x14ac:dyDescent="0.25">
      <c r="A605" s="54"/>
      <c r="B605" s="13"/>
      <c r="C605" s="14" t="s">
        <v>214</v>
      </c>
      <c r="D605" s="14"/>
      <c r="E605" s="70" t="s">
        <v>474</v>
      </c>
      <c r="F605" s="200">
        <f>Data!$E$41/1000</f>
        <v>0</v>
      </c>
      <c r="G605" s="56"/>
      <c r="H605" s="56"/>
      <c r="I605" s="56">
        <f>I597*F$605</f>
        <v>0</v>
      </c>
      <c r="J605" s="56">
        <f t="shared" ref="J605:AP605" si="174">J597*G$605</f>
        <v>0</v>
      </c>
      <c r="K605" s="56">
        <f t="shared" si="174"/>
        <v>0</v>
      </c>
      <c r="L605" s="56">
        <f t="shared" si="174"/>
        <v>0</v>
      </c>
      <c r="M605" s="56">
        <f t="shared" si="174"/>
        <v>0</v>
      </c>
      <c r="N605" s="56">
        <f t="shared" si="174"/>
        <v>0</v>
      </c>
      <c r="O605" s="56">
        <f t="shared" si="174"/>
        <v>0</v>
      </c>
      <c r="P605" s="56">
        <f t="shared" si="174"/>
        <v>0</v>
      </c>
      <c r="Q605" s="56">
        <f t="shared" si="174"/>
        <v>0</v>
      </c>
      <c r="R605" s="56">
        <f t="shared" si="174"/>
        <v>0</v>
      </c>
      <c r="S605" s="56">
        <f t="shared" si="174"/>
        <v>0</v>
      </c>
      <c r="T605" s="56">
        <f t="shared" si="174"/>
        <v>0</v>
      </c>
      <c r="U605" s="56">
        <f t="shared" si="174"/>
        <v>0</v>
      </c>
      <c r="V605" s="56">
        <f t="shared" si="174"/>
        <v>0</v>
      </c>
      <c r="W605" s="56">
        <f t="shared" si="174"/>
        <v>0</v>
      </c>
      <c r="X605" s="56">
        <f t="shared" si="174"/>
        <v>0</v>
      </c>
      <c r="Y605" s="56">
        <f t="shared" si="174"/>
        <v>0</v>
      </c>
      <c r="Z605" s="56">
        <f t="shared" si="174"/>
        <v>0</v>
      </c>
      <c r="AA605" s="56">
        <f t="shared" si="174"/>
        <v>0</v>
      </c>
      <c r="AB605" s="56">
        <f t="shared" si="174"/>
        <v>0</v>
      </c>
      <c r="AC605" s="56">
        <f t="shared" si="174"/>
        <v>0</v>
      </c>
      <c r="AD605" s="56">
        <f t="shared" si="174"/>
        <v>0</v>
      </c>
      <c r="AE605" s="56">
        <f t="shared" si="174"/>
        <v>0</v>
      </c>
      <c r="AF605" s="56">
        <f t="shared" si="174"/>
        <v>0</v>
      </c>
      <c r="AG605" s="56">
        <f t="shared" si="174"/>
        <v>0</v>
      </c>
      <c r="AH605" s="56">
        <f t="shared" si="174"/>
        <v>0</v>
      </c>
      <c r="AI605" s="56">
        <f t="shared" si="174"/>
        <v>0</v>
      </c>
      <c r="AJ605" s="56">
        <f t="shared" si="174"/>
        <v>0</v>
      </c>
      <c r="AK605" s="56">
        <f t="shared" si="174"/>
        <v>0</v>
      </c>
      <c r="AL605" s="56">
        <f t="shared" si="174"/>
        <v>0</v>
      </c>
      <c r="AM605" s="56">
        <f t="shared" si="174"/>
        <v>0</v>
      </c>
      <c r="AN605" s="56">
        <f t="shared" si="174"/>
        <v>0</v>
      </c>
      <c r="AO605" s="56">
        <f t="shared" si="174"/>
        <v>0</v>
      </c>
      <c r="AP605" s="56">
        <f t="shared" si="174"/>
        <v>0</v>
      </c>
    </row>
    <row r="606" spans="1:42" ht="13.5" customHeight="1" outlineLevel="1" x14ac:dyDescent="0.25">
      <c r="A606" s="12"/>
      <c r="B606" s="13"/>
      <c r="C606" s="20" t="s">
        <v>536</v>
      </c>
      <c r="D606" s="14"/>
      <c r="E606" s="70" t="s">
        <v>474</v>
      </c>
      <c r="F606" s="16"/>
      <c r="G606" s="159"/>
      <c r="H606" s="56"/>
      <c r="I606" s="185">
        <f>SUM(I599:I605)</f>
        <v>321805.14170951687</v>
      </c>
      <c r="J606" s="185">
        <f t="shared" ref="J606:AP606" si="175">SUM(J599:J605)</f>
        <v>323232.34902594128</v>
      </c>
      <c r="K606" s="185">
        <f t="shared" si="175"/>
        <v>324516.83561072324</v>
      </c>
      <c r="L606" s="185">
        <f t="shared" si="175"/>
        <v>325944.04292714759</v>
      </c>
      <c r="M606" s="185">
        <f t="shared" si="175"/>
        <v>327371.25024357199</v>
      </c>
      <c r="N606" s="185">
        <f t="shared" si="175"/>
        <v>328798.45755999634</v>
      </c>
      <c r="O606" s="185">
        <f t="shared" si="175"/>
        <v>330082.9441447783</v>
      </c>
      <c r="P606" s="185">
        <f t="shared" si="175"/>
        <v>330939.26853463292</v>
      </c>
      <c r="Q606" s="185">
        <f t="shared" si="175"/>
        <v>331795.59292448754</v>
      </c>
      <c r="R606" s="185">
        <f t="shared" si="175"/>
        <v>332794.63804598461</v>
      </c>
      <c r="S606" s="185">
        <f t="shared" si="175"/>
        <v>333650.96243583923</v>
      </c>
      <c r="T606" s="185">
        <f t="shared" si="175"/>
        <v>334507.28682569391</v>
      </c>
      <c r="U606" s="185">
        <f t="shared" si="175"/>
        <v>0</v>
      </c>
      <c r="V606" s="185">
        <f t="shared" si="175"/>
        <v>0</v>
      </c>
      <c r="W606" s="185">
        <f t="shared" si="175"/>
        <v>0</v>
      </c>
      <c r="X606" s="185">
        <f t="shared" si="175"/>
        <v>0</v>
      </c>
      <c r="Y606" s="185">
        <f t="shared" si="175"/>
        <v>0</v>
      </c>
      <c r="Z606" s="185">
        <f t="shared" si="175"/>
        <v>0</v>
      </c>
      <c r="AA606" s="185">
        <f t="shared" si="175"/>
        <v>0</v>
      </c>
      <c r="AB606" s="185">
        <f t="shared" si="175"/>
        <v>0</v>
      </c>
      <c r="AC606" s="185">
        <f t="shared" si="175"/>
        <v>0</v>
      </c>
      <c r="AD606" s="185">
        <f t="shared" si="175"/>
        <v>0</v>
      </c>
      <c r="AE606" s="185">
        <f t="shared" si="175"/>
        <v>0</v>
      </c>
      <c r="AF606" s="185">
        <f t="shared" si="175"/>
        <v>0</v>
      </c>
      <c r="AG606" s="185">
        <f t="shared" si="175"/>
        <v>0</v>
      </c>
      <c r="AH606" s="185">
        <f t="shared" si="175"/>
        <v>0</v>
      </c>
      <c r="AI606" s="185">
        <f t="shared" si="175"/>
        <v>0</v>
      </c>
      <c r="AJ606" s="185">
        <f t="shared" si="175"/>
        <v>0</v>
      </c>
      <c r="AK606" s="185">
        <f t="shared" si="175"/>
        <v>0</v>
      </c>
      <c r="AL606" s="185">
        <f t="shared" si="175"/>
        <v>0</v>
      </c>
      <c r="AM606" s="185">
        <f t="shared" si="175"/>
        <v>0</v>
      </c>
      <c r="AN606" s="185">
        <f t="shared" si="175"/>
        <v>0</v>
      </c>
      <c r="AO606" s="185">
        <f t="shared" si="175"/>
        <v>0</v>
      </c>
      <c r="AP606" s="185">
        <f t="shared" si="175"/>
        <v>0</v>
      </c>
    </row>
    <row r="607" spans="1:42" outlineLevel="1" x14ac:dyDescent="0.25">
      <c r="A607" s="12"/>
      <c r="B607" s="13"/>
      <c r="C607" s="14"/>
      <c r="D607" s="14"/>
      <c r="E607" s="15"/>
      <c r="F607" s="16"/>
      <c r="G607" s="159"/>
      <c r="H607" s="56"/>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c r="AN607" s="159"/>
      <c r="AO607" s="159"/>
      <c r="AP607" s="159"/>
    </row>
    <row r="608" spans="1:42" outlineLevel="1" x14ac:dyDescent="0.25">
      <c r="A608" s="12"/>
      <c r="B608" s="13"/>
      <c r="C608" s="14" t="s">
        <v>487</v>
      </c>
      <c r="D608" s="14"/>
      <c r="E608" s="15" t="s">
        <v>474</v>
      </c>
      <c r="F608" s="48"/>
      <c r="G608" s="185"/>
      <c r="H608" s="185"/>
      <c r="I608" s="185">
        <f>I606*Data!H$9</f>
        <v>309428.02087453543</v>
      </c>
      <c r="J608" s="185">
        <f>J606*Data!I$9</f>
        <v>298846.47654025635</v>
      </c>
      <c r="K608" s="185">
        <f>K606*Data!J$9</f>
        <v>288494.28518534085</v>
      </c>
      <c r="L608" s="185">
        <f>L606*Data!K$9</f>
        <v>278618.33393529861</v>
      </c>
      <c r="M608" s="185">
        <f>M606*Data!L$9</f>
        <v>269075.3045488908</v>
      </c>
      <c r="N608" s="185">
        <f>N606*Data!M$9</f>
        <v>259854.19704733195</v>
      </c>
      <c r="O608" s="185">
        <f>O606*Data!N$9</f>
        <v>250835.90908979875</v>
      </c>
      <c r="P608" s="185">
        <f>P606*Data!O$9</f>
        <v>241814.08196877749</v>
      </c>
      <c r="Q608" s="185">
        <f>Q606*Data!P$9</f>
        <v>233115.18251225821</v>
      </c>
      <c r="R608" s="185">
        <f>R606*Data!Q$9</f>
        <v>224824.13304121807</v>
      </c>
      <c r="S608" s="185">
        <f>S606*Data!R$9</f>
        <v>216733.30299605336</v>
      </c>
      <c r="T608" s="185">
        <f>T606*Data!S$9</f>
        <v>208932.26441436101</v>
      </c>
      <c r="U608" s="185">
        <f>U606*Data!T$9</f>
        <v>0</v>
      </c>
      <c r="V608" s="185">
        <f>V606*Data!U$9</f>
        <v>0</v>
      </c>
      <c r="W608" s="185">
        <f>W606*Data!V$9</f>
        <v>0</v>
      </c>
      <c r="X608" s="185">
        <f>X606*Data!W$9</f>
        <v>0</v>
      </c>
      <c r="Y608" s="185">
        <f>Y606*Data!X$9</f>
        <v>0</v>
      </c>
      <c r="Z608" s="185">
        <f>Z606*Data!Y$9</f>
        <v>0</v>
      </c>
      <c r="AA608" s="185">
        <f>AA606*Data!Z$9</f>
        <v>0</v>
      </c>
      <c r="AB608" s="185">
        <f>AB606*Data!AA$9</f>
        <v>0</v>
      </c>
      <c r="AC608" s="185">
        <f>AC606*Data!AB$9</f>
        <v>0</v>
      </c>
      <c r="AD608" s="185">
        <f>AD606*Data!AC$9</f>
        <v>0</v>
      </c>
      <c r="AE608" s="185">
        <f>AE606*Data!AD$9</f>
        <v>0</v>
      </c>
      <c r="AF608" s="185">
        <f>AF606*Data!AE$9</f>
        <v>0</v>
      </c>
      <c r="AG608" s="185">
        <f>AG606*Data!AF$9</f>
        <v>0</v>
      </c>
      <c r="AH608" s="185">
        <f>AH606*Data!AG$9</f>
        <v>0</v>
      </c>
      <c r="AI608" s="185">
        <f>AI606*Data!AH$9</f>
        <v>0</v>
      </c>
      <c r="AJ608" s="185">
        <f>AJ606*Data!AI$9</f>
        <v>0</v>
      </c>
      <c r="AK608" s="185">
        <f>AK606*Data!AJ$9</f>
        <v>0</v>
      </c>
      <c r="AL608" s="185">
        <f>AL606*Data!AK$9</f>
        <v>0</v>
      </c>
      <c r="AM608" s="185">
        <f>AM606*Data!AL$9</f>
        <v>0</v>
      </c>
      <c r="AN608" s="185">
        <f>AN606*Data!AM$9</f>
        <v>0</v>
      </c>
      <c r="AO608" s="185">
        <f>AO606*Data!AN$9</f>
        <v>0</v>
      </c>
      <c r="AP608" s="185">
        <f>AP606*Data!AO$9</f>
        <v>0</v>
      </c>
    </row>
    <row r="609" spans="1:42" outlineLevel="1" x14ac:dyDescent="0.25">
      <c r="A609" s="12"/>
      <c r="B609" s="13"/>
      <c r="C609" s="14" t="s">
        <v>488</v>
      </c>
      <c r="D609" s="13"/>
      <c r="E609" s="15" t="s">
        <v>142</v>
      </c>
      <c r="F609" s="16"/>
      <c r="G609" s="159">
        <f>SUM(H608:AP608)</f>
        <v>3080571.4921541209</v>
      </c>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row>
    <row r="610" spans="1:42" outlineLevel="1" x14ac:dyDescent="0.25">
      <c r="A610" s="12"/>
      <c r="B610" s="13"/>
      <c r="C610" s="20" t="s">
        <v>488</v>
      </c>
      <c r="D610" s="19"/>
      <c r="E610" s="15" t="s">
        <v>261</v>
      </c>
      <c r="F610" s="16"/>
      <c r="G610" s="183">
        <f>G609/(SUM(H589:AE589))</f>
        <v>4.9866800896045724</v>
      </c>
      <c r="H610" s="14"/>
      <c r="I610" s="159"/>
      <c r="J610" s="159"/>
      <c r="K610" s="159"/>
      <c r="L610" s="159"/>
      <c r="M610" s="159"/>
      <c r="N610" s="159"/>
      <c r="O610" s="159"/>
      <c r="P610" s="159"/>
      <c r="Q610" s="159"/>
      <c r="R610" s="159"/>
      <c r="S610" s="159"/>
      <c r="T610" s="159"/>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row>
    <row r="611" spans="1:42" outlineLevel="1" x14ac:dyDescent="0.25">
      <c r="A611" s="12"/>
      <c r="B611" s="13"/>
      <c r="C611" s="20"/>
      <c r="D611" s="19"/>
      <c r="E611" s="15"/>
      <c r="F611" s="16"/>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row>
    <row r="612" spans="1:42" ht="18.75" outlineLevel="1" x14ac:dyDescent="0.3">
      <c r="A612" s="12"/>
      <c r="B612" s="13"/>
      <c r="C612" s="226" t="str">
        <f>C495</f>
        <v>TCO 2: Immediate Diesel to BEB Bus Replacement</v>
      </c>
      <c r="D612" s="225"/>
      <c r="E612" s="15" t="s">
        <v>261</v>
      </c>
      <c r="F612" s="16"/>
      <c r="G612" s="224">
        <f>G550+G583+G559-G610</f>
        <v>-3.5125449257608308</v>
      </c>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row>
    <row r="613" spans="1:42" outlineLevel="1" x14ac:dyDescent="0.25">
      <c r="A613" s="12"/>
      <c r="B613" s="13"/>
      <c r="C613" s="187"/>
      <c r="D613" s="19"/>
      <c r="E613" s="15"/>
      <c r="F613" s="16"/>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row>
    <row r="614" spans="1:42" outlineLevel="1" x14ac:dyDescent="0.25">
      <c r="A614" s="12"/>
      <c r="B614" s="13"/>
      <c r="C614" s="24" t="s">
        <v>525</v>
      </c>
      <c r="D614" s="24"/>
      <c r="E614" s="25"/>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7"/>
    </row>
    <row r="615" spans="1:42" outlineLevel="1" x14ac:dyDescent="0.25">
      <c r="A615" s="12"/>
      <c r="B615" s="13"/>
      <c r="C615" s="13"/>
      <c r="D615" s="14"/>
      <c r="E615" s="15"/>
      <c r="F615" s="16"/>
      <c r="G615" s="14"/>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17"/>
    </row>
    <row r="616" spans="1:42" outlineLevel="1" x14ac:dyDescent="0.25">
      <c r="A616" s="12"/>
      <c r="B616" s="13"/>
      <c r="C616" s="37" t="s">
        <v>537</v>
      </c>
      <c r="D616" s="37"/>
      <c r="E616" s="38"/>
      <c r="F616" s="39"/>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17"/>
    </row>
    <row r="617" spans="1:42" outlineLevel="1" x14ac:dyDescent="0.25">
      <c r="A617" s="12"/>
      <c r="B617" s="13"/>
      <c r="C617" s="96" t="s">
        <v>526</v>
      </c>
      <c r="D617" s="14"/>
      <c r="E617" s="15" t="s">
        <v>142</v>
      </c>
      <c r="F617" s="16"/>
      <c r="G617" s="141">
        <f>G549</f>
        <v>1478981.2497742397</v>
      </c>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17"/>
    </row>
    <row r="618" spans="1:42" outlineLevel="1" x14ac:dyDescent="0.25">
      <c r="A618" s="12"/>
      <c r="B618" s="13"/>
      <c r="C618" s="96" t="s">
        <v>527</v>
      </c>
      <c r="D618" s="14"/>
      <c r="E618" s="15" t="s">
        <v>474</v>
      </c>
      <c r="F618" s="16"/>
      <c r="G618" s="151">
        <f>G617/Data!$E$337</f>
        <v>73949.062488711992</v>
      </c>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17"/>
    </row>
    <row r="619" spans="1:42" outlineLevel="1" x14ac:dyDescent="0.25">
      <c r="A619" s="12"/>
      <c r="B619" s="13"/>
      <c r="C619" s="96" t="s">
        <v>528</v>
      </c>
      <c r="D619" s="14"/>
      <c r="E619" s="15" t="s">
        <v>529</v>
      </c>
      <c r="F619" s="16"/>
      <c r="G619" s="151">
        <f>SUM(I565:AC565)</f>
        <v>184166.15517051314</v>
      </c>
      <c r="H619" s="14"/>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17"/>
    </row>
    <row r="620" spans="1:42" outlineLevel="1" x14ac:dyDescent="0.25">
      <c r="A620" s="12"/>
      <c r="B620" s="13"/>
      <c r="C620" s="96" t="s">
        <v>530</v>
      </c>
      <c r="D620" s="14"/>
      <c r="E620" s="15" t="s">
        <v>531</v>
      </c>
      <c r="F620" s="16"/>
      <c r="G620" s="151">
        <f>G619/Data!$E$337</f>
        <v>9208.3077585256578</v>
      </c>
      <c r="H620" s="14"/>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17"/>
    </row>
    <row r="621" spans="1:42" outlineLevel="1" x14ac:dyDescent="0.25">
      <c r="A621" s="12"/>
      <c r="B621" s="13"/>
      <c r="C621" s="96" t="s">
        <v>579</v>
      </c>
      <c r="D621" s="14"/>
      <c r="E621" s="15" t="s">
        <v>531</v>
      </c>
      <c r="F621" s="16"/>
      <c r="G621" s="151">
        <f>SUM(I592:AB592)/Dashboard!$I$31</f>
        <v>142720.7316424381</v>
      </c>
      <c r="H621" s="14"/>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17"/>
    </row>
    <row r="622" spans="1:42" outlineLevel="1" x14ac:dyDescent="0.25">
      <c r="A622" s="12"/>
      <c r="B622" s="13"/>
      <c r="C622" s="14"/>
      <c r="D622" s="14"/>
      <c r="E622" s="15"/>
      <c r="F622" s="16"/>
      <c r="G622" s="14"/>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29"/>
    </row>
    <row r="623" spans="1:42" outlineLevel="1" x14ac:dyDescent="0.25">
      <c r="A623" s="12"/>
      <c r="B623" s="13"/>
      <c r="C623" s="37" t="s">
        <v>538</v>
      </c>
      <c r="D623" s="37"/>
      <c r="E623" s="38"/>
      <c r="F623" s="39"/>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17"/>
    </row>
    <row r="624" spans="1:42" outlineLevel="1" x14ac:dyDescent="0.25">
      <c r="A624" s="12"/>
      <c r="B624" s="13"/>
      <c r="C624" s="14" t="s">
        <v>580</v>
      </c>
      <c r="D624" s="14"/>
      <c r="E624" s="15" t="s">
        <v>142</v>
      </c>
      <c r="F624" s="16"/>
      <c r="G624" s="177">
        <f>G618-'Diesel (BAU)'!G181</f>
        <v>-62290.656100273482</v>
      </c>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17"/>
    </row>
    <row r="625" spans="1:42" outlineLevel="1" x14ac:dyDescent="0.25">
      <c r="A625" s="12"/>
      <c r="B625" s="13"/>
      <c r="C625" s="14" t="s">
        <v>540</v>
      </c>
      <c r="D625" s="44"/>
      <c r="E625" s="15" t="s">
        <v>529</v>
      </c>
      <c r="F625" s="16"/>
      <c r="G625" s="177">
        <f>'Diesel (BAU)'!G183-G620+G621</f>
        <v>276233.15552635054</v>
      </c>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17"/>
    </row>
    <row r="626" spans="1:42" ht="18.75" outlineLevel="1" x14ac:dyDescent="0.3">
      <c r="A626" s="12"/>
      <c r="B626" s="13"/>
      <c r="C626" s="221" t="s">
        <v>542</v>
      </c>
      <c r="D626" s="45"/>
      <c r="E626" s="15"/>
      <c r="F626" s="16"/>
      <c r="G626" s="220">
        <f>G624/G625</f>
        <v>-0.22550028790563276</v>
      </c>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29"/>
    </row>
    <row r="627" spans="1:42" outlineLevel="1" x14ac:dyDescent="0.25">
      <c r="A627" s="12"/>
      <c r="C627" s="13"/>
      <c r="D627" s="45"/>
      <c r="E627" s="15"/>
      <c r="F627" s="16"/>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29"/>
    </row>
    <row r="628" spans="1:42" outlineLevel="1" x14ac:dyDescent="0.25">
      <c r="A628" s="12"/>
      <c r="B628" s="13"/>
      <c r="C628" s="41"/>
      <c r="D628" s="41"/>
      <c r="E628" s="15"/>
      <c r="F628" s="16"/>
      <c r="G628" s="14"/>
      <c r="H628" s="141"/>
      <c r="I628" s="141"/>
      <c r="J628" s="141"/>
      <c r="K628" s="141"/>
      <c r="L628" s="141"/>
      <c r="M628" s="141"/>
      <c r="N628" s="141"/>
      <c r="O628" s="141"/>
      <c r="P628" s="141"/>
      <c r="Q628" s="141"/>
      <c r="R628" s="141"/>
      <c r="S628" s="141"/>
      <c r="T628" s="141"/>
      <c r="U628" s="141"/>
      <c r="V628" s="141"/>
      <c r="W628" s="141"/>
      <c r="X628" s="141"/>
      <c r="Y628" s="141"/>
      <c r="Z628" s="141"/>
      <c r="AA628" s="141"/>
      <c r="AB628" s="141"/>
      <c r="AC628" s="14"/>
      <c r="AD628" s="14"/>
      <c r="AE628" s="14"/>
      <c r="AF628" s="14"/>
      <c r="AG628" s="14"/>
      <c r="AH628" s="14"/>
      <c r="AI628" s="14"/>
      <c r="AJ628" s="14"/>
      <c r="AK628" s="14"/>
      <c r="AL628" s="14"/>
      <c r="AM628" s="14"/>
      <c r="AN628" s="14"/>
      <c r="AO628" s="14"/>
      <c r="AP628" s="17"/>
    </row>
    <row r="629" spans="1:42" x14ac:dyDescent="0.25">
      <c r="A629" s="261"/>
      <c r="B629" s="261"/>
      <c r="C629" s="261" t="s">
        <v>581</v>
      </c>
      <c r="D629" s="261"/>
      <c r="E629" s="262"/>
      <c r="F629" s="263"/>
      <c r="G629" s="263"/>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3"/>
      <c r="AD629" s="263"/>
      <c r="AE629" s="263"/>
      <c r="AF629" s="263"/>
      <c r="AG629" s="263"/>
      <c r="AH629" s="263"/>
      <c r="AI629" s="263"/>
      <c r="AJ629" s="263"/>
      <c r="AK629" s="263"/>
      <c r="AL629" s="263"/>
      <c r="AM629" s="263"/>
      <c r="AN629" s="263"/>
      <c r="AO629" s="263"/>
      <c r="AP629" s="265"/>
    </row>
    <row r="630" spans="1:42" outlineLevel="1" x14ac:dyDescent="0.25">
      <c r="A630" s="12"/>
      <c r="B630" s="13"/>
      <c r="C630" s="14"/>
      <c r="D630" s="14"/>
      <c r="E630" s="15"/>
      <c r="F630" s="16"/>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7"/>
    </row>
    <row r="631" spans="1:42" outlineLevel="1" x14ac:dyDescent="0.25">
      <c r="A631" s="12"/>
      <c r="B631" s="13"/>
      <c r="C631" s="14" t="s">
        <v>582</v>
      </c>
      <c r="D631" s="14"/>
      <c r="E631" s="15" t="s">
        <v>112</v>
      </c>
      <c r="F631" s="16"/>
      <c r="G631" s="159">
        <f>SUM($I$344:$AB$344)</f>
        <v>1029600</v>
      </c>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row>
    <row r="632" spans="1:42" outlineLevel="1" x14ac:dyDescent="0.25">
      <c r="A632" s="12"/>
      <c r="B632" s="13"/>
      <c r="C632" s="14" t="s">
        <v>595</v>
      </c>
      <c r="D632" s="14"/>
      <c r="E632" s="15" t="s">
        <v>112</v>
      </c>
      <c r="F632" s="16"/>
      <c r="G632" s="141">
        <f>Route!$H$35</f>
        <v>37440</v>
      </c>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row>
    <row r="633" spans="1:42" outlineLevel="1" x14ac:dyDescent="0.25">
      <c r="A633" s="12"/>
      <c r="B633" s="13"/>
      <c r="C633" s="20" t="s">
        <v>584</v>
      </c>
      <c r="D633" s="20"/>
      <c r="E633" s="21" t="s">
        <v>112</v>
      </c>
      <c r="F633" s="48"/>
      <c r="G633" s="378">
        <f>SUM(G631:G632)</f>
        <v>1067040</v>
      </c>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row>
    <row r="634" spans="1:42" outlineLevel="1" x14ac:dyDescent="0.25">
      <c r="A634" s="12"/>
      <c r="B634" s="13"/>
      <c r="C634" s="14"/>
      <c r="D634" s="14"/>
      <c r="E634" s="15"/>
      <c r="F634" s="16"/>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row>
    <row r="635" spans="1:42" outlineLevel="1" x14ac:dyDescent="0.25">
      <c r="A635" s="12"/>
      <c r="B635" s="13"/>
      <c r="C635" s="14" t="s">
        <v>585</v>
      </c>
      <c r="D635" s="19"/>
      <c r="E635" s="15" t="s">
        <v>142</v>
      </c>
      <c r="F635" s="16"/>
      <c r="G635" s="150">
        <f>G549</f>
        <v>1478981.2497742397</v>
      </c>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row>
    <row r="636" spans="1:42" outlineLevel="1" x14ac:dyDescent="0.25">
      <c r="A636" s="12"/>
      <c r="B636" s="13"/>
      <c r="C636" s="14" t="s">
        <v>586</v>
      </c>
      <c r="D636" s="19"/>
      <c r="E636" s="15" t="s">
        <v>142</v>
      </c>
      <c r="F636" s="16"/>
      <c r="G636" s="150">
        <f>Route!$G$61</f>
        <v>32852.076245401164</v>
      </c>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row>
    <row r="637" spans="1:42" outlineLevel="1" x14ac:dyDescent="0.25">
      <c r="A637" s="12"/>
      <c r="B637" s="13"/>
      <c r="C637" s="14" t="s">
        <v>587</v>
      </c>
      <c r="D637" s="19"/>
      <c r="E637" s="15" t="s">
        <v>588</v>
      </c>
      <c r="F637" s="16"/>
      <c r="G637" s="376">
        <f>SUM(G635:G636)</f>
        <v>1511833.3260196408</v>
      </c>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row>
    <row r="638" spans="1:42" outlineLevel="1" x14ac:dyDescent="0.25">
      <c r="A638" s="12"/>
      <c r="B638" s="13"/>
      <c r="C638" s="20" t="s">
        <v>587</v>
      </c>
      <c r="D638" s="19"/>
      <c r="E638" s="15" t="s">
        <v>261</v>
      </c>
      <c r="F638" s="16"/>
      <c r="G638" s="376">
        <f>G637/G633</f>
        <v>1.4168478463971743</v>
      </c>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row>
    <row r="639" spans="1:42" outlineLevel="1" x14ac:dyDescent="0.25">
      <c r="A639" s="12"/>
      <c r="B639" s="13"/>
      <c r="C639" s="20"/>
      <c r="D639" s="19"/>
      <c r="E639" s="15"/>
      <c r="F639" s="16"/>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row>
    <row r="640" spans="1:42" outlineLevel="1" x14ac:dyDescent="0.25">
      <c r="A640" s="12"/>
      <c r="B640" s="13"/>
      <c r="C640" s="14" t="s">
        <v>589</v>
      </c>
      <c r="D640" s="19"/>
      <c r="E640" s="15" t="s">
        <v>142</v>
      </c>
      <c r="F640" s="16"/>
      <c r="G640" s="56">
        <f>G558+G582</f>
        <v>38788.314919276374</v>
      </c>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row>
    <row r="641" spans="1:42" outlineLevel="1" x14ac:dyDescent="0.25">
      <c r="A641" s="12"/>
      <c r="B641" s="13"/>
      <c r="C641" s="14" t="s">
        <v>590</v>
      </c>
      <c r="D641" s="19"/>
      <c r="E641" s="15" t="s">
        <v>142</v>
      </c>
      <c r="F641" s="16"/>
      <c r="G641" s="150">
        <f>Route!$G$119</f>
        <v>100696.94441250921</v>
      </c>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row>
    <row r="642" spans="1:42" outlineLevel="1" x14ac:dyDescent="0.25">
      <c r="A642" s="12"/>
      <c r="B642" s="13"/>
      <c r="C642" s="20" t="s">
        <v>591</v>
      </c>
      <c r="D642" s="19"/>
      <c r="E642" s="15" t="s">
        <v>588</v>
      </c>
      <c r="F642" s="16"/>
      <c r="G642" s="376">
        <f>SUM(G640:G641)</f>
        <v>139485.25933178558</v>
      </c>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row>
    <row r="643" spans="1:42" outlineLevel="1" x14ac:dyDescent="0.25">
      <c r="A643" s="12"/>
      <c r="B643" s="13"/>
      <c r="C643" s="20" t="s">
        <v>592</v>
      </c>
      <c r="D643" s="19"/>
      <c r="E643" s="15" t="s">
        <v>261</v>
      </c>
      <c r="F643" s="16"/>
      <c r="G643" s="376">
        <f>G642/G633</f>
        <v>0.1307216780362363</v>
      </c>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row>
    <row r="644" spans="1:42" outlineLevel="1" x14ac:dyDescent="0.25">
      <c r="A644" s="12"/>
      <c r="B644" s="13"/>
      <c r="C644" s="20" t="s">
        <v>593</v>
      </c>
      <c r="D644" s="19"/>
      <c r="E644" s="15"/>
      <c r="F644" s="16"/>
      <c r="G644" s="377"/>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row>
    <row r="645" spans="1:42" outlineLevel="1" x14ac:dyDescent="0.25">
      <c r="A645" s="12"/>
      <c r="B645" s="13"/>
      <c r="C645" s="20"/>
      <c r="D645" s="19"/>
      <c r="E645" s="15"/>
      <c r="F645" s="16"/>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row>
    <row r="646" spans="1:42" ht="18" customHeight="1" outlineLevel="1" x14ac:dyDescent="0.3">
      <c r="A646" s="12"/>
      <c r="B646" s="13"/>
      <c r="C646" s="226" t="str">
        <f>C629</f>
        <v>TCO 3: Immediate Diesel to BEB Bus Replacement with Diesel bus used for Mode Shift</v>
      </c>
      <c r="D646" s="226"/>
      <c r="E646" s="15" t="s">
        <v>261</v>
      </c>
      <c r="F646" s="16"/>
      <c r="G646" s="224">
        <f>+G638+G643</f>
        <v>1.5475695244334107</v>
      </c>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row>
    <row r="647" spans="1:42" ht="18" customHeight="1" outlineLevel="1" x14ac:dyDescent="0.25">
      <c r="A647" s="12"/>
      <c r="B647" s="13"/>
      <c r="C647" s="15"/>
      <c r="D647" s="15"/>
      <c r="E647" s="15"/>
      <c r="F647" s="16"/>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row>
    <row r="648" spans="1:42" ht="15.75" customHeight="1" x14ac:dyDescent="0.25">
      <c r="A648" s="89"/>
      <c r="B648" s="89"/>
      <c r="C648" s="90" t="s">
        <v>174</v>
      </c>
      <c r="D648" s="91"/>
      <c r="E648" s="92"/>
      <c r="F648" s="91"/>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c r="AO648" s="91"/>
      <c r="AP648" s="93"/>
    </row>
    <row r="649" spans="1:42" x14ac:dyDescent="0.25">
      <c r="A649" s="23"/>
      <c r="B649" s="23"/>
      <c r="C649" s="24" t="s">
        <v>543</v>
      </c>
      <c r="D649" s="24"/>
      <c r="E649" s="25"/>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7"/>
    </row>
    <row r="650" spans="1:42" x14ac:dyDescent="0.25">
      <c r="A650" s="13"/>
      <c r="B650" s="13"/>
      <c r="C650" s="30"/>
      <c r="D650" s="30"/>
      <c r="E650" s="31"/>
      <c r="F650" s="16"/>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3"/>
    </row>
    <row r="651" spans="1:42" x14ac:dyDescent="0.25">
      <c r="A651" s="12"/>
      <c r="B651" s="13"/>
      <c r="C651" s="37" t="s">
        <v>506</v>
      </c>
      <c r="D651" s="37"/>
      <c r="E651" s="38"/>
      <c r="F651" s="39"/>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17"/>
    </row>
    <row r="652" spans="1:42" x14ac:dyDescent="0.25">
      <c r="A652" s="12"/>
      <c r="B652" s="13"/>
      <c r="C652" s="136" t="s">
        <v>507</v>
      </c>
      <c r="D652" s="41"/>
      <c r="E652" s="15" t="s">
        <v>465</v>
      </c>
      <c r="F652" s="16"/>
      <c r="G652" s="14"/>
      <c r="H652" s="141"/>
      <c r="I652" s="141">
        <f>Route!I25</f>
        <v>93600</v>
      </c>
      <c r="J652" s="141">
        <f>Route!J25</f>
        <v>93600</v>
      </c>
      <c r="K652" s="141">
        <f>Route!K25</f>
        <v>93600</v>
      </c>
      <c r="L652" s="141">
        <f>Route!L25</f>
        <v>93600</v>
      </c>
      <c r="M652" s="141">
        <f>Route!M25</f>
        <v>93600</v>
      </c>
      <c r="N652" s="141">
        <f>Route!N25</f>
        <v>93600</v>
      </c>
      <c r="O652" s="141">
        <f>Route!O25</f>
        <v>93600</v>
      </c>
      <c r="P652" s="141">
        <f>Route!P25</f>
        <v>93600</v>
      </c>
      <c r="Q652" s="141">
        <f>Route!Q25</f>
        <v>93600</v>
      </c>
      <c r="R652" s="141">
        <f>Route!R25</f>
        <v>93600</v>
      </c>
      <c r="S652" s="141">
        <f>Route!S25</f>
        <v>93600</v>
      </c>
      <c r="T652" s="141">
        <f>Route!T25</f>
        <v>93600</v>
      </c>
      <c r="U652" s="141">
        <f>Route!U25</f>
        <v>93600</v>
      </c>
      <c r="V652" s="141">
        <f>Route!V25</f>
        <v>93600</v>
      </c>
      <c r="W652" s="141">
        <f>Route!W25</f>
        <v>93600</v>
      </c>
      <c r="X652" s="141">
        <f>Route!X25</f>
        <v>93600</v>
      </c>
      <c r="Y652" s="141">
        <f>Route!Y25</f>
        <v>93600</v>
      </c>
      <c r="Z652" s="141">
        <f>Route!Z25</f>
        <v>93600</v>
      </c>
      <c r="AA652" s="141">
        <f>Route!AA25</f>
        <v>93600</v>
      </c>
      <c r="AB652" s="141">
        <f>Route!AB25</f>
        <v>93600</v>
      </c>
      <c r="AC652" s="141">
        <f>Route!AC25</f>
        <v>93600</v>
      </c>
      <c r="AD652" s="141">
        <f>Route!AD25</f>
        <v>93600</v>
      </c>
      <c r="AE652" s="141">
        <f>Route!AE25</f>
        <v>93600</v>
      </c>
      <c r="AF652" s="141">
        <f>Route!AF25</f>
        <v>93600</v>
      </c>
      <c r="AG652" s="141">
        <f>Route!AG25</f>
        <v>93600</v>
      </c>
      <c r="AH652" s="141">
        <f>Route!AH25</f>
        <v>93600</v>
      </c>
      <c r="AI652" s="141">
        <f>Route!AI25</f>
        <v>93600</v>
      </c>
      <c r="AJ652" s="141">
        <f>Route!AJ25</f>
        <v>93600</v>
      </c>
      <c r="AK652" s="141">
        <f>Route!AK25</f>
        <v>93600</v>
      </c>
      <c r="AL652" s="141">
        <f>Route!AL25</f>
        <v>93600</v>
      </c>
      <c r="AM652" s="141">
        <f>Route!AM25</f>
        <v>93600</v>
      </c>
      <c r="AN652" s="141">
        <f>Route!AN25</f>
        <v>93600</v>
      </c>
      <c r="AO652" s="141"/>
      <c r="AP652" s="17"/>
    </row>
    <row r="653" spans="1:42" x14ac:dyDescent="0.25">
      <c r="A653" s="12"/>
      <c r="B653" s="13"/>
      <c r="C653" s="136" t="s">
        <v>340</v>
      </c>
      <c r="D653" s="41"/>
      <c r="E653" s="15" t="s">
        <v>116</v>
      </c>
      <c r="F653" s="174">
        <v>0.02</v>
      </c>
      <c r="G653" s="14"/>
      <c r="H653" s="159"/>
      <c r="I653" s="159">
        <f>IF(COUNT($I$3:I$3)&gt;(Dashboard!$I$31),BEB!$F$653*1,0)</f>
        <v>0</v>
      </c>
      <c r="J653" s="159">
        <f>IF(COUNT($I$3:J$3)&gt;(Dashboard!$I$31),BEB!$F$653*1,0)</f>
        <v>0</v>
      </c>
      <c r="K653" s="159">
        <f>IF(COUNT($I$3:K$3)&gt;(Dashboard!$I$31),BEB!$F$653*1,0)</f>
        <v>0</v>
      </c>
      <c r="L653" s="159">
        <f>IF(COUNT($I$3:L$3)&gt;(Dashboard!$I$31),BEB!$F$653*1,0)</f>
        <v>0</v>
      </c>
      <c r="M653" s="159">
        <f>IF(COUNT($I$3:M$3)&gt;(Dashboard!$I$31),BEB!$F$653*1,0)</f>
        <v>0</v>
      </c>
      <c r="N653" s="159">
        <f>IF(COUNT($I$3:N$3)&gt;(Dashboard!$I$31),BEB!$F$653*1,0)</f>
        <v>0</v>
      </c>
      <c r="O653" s="159">
        <f>IF(COUNT($I$3:O$3)&gt;(Dashboard!$I$31),BEB!$F$653*1,0)</f>
        <v>0</v>
      </c>
      <c r="P653" s="159">
        <f>IF(COUNT($I$3:P$3)&gt;(Dashboard!$I$31),BEB!$F$653*1,0)</f>
        <v>0</v>
      </c>
      <c r="Q653" s="159">
        <f>IF(COUNT($I$3:Q$3)&gt;(Dashboard!$I$31),BEB!$F$653*1,0)</f>
        <v>0</v>
      </c>
      <c r="R653" s="159">
        <f>IF(COUNT($I$3:R$3)&gt;(Dashboard!$I$31),BEB!$F$653*1,0)</f>
        <v>0</v>
      </c>
      <c r="S653" s="159">
        <f>IF(COUNT($I$3:S$3)&gt;(Dashboard!$I$31),BEB!$F$653*1,0)</f>
        <v>0</v>
      </c>
      <c r="T653" s="159">
        <f>IF(COUNT($I$3:T$3)&gt;(Dashboard!$I$31),BEB!$F$653*1,0)</f>
        <v>0</v>
      </c>
      <c r="U653" s="159">
        <f>IF(COUNT($I$3:U$3)&gt;(Dashboard!$I$31),BEB!$F$653*1,0)</f>
        <v>0.02</v>
      </c>
      <c r="V653" s="159">
        <f>IF(COUNT($I$3:V$3)&gt;(Dashboard!$I$31),BEB!$F$653*1,0)</f>
        <v>0.02</v>
      </c>
      <c r="W653" s="159">
        <f>IF(COUNT($I$3:W$3)&gt;(Dashboard!$I$31),BEB!$F$653*1,0)</f>
        <v>0.02</v>
      </c>
      <c r="X653" s="159">
        <f>IF(COUNT($I$3:X$3)&gt;(Dashboard!$I$31),BEB!$F$653*1,0)</f>
        <v>0.02</v>
      </c>
      <c r="Y653" s="159">
        <f>IF(COUNT($I$3:Y$3)&gt;(Dashboard!$I$31),BEB!$F$653*1,0)</f>
        <v>0.02</v>
      </c>
      <c r="Z653" s="159">
        <f>IF(COUNT($I$3:Z$3)&gt;(Dashboard!$I$31),BEB!$F$653*1,0)</f>
        <v>0.02</v>
      </c>
      <c r="AA653" s="159">
        <f>IF(COUNT($I$3:AA$3)&gt;(Dashboard!$I$31),BEB!$F$653*1,0)</f>
        <v>0.02</v>
      </c>
      <c r="AB653" s="159">
        <f>IF(COUNT($I$3:AB$3)&gt;(Dashboard!$I$31),BEB!$F$653*1,0)</f>
        <v>0.02</v>
      </c>
      <c r="AC653" s="159">
        <f>IF(COUNT($I$3:AC$3)&gt;(Dashboard!$I$31),BEB!$F$653*1,0)</f>
        <v>0.02</v>
      </c>
      <c r="AD653" s="159">
        <f>IF(COUNT($I$3:AD$3)&gt;(Dashboard!$I$31),BEB!$F$653*1,0)</f>
        <v>0.02</v>
      </c>
      <c r="AE653" s="159">
        <f>IF(COUNT($I$3:AE$3)&gt;(Dashboard!$I$31),BEB!$F$653*1,0)</f>
        <v>0.02</v>
      </c>
      <c r="AF653" s="159">
        <f>IF(COUNT($I$3:AF$3)&gt;(Dashboard!$I$31),BEB!$F$653*1,0)</f>
        <v>0.02</v>
      </c>
      <c r="AG653" s="159">
        <f>IF(COUNT($I$3:AG$3)&gt;(Dashboard!$I$31),BEB!$F$653*1,0)</f>
        <v>0.02</v>
      </c>
      <c r="AH653" s="159">
        <f>IF(COUNT($I$3:AH$3)&gt;(Dashboard!$I$31),BEB!$F$653*1,0)</f>
        <v>0.02</v>
      </c>
      <c r="AI653" s="159">
        <f>IF(COUNT($I$3:AI$3)&gt;(Dashboard!$I$31),BEB!$F$653*1,0)</f>
        <v>0.02</v>
      </c>
      <c r="AJ653" s="159">
        <f>IF(COUNT($I$3:AJ$3)&gt;(Dashboard!$I$31),BEB!$F$653*1,0)</f>
        <v>0.02</v>
      </c>
      <c r="AK653" s="159">
        <f>IF(COUNT($I$3:AK$3)&gt;(Dashboard!$I$31),BEB!$F$653*1,0)</f>
        <v>0.02</v>
      </c>
      <c r="AL653" s="159">
        <f>IF(COUNT($I$3:AL$3)&gt;(Dashboard!$I$31),BEB!$F$653*1,0)</f>
        <v>0.02</v>
      </c>
      <c r="AM653" s="159">
        <f>IF(COUNT($I$3:AM$3)&gt;(Dashboard!$I$31),BEB!$F$653*1,0)</f>
        <v>0.02</v>
      </c>
      <c r="AN653" s="159">
        <f>IF(COUNT($I$3:AN$3)&gt;(Dashboard!$I$31),BEB!$F$653*1,0)</f>
        <v>0.02</v>
      </c>
      <c r="AO653" s="14"/>
      <c r="AP653" s="17"/>
    </row>
    <row r="654" spans="1:42" x14ac:dyDescent="0.25">
      <c r="A654" s="12"/>
      <c r="B654" s="13"/>
      <c r="C654" s="41"/>
      <c r="D654" s="41"/>
      <c r="E654" s="15"/>
      <c r="F654" s="190"/>
      <c r="G654" s="14"/>
      <c r="H654" s="159"/>
      <c r="I654" s="203"/>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159"/>
      <c r="AG654" s="159"/>
      <c r="AH654" s="159"/>
      <c r="AI654" s="159"/>
      <c r="AJ654" s="159"/>
      <c r="AK654" s="159"/>
      <c r="AL654" s="159"/>
      <c r="AM654" s="159"/>
      <c r="AN654" s="159"/>
      <c r="AO654" s="14"/>
      <c r="AP654" s="17"/>
    </row>
    <row r="655" spans="1:42" x14ac:dyDescent="0.25">
      <c r="A655" s="12"/>
      <c r="B655" s="13"/>
      <c r="C655" s="41"/>
      <c r="D655" s="41"/>
      <c r="E655" s="15"/>
      <c r="F655" s="190"/>
      <c r="G655" s="14"/>
      <c r="H655" s="159"/>
      <c r="I655" s="56">
        <f>(1-SUM(I$653:$I653))</f>
        <v>1</v>
      </c>
      <c r="J655" s="56">
        <f>(1-SUM($I$653:J653))</f>
        <v>1</v>
      </c>
      <c r="K655" s="56">
        <f>(1-SUM($I$653:K653))</f>
        <v>1</v>
      </c>
      <c r="L655" s="56">
        <f>(1-SUM($I$653:L653))</f>
        <v>1</v>
      </c>
      <c r="M655" s="56">
        <f>(1-SUM($I$653:M653))</f>
        <v>1</v>
      </c>
      <c r="N655" s="56">
        <f>(1-SUM($I$653:N653))</f>
        <v>1</v>
      </c>
      <c r="O655" s="56">
        <f>(1-SUM($I$653:O653))</f>
        <v>1</v>
      </c>
      <c r="P655" s="56">
        <f>(1-SUM($I$653:P653))</f>
        <v>1</v>
      </c>
      <c r="Q655" s="56">
        <f>(1-SUM($I$653:Q653))</f>
        <v>1</v>
      </c>
      <c r="R655" s="56">
        <f>(1-SUM($I$653:R653))</f>
        <v>1</v>
      </c>
      <c r="S655" s="56">
        <f>(1-SUM($I$653:S653))</f>
        <v>1</v>
      </c>
      <c r="T655" s="56">
        <f>(1-SUM($I$653:T653))</f>
        <v>1</v>
      </c>
      <c r="U655" s="56">
        <f>(1-SUM($I$653:U653))</f>
        <v>0.98</v>
      </c>
      <c r="V655" s="56">
        <f>(1-SUM($I$653:V653))</f>
        <v>0.96</v>
      </c>
      <c r="W655" s="56">
        <f>(1-SUM($I$653:W653))</f>
        <v>0.94</v>
      </c>
      <c r="X655" s="56">
        <f>(1-SUM($I$653:X653))</f>
        <v>0.92</v>
      </c>
      <c r="Y655" s="56">
        <f>(1-SUM($I$653:Y653))</f>
        <v>0.9</v>
      </c>
      <c r="Z655" s="56">
        <f>(1-SUM($I$653:Z653))</f>
        <v>0.88</v>
      </c>
      <c r="AA655" s="56">
        <f>(1-SUM($I$653:AA653))</f>
        <v>0.86</v>
      </c>
      <c r="AB655" s="56">
        <f>(1-SUM($I$653:AB653))</f>
        <v>0.84</v>
      </c>
      <c r="AC655" s="56">
        <f>(1-SUM($I$653:AC653))</f>
        <v>0.82000000000000006</v>
      </c>
      <c r="AD655" s="56">
        <f>(1-SUM($I$653:AD653))</f>
        <v>0.8</v>
      </c>
      <c r="AE655" s="56">
        <f>(1-SUM($I$653:AE653))</f>
        <v>0.78</v>
      </c>
      <c r="AF655" s="56">
        <f>(1-SUM($I$653:AF653))</f>
        <v>0.76</v>
      </c>
      <c r="AG655" s="56">
        <f>(1-SUM($I$653:AG653))</f>
        <v>0.74</v>
      </c>
      <c r="AH655" s="56">
        <f>(1-SUM($I$653:AH653))</f>
        <v>0.72</v>
      </c>
      <c r="AI655" s="56">
        <f>(1-SUM($I$653:AI653))</f>
        <v>0.7</v>
      </c>
      <c r="AJ655" s="56">
        <f>(1-SUM($I$653:AJ653))</f>
        <v>0.67999999999999994</v>
      </c>
      <c r="AK655" s="56">
        <f>(1-SUM($I$653:AK653))</f>
        <v>0.65999999999999992</v>
      </c>
      <c r="AL655" s="56">
        <f>(1-SUM($I$653:AL653))</f>
        <v>0.6399999999999999</v>
      </c>
      <c r="AM655" s="56">
        <f>(1-SUM($I$653:AM653))</f>
        <v>0.61999999999999988</v>
      </c>
      <c r="AN655" s="56">
        <f>(1-SUM($I$653:AN653))</f>
        <v>0.59999999999999987</v>
      </c>
      <c r="AO655" s="14"/>
      <c r="AP655" s="17"/>
    </row>
    <row r="656" spans="1:42" x14ac:dyDescent="0.25">
      <c r="A656" s="12"/>
      <c r="B656" s="13"/>
      <c r="C656" s="195" t="str">
        <f>C672</f>
        <v>TCO 1: End-of-Life Diesel Bus Replacement with BEB</v>
      </c>
      <c r="D656" s="195"/>
      <c r="E656" s="192"/>
      <c r="F656" s="16"/>
      <c r="G656" s="191"/>
      <c r="H656" s="196"/>
      <c r="I656" s="196"/>
      <c r="J656" s="196"/>
      <c r="K656" s="196"/>
      <c r="L656" s="196"/>
      <c r="M656" s="196"/>
      <c r="N656" s="196"/>
      <c r="O656" s="196"/>
      <c r="P656" s="196"/>
      <c r="Q656" s="196"/>
      <c r="R656" s="196"/>
      <c r="S656" s="196"/>
      <c r="T656" s="196"/>
      <c r="U656" s="196"/>
      <c r="V656" s="196"/>
      <c r="W656" s="196"/>
      <c r="X656" s="196"/>
      <c r="Y656" s="196"/>
      <c r="Z656" s="196"/>
      <c r="AA656" s="196"/>
      <c r="AB656" s="196"/>
      <c r="AC656" s="191"/>
      <c r="AD656" s="191"/>
      <c r="AE656" s="191"/>
      <c r="AF656" s="191"/>
      <c r="AG656" s="191"/>
      <c r="AH656" s="191"/>
      <c r="AI656" s="191"/>
      <c r="AJ656" s="191"/>
      <c r="AK656" s="191"/>
      <c r="AL656" s="191"/>
      <c r="AM656" s="191"/>
      <c r="AN656" s="191"/>
      <c r="AO656" s="191"/>
      <c r="AP656" s="197"/>
    </row>
    <row r="657" spans="1:42" x14ac:dyDescent="0.25">
      <c r="A657" s="12"/>
      <c r="B657" s="13"/>
      <c r="C657" s="136" t="s">
        <v>252</v>
      </c>
      <c r="D657" s="41"/>
      <c r="E657" s="15" t="s">
        <v>556</v>
      </c>
      <c r="F657" s="16"/>
      <c r="G657" s="14"/>
      <c r="H657" s="159"/>
      <c r="I657" s="159">
        <f>IF(COUNT($I$3:I$3)&lt;=Dashboard!$I$31,BEB!I652*1,0)</f>
        <v>93600</v>
      </c>
      <c r="J657" s="159">
        <f>IF(COUNT($I$3:J$3)&lt;=Dashboard!$I$31,BEB!J652*1,0)</f>
        <v>93600</v>
      </c>
      <c r="K657" s="159">
        <f>IF(COUNT($I$3:K$3)&lt;=Dashboard!$I$31,BEB!K652*1,0)</f>
        <v>93600</v>
      </c>
      <c r="L657" s="159">
        <f>IF(COUNT($I$3:L$3)&lt;=Dashboard!$I$31,BEB!L652*1,0)</f>
        <v>93600</v>
      </c>
      <c r="M657" s="159">
        <f>IF(COUNT($I$3:M$3)&lt;=Dashboard!$I$31,BEB!M652*1,0)</f>
        <v>93600</v>
      </c>
      <c r="N657" s="159">
        <f>IF(COUNT($I$3:N$3)&lt;=Dashboard!$I$31,BEB!N652*1,0)</f>
        <v>93600</v>
      </c>
      <c r="O657" s="159">
        <f>IF(COUNT($I$3:O$3)&lt;=Dashboard!$I$31,BEB!O652*1,0)</f>
        <v>93600</v>
      </c>
      <c r="P657" s="159">
        <f>IF(COUNT($I$3:P$3)&lt;=Dashboard!$I$31,BEB!P652*1,0)</f>
        <v>93600</v>
      </c>
      <c r="Q657" s="159">
        <f>IF(COUNT($I$3:Q$3)&lt;=Dashboard!$I$31,BEB!Q652*1,0)</f>
        <v>93600</v>
      </c>
      <c r="R657" s="159">
        <f>IF(COUNT($I$3:R$3)&lt;=Dashboard!$I$31,BEB!R652*1,0)</f>
        <v>93600</v>
      </c>
      <c r="S657" s="159">
        <f>IF(COUNT($I$3:S$3)&lt;=Dashboard!$I$31,BEB!S652*1,0)</f>
        <v>93600</v>
      </c>
      <c r="T657" s="159">
        <f>IF(COUNT($I$3:T$3)&lt;=Dashboard!$I$31,BEB!T652*1,0)</f>
        <v>93600</v>
      </c>
      <c r="U657" s="159">
        <f>IF(COUNT($I$3:U$3)&lt;=Dashboard!$I$31,BEB!U652*1,0)</f>
        <v>0</v>
      </c>
      <c r="V657" s="159">
        <f>IF(COUNT($I$3:V$3)&lt;=Dashboard!$I$31,BEB!V652*1,0)</f>
        <v>0</v>
      </c>
      <c r="W657" s="159">
        <f>IF(COUNT($I$3:W$3)&lt;=Dashboard!$I$31,BEB!W652*1,0)</f>
        <v>0</v>
      </c>
      <c r="X657" s="159">
        <f>IF(COUNT($I$3:X$3)&lt;=Dashboard!$I$31,BEB!X652*1,0)</f>
        <v>0</v>
      </c>
      <c r="Y657" s="159">
        <f>IF(COUNT($I$3:Y$3)&lt;=Dashboard!$I$31,BEB!Y652*1,0)</f>
        <v>0</v>
      </c>
      <c r="Z657" s="159">
        <f>IF(COUNT($I$3:Z$3)&lt;=Dashboard!$I$31,BEB!Z652*1,0)</f>
        <v>0</v>
      </c>
      <c r="AA657" s="159">
        <f>IF(COUNT($I$3:AA$3)&lt;=Dashboard!$I$31,BEB!AA652*1,0)</f>
        <v>0</v>
      </c>
      <c r="AB657" s="159">
        <f>IF(COUNT($I$3:AB$3)&lt;=Dashboard!$I$31,BEB!AB652*1,0)</f>
        <v>0</v>
      </c>
      <c r="AC657" s="159">
        <f>IF(COUNT($I$3:AC$3)&lt;=Dashboard!$I$31,BEB!AC652*1,0)</f>
        <v>0</v>
      </c>
      <c r="AD657" s="159">
        <f>IF(COUNT($I$3:AD$3)&lt;=Dashboard!$I$31,BEB!AD652*1,0)</f>
        <v>0</v>
      </c>
      <c r="AE657" s="159">
        <f>IF(COUNT($I$3:AE$3)&lt;=Dashboard!$I$31,BEB!AE652*1,0)</f>
        <v>0</v>
      </c>
      <c r="AF657" s="159">
        <f>IF(COUNT($I$3:AF$3)&lt;=Dashboard!$I$31,BEB!AF652*1,0)</f>
        <v>0</v>
      </c>
      <c r="AG657" s="159">
        <f>IF(COUNT($I$3:AG$3)&lt;=Dashboard!$I$31,BEB!AG652*1,0)</f>
        <v>0</v>
      </c>
      <c r="AH657" s="159">
        <f>IF(COUNT($I$3:AH$3)&lt;=Dashboard!$I$31,BEB!AH652*1,0)</f>
        <v>0</v>
      </c>
      <c r="AI657" s="159">
        <f>IF(COUNT($I$3:AI$3)&lt;=Dashboard!$I$31,BEB!AI652*1,0)</f>
        <v>0</v>
      </c>
      <c r="AJ657" s="159">
        <f>IF(COUNT($I$3:AJ$3)&lt;=Dashboard!$I$31,BEB!AJ652*1,0)</f>
        <v>0</v>
      </c>
      <c r="AK657" s="159">
        <f>IF(COUNT($I$3:AK$3)&lt;=Dashboard!$I$31,BEB!AK652*1,0)</f>
        <v>0</v>
      </c>
      <c r="AL657" s="159">
        <f>IF(COUNT($I$3:AL$3)&lt;=Dashboard!$I$31,BEB!AL652*1,0)</f>
        <v>0</v>
      </c>
      <c r="AM657" s="159">
        <f>IF(COUNT($I$3:AM$3)&lt;=Dashboard!$I$31,BEB!AM652*1,0)</f>
        <v>0</v>
      </c>
      <c r="AN657" s="159">
        <f>IF(COUNT($I$3:AN$3)&lt;=Dashboard!$I$31,BEB!AN652*1,0)</f>
        <v>0</v>
      </c>
      <c r="AO657" s="159"/>
      <c r="AP657" s="17"/>
    </row>
    <row r="658" spans="1:42" x14ac:dyDescent="0.25">
      <c r="A658" s="12"/>
      <c r="B658" s="13"/>
      <c r="C658" s="136" t="s">
        <v>28</v>
      </c>
      <c r="D658" s="41"/>
      <c r="E658" s="15" t="s">
        <v>556</v>
      </c>
      <c r="F658" s="16"/>
      <c r="G658" s="14"/>
      <c r="H658" s="159"/>
      <c r="I658" s="159">
        <f>IF(COUNT($I$3:I$3)&gt;Dashboard!$I$31,BEB!I652*1,0)</f>
        <v>0</v>
      </c>
      <c r="J658" s="159">
        <f>IF(COUNT($I$3:J$3)&gt;Dashboard!$I$31,BEB!J652*1,0)</f>
        <v>0</v>
      </c>
      <c r="K658" s="159">
        <f>IF(COUNT($I$3:K$3)&gt;Dashboard!$I$31,BEB!K652*1,0)</f>
        <v>0</v>
      </c>
      <c r="L658" s="159">
        <f>IF(COUNT($I$3:L$3)&gt;Dashboard!$I$31,BEB!L652*1,0)</f>
        <v>0</v>
      </c>
      <c r="M658" s="159">
        <f>IF(COUNT($I$3:M$3)&gt;Dashboard!$I$31,BEB!M652*1,0)</f>
        <v>0</v>
      </c>
      <c r="N658" s="159">
        <f>IF(COUNT($I$3:N$3)&gt;Dashboard!$I$31,BEB!N652*1,0)</f>
        <v>0</v>
      </c>
      <c r="O658" s="159">
        <f>IF(COUNT($I$3:O$3)&gt;Dashboard!$I$31,BEB!O652*1,0)</f>
        <v>0</v>
      </c>
      <c r="P658" s="159">
        <f>IF(COUNT($I$3:P$3)&gt;Dashboard!$I$31,BEB!P652*1,0)</f>
        <v>0</v>
      </c>
      <c r="Q658" s="159">
        <f>IF(COUNT($I$3:Q$3)&gt;Dashboard!$I$31,BEB!Q652*1,0)</f>
        <v>0</v>
      </c>
      <c r="R658" s="159">
        <f>IF(COUNT($I$3:R$3)&gt;Dashboard!$I$31,BEB!R652*1,0)</f>
        <v>0</v>
      </c>
      <c r="S658" s="159">
        <f>IF(COUNT($I$3:S$3)&gt;Dashboard!$I$31,BEB!S652*1,0)</f>
        <v>0</v>
      </c>
      <c r="T658" s="159">
        <f>IF(COUNT($I$3:T$3)&gt;Dashboard!$I$31,BEB!T652*1,0)</f>
        <v>0</v>
      </c>
      <c r="U658" s="159">
        <f>IF(COUNT($I$3:U$3)&gt;Dashboard!$I$31,BEB!U652*1,0)</f>
        <v>93600</v>
      </c>
      <c r="V658" s="159">
        <f>IF(COUNT($I$3:V$3)&gt;Dashboard!$I$31,BEB!V652*1,0)</f>
        <v>93600</v>
      </c>
      <c r="W658" s="159">
        <f>IF(COUNT($I$3:W$3)&gt;Dashboard!$I$31,BEB!W652*1,0)</f>
        <v>93600</v>
      </c>
      <c r="X658" s="159">
        <f>IF(COUNT($I$3:X$3)&gt;Dashboard!$I$31,BEB!X652*1,0)</f>
        <v>93600</v>
      </c>
      <c r="Y658" s="159">
        <f>IF(COUNT($I$3:Y$3)&gt;Dashboard!$I$31,BEB!Y652*1,0)</f>
        <v>93600</v>
      </c>
      <c r="Z658" s="159">
        <f>IF(COUNT($I$3:Z$3)&gt;Dashboard!$I$31,BEB!Z652*1,0)</f>
        <v>93600</v>
      </c>
      <c r="AA658" s="159">
        <f>IF(COUNT($I$3:AA$3)&gt;Dashboard!$I$31,BEB!AA652*1,0)</f>
        <v>93600</v>
      </c>
      <c r="AB658" s="159">
        <f>IF(COUNT($I$3:AB$3)&gt;Dashboard!$I$31,BEB!AB652*1,0)</f>
        <v>93600</v>
      </c>
      <c r="AC658" s="159">
        <f>IF(COUNT($I$3:AC$3)&gt;Dashboard!$I$31,BEB!AC652*1,0)</f>
        <v>93600</v>
      </c>
      <c r="AD658" s="159">
        <f>IF(COUNT($I$3:AD$3)&gt;Dashboard!$I$31,BEB!AD652*1,0)</f>
        <v>93600</v>
      </c>
      <c r="AE658" s="159">
        <f>IF(COUNT($I$3:AE$3)&gt;Dashboard!$I$31,BEB!AE652*1,0)</f>
        <v>93600</v>
      </c>
      <c r="AF658" s="159">
        <f>IF(COUNT($I$3:AF$3)&gt;Dashboard!$I$31,BEB!AF652*1,0)</f>
        <v>93600</v>
      </c>
      <c r="AG658" s="159">
        <f>IF(COUNT($I$3:AG$3)&gt;Dashboard!$I$31,BEB!AG652*1,0)</f>
        <v>93600</v>
      </c>
      <c r="AH658" s="159">
        <f>IF(COUNT($I$3:AH$3)&gt;Dashboard!$I$31,BEB!AH652*1,0)</f>
        <v>93600</v>
      </c>
      <c r="AI658" s="159">
        <f>IF(COUNT($I$3:AI$3)&gt;Dashboard!$I$31,BEB!AI652*1,0)</f>
        <v>93600</v>
      </c>
      <c r="AJ658" s="159">
        <f>IF(COUNT($I$3:AJ$3)&gt;Dashboard!$I$31,BEB!AJ652*1,0)</f>
        <v>93600</v>
      </c>
      <c r="AK658" s="159">
        <f>IF(COUNT($I$3:AK$3)&gt;Dashboard!$I$31,BEB!AK652*1,0)</f>
        <v>93600</v>
      </c>
      <c r="AL658" s="159">
        <f>IF(COUNT($I$3:AL$3)&gt;Dashboard!$I$31,BEB!AL652*1,0)</f>
        <v>93600</v>
      </c>
      <c r="AM658" s="159">
        <f>IF(COUNT($I$3:AM$3)&gt;Dashboard!$I$31,BEB!AM652*1,0)</f>
        <v>93600</v>
      </c>
      <c r="AN658" s="159">
        <f>IF(COUNT($I$3:AN$3)&gt;Dashboard!$I$31,BEB!AN652*1,0)</f>
        <v>93600</v>
      </c>
      <c r="AO658" s="159"/>
      <c r="AP658" s="17"/>
    </row>
    <row r="659" spans="1:42" x14ac:dyDescent="0.25">
      <c r="A659" s="12"/>
      <c r="B659" s="13"/>
      <c r="C659" s="136" t="s">
        <v>557</v>
      </c>
      <c r="D659" s="41"/>
      <c r="E659" s="15" t="s">
        <v>556</v>
      </c>
      <c r="F659" s="16"/>
      <c r="G659" s="14"/>
      <c r="H659" s="159"/>
      <c r="I659" s="159">
        <f>IF(I655&gt;(1-(Data!$E$337+1)*Data!$E$351),I658,0)</f>
        <v>0</v>
      </c>
      <c r="J659" s="159">
        <f>IF(J655&gt;(1-(Data!$E$337+1)*Data!$E$351),J658,0)</f>
        <v>0</v>
      </c>
      <c r="K659" s="159">
        <f>IF(K655&gt;(1-(Data!$E$337+1)*Data!$E$351),K658,0)</f>
        <v>0</v>
      </c>
      <c r="L659" s="159">
        <f>IF(L655&gt;(1-(Data!$E$337+1)*Data!$E$351),L658,0)</f>
        <v>0</v>
      </c>
      <c r="M659" s="159">
        <f>IF(M655&gt;(1-(Data!$E$337+1)*Data!$E$351),M658,0)</f>
        <v>0</v>
      </c>
      <c r="N659" s="159">
        <f>IF(N655&gt;(1-(Data!$E$337+1)*Data!$E$351),N658,0)</f>
        <v>0</v>
      </c>
      <c r="O659" s="159">
        <f>IF(O655&gt;(1-(Data!$E$337+1)*Data!$E$351),O658,0)</f>
        <v>0</v>
      </c>
      <c r="P659" s="159">
        <f>IF(P655&gt;(1-(Data!$E$337+1)*Data!$E$351),P658,0)</f>
        <v>0</v>
      </c>
      <c r="Q659" s="159">
        <f>IF(Q655&gt;(1-(Data!$E$337+1)*Data!$E$351),Q658,0)</f>
        <v>0</v>
      </c>
      <c r="R659" s="159">
        <f>IF(R655&gt;(1-(Data!$E$337+1)*Data!$E$351),R658,0)</f>
        <v>0</v>
      </c>
      <c r="S659" s="159">
        <f>IF(S655&gt;(1-(Data!$E$337+1)*Data!$E$351),S658,0)</f>
        <v>0</v>
      </c>
      <c r="T659" s="159">
        <f>IF(T655&gt;(1-(Data!$E$337+1)*Data!$E$351),T658,0)</f>
        <v>0</v>
      </c>
      <c r="U659" s="159">
        <f>IF(U655&gt;(1-(Data!$E$337+1)*Data!$E$351),U658,0)</f>
        <v>93600</v>
      </c>
      <c r="V659" s="159">
        <f>IF(V655&gt;(1-(Data!$E$337+1)*Data!$E$351),V658,0)</f>
        <v>93600</v>
      </c>
      <c r="W659" s="159">
        <f>IF(W655&gt;(1-(Data!$E$337+1)*Data!$E$351),W658,0)</f>
        <v>93600</v>
      </c>
      <c r="X659" s="159">
        <f>IF(X655&gt;(1-(Data!$E$337+1)*Data!$E$351),X658,0)</f>
        <v>93600</v>
      </c>
      <c r="Y659" s="159">
        <f>IF(Y655&gt;(1-(Data!$E$337+1)*Data!$E$351),Y658,0)</f>
        <v>93600</v>
      </c>
      <c r="Z659" s="159">
        <f>IF(Z655&gt;(1-(Data!$E$337+1)*Data!$E$351),Z658,0)</f>
        <v>93600</v>
      </c>
      <c r="AA659" s="159">
        <f>IF(AA655&gt;(1-(Data!$E$337+1)*Data!$E$351),AA658,0)</f>
        <v>93600</v>
      </c>
      <c r="AB659" s="159">
        <f>IF(AB655&gt;(1-(Data!$E$337+1)*Data!$E$351),AB658,0)</f>
        <v>93600</v>
      </c>
      <c r="AC659" s="159">
        <f>IF(AC655&gt;(1-(Data!$E$337+1)*Data!$E$351),AC658,0)</f>
        <v>93600</v>
      </c>
      <c r="AD659" s="159">
        <f>IF(AD655&gt;(1-(Data!$E$337+1)*Data!$E$351),AD658,0)</f>
        <v>93600</v>
      </c>
      <c r="AE659" s="159">
        <f>IF(AE655&gt;(1-(Data!$E$337+1)*Data!$E$351),AE658,0)</f>
        <v>93600</v>
      </c>
      <c r="AF659" s="159">
        <f>IF(AF655&gt;(1-(Data!$E$337+1)*Data!$E$351),AF658,0)</f>
        <v>93600</v>
      </c>
      <c r="AG659" s="159">
        <f>IF(AG655&gt;(1-(Data!$E$337+1)*Data!$E$351),AG658,0)</f>
        <v>93600</v>
      </c>
      <c r="AH659" s="159">
        <f>IF(AH655&gt;(1-(Data!$E$337+1)*Data!$E$351),AH658,0)</f>
        <v>93600</v>
      </c>
      <c r="AI659" s="159">
        <f>IF(AI655&gt;(1-(Data!$E$337+1)*Data!$E$351),AI658,0)</f>
        <v>93600</v>
      </c>
      <c r="AJ659" s="159">
        <f>IF(AJ655&gt;(1-(Data!$E$337+1)*Data!$E$351),AJ658,0)</f>
        <v>93600</v>
      </c>
      <c r="AK659" s="159">
        <f>IF(AK655&gt;(1-(Data!$E$337+1)*Data!$E$351),AK658,0)</f>
        <v>93600</v>
      </c>
      <c r="AL659" s="159">
        <f>IF(AL655&gt;(1-(Data!$E$337+1)*Data!$E$351),AL658,0)</f>
        <v>93600</v>
      </c>
      <c r="AM659" s="159">
        <f>IF(AM655&gt;(1-(Data!$E$337+1)*Data!$E$351),AM658,0)</f>
        <v>93600</v>
      </c>
      <c r="AN659" s="159">
        <f>IF(AN655&gt;(1-(Data!$E$337+1)*Data!$E$351),AN658,0)</f>
        <v>93600</v>
      </c>
      <c r="AO659" s="159"/>
      <c r="AP659" s="17"/>
    </row>
    <row r="660" spans="1:42" x14ac:dyDescent="0.25">
      <c r="A660" s="12"/>
      <c r="B660" s="13"/>
      <c r="C660" s="136"/>
      <c r="D660" s="41"/>
      <c r="E660" s="15"/>
      <c r="F660" s="16"/>
      <c r="G660" s="14"/>
      <c r="H660" s="141"/>
      <c r="I660" s="14"/>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159"/>
      <c r="AG660" s="159"/>
      <c r="AH660" s="159"/>
      <c r="AI660" s="159"/>
      <c r="AJ660" s="159"/>
      <c r="AK660" s="159"/>
      <c r="AL660" s="159"/>
      <c r="AM660" s="159"/>
      <c r="AN660" s="159"/>
      <c r="AO660" s="159"/>
      <c r="AP660" s="17"/>
    </row>
    <row r="661" spans="1:42" x14ac:dyDescent="0.25">
      <c r="A661" s="12"/>
      <c r="B661" s="13"/>
      <c r="C661" s="195" t="str">
        <f>C813</f>
        <v>TCO 2: Immediate Diesel to BEB Bus Replacement</v>
      </c>
      <c r="D661" s="195"/>
      <c r="E661" s="192"/>
      <c r="F661" s="16"/>
      <c r="G661" s="191"/>
      <c r="H661" s="196"/>
      <c r="I661" s="198"/>
      <c r="J661" s="198"/>
      <c r="K661" s="198"/>
      <c r="L661" s="198"/>
      <c r="M661" s="198"/>
      <c r="N661" s="198"/>
      <c r="O661" s="198"/>
      <c r="P661" s="198"/>
      <c r="Q661" s="198"/>
      <c r="R661" s="198"/>
      <c r="S661" s="198"/>
      <c r="T661" s="198"/>
      <c r="U661" s="198"/>
      <c r="V661" s="198"/>
      <c r="W661" s="198"/>
      <c r="X661" s="198"/>
      <c r="Y661" s="198"/>
      <c r="Z661" s="198"/>
      <c r="AA661" s="198"/>
      <c r="AB661" s="198"/>
      <c r="AC661" s="198"/>
      <c r="AD661" s="198"/>
      <c r="AE661" s="198"/>
      <c r="AF661" s="198"/>
      <c r="AG661" s="198"/>
      <c r="AH661" s="198"/>
      <c r="AI661" s="198"/>
      <c r="AJ661" s="198"/>
      <c r="AK661" s="198"/>
      <c r="AL661" s="198"/>
      <c r="AM661" s="198"/>
      <c r="AN661" s="198"/>
      <c r="AO661" s="198"/>
      <c r="AP661" s="197"/>
    </row>
    <row r="662" spans="1:42" x14ac:dyDescent="0.25">
      <c r="A662" s="12"/>
      <c r="B662" s="13"/>
      <c r="C662" t="s">
        <v>28</v>
      </c>
      <c r="D662" s="41"/>
      <c r="E662" s="15"/>
      <c r="F662" s="16"/>
      <c r="G662" s="14"/>
      <c r="H662" s="141"/>
      <c r="I662" s="159">
        <f>I652</f>
        <v>93600</v>
      </c>
      <c r="J662" s="159">
        <f t="shared" ref="J662:S662" si="176">J652</f>
        <v>93600</v>
      </c>
      <c r="K662" s="159">
        <f t="shared" si="176"/>
        <v>93600</v>
      </c>
      <c r="L662" s="159">
        <f t="shared" si="176"/>
        <v>93600</v>
      </c>
      <c r="M662" s="159">
        <f t="shared" si="176"/>
        <v>93600</v>
      </c>
      <c r="N662" s="159">
        <f t="shared" si="176"/>
        <v>93600</v>
      </c>
      <c r="O662" s="159">
        <f t="shared" si="176"/>
        <v>93600</v>
      </c>
      <c r="P662" s="159">
        <f t="shared" si="176"/>
        <v>93600</v>
      </c>
      <c r="Q662" s="159">
        <f t="shared" si="176"/>
        <v>93600</v>
      </c>
      <c r="R662" s="159">
        <f t="shared" si="176"/>
        <v>93600</v>
      </c>
      <c r="S662" s="159">
        <f t="shared" si="176"/>
        <v>93600</v>
      </c>
      <c r="T662" s="159">
        <f>T652</f>
        <v>93600</v>
      </c>
      <c r="U662" s="159">
        <f t="shared" ref="U662:AB662" si="177">U652</f>
        <v>93600</v>
      </c>
      <c r="V662" s="159">
        <f t="shared" si="177"/>
        <v>93600</v>
      </c>
      <c r="W662" s="159">
        <f t="shared" si="177"/>
        <v>93600</v>
      </c>
      <c r="X662" s="159">
        <f t="shared" si="177"/>
        <v>93600</v>
      </c>
      <c r="Y662" s="159">
        <f t="shared" si="177"/>
        <v>93600</v>
      </c>
      <c r="Z662" s="159">
        <f t="shared" si="177"/>
        <v>93600</v>
      </c>
      <c r="AA662" s="159">
        <f t="shared" si="177"/>
        <v>93600</v>
      </c>
      <c r="AB662" s="159">
        <f t="shared" si="177"/>
        <v>93600</v>
      </c>
      <c r="AC662" s="14"/>
      <c r="AD662" s="14"/>
      <c r="AE662" s="14"/>
      <c r="AF662" s="14"/>
      <c r="AG662" s="14"/>
      <c r="AH662" s="14"/>
      <c r="AI662" s="14"/>
      <c r="AJ662" s="14"/>
      <c r="AK662" s="14"/>
      <c r="AL662" s="14"/>
      <c r="AM662" s="14"/>
      <c r="AN662" s="14"/>
      <c r="AO662" s="14"/>
      <c r="AP662" s="17"/>
    </row>
    <row r="663" spans="1:42" x14ac:dyDescent="0.25">
      <c r="A663" s="12"/>
      <c r="B663" s="13"/>
      <c r="C663" s="41"/>
      <c r="D663" s="41"/>
      <c r="E663" s="15"/>
      <c r="F663" s="16"/>
      <c r="G663" s="14"/>
      <c r="H663" s="141"/>
      <c r="I663" s="141"/>
      <c r="J663" s="151"/>
      <c r="K663" s="151"/>
      <c r="L663" s="151"/>
      <c r="M663" s="151"/>
      <c r="N663" s="151"/>
      <c r="O663" s="151"/>
      <c r="P663" s="151"/>
      <c r="Q663" s="151"/>
      <c r="R663" s="151"/>
      <c r="S663" s="151"/>
      <c r="T663" s="151"/>
      <c r="U663" s="141"/>
      <c r="V663" s="141"/>
      <c r="W663" s="141"/>
      <c r="X663" s="141"/>
      <c r="Y663" s="141"/>
      <c r="Z663" s="141"/>
      <c r="AA663" s="141"/>
      <c r="AB663" s="141"/>
      <c r="AC663" s="14"/>
      <c r="AD663" s="14"/>
      <c r="AE663" s="14"/>
      <c r="AF663" s="14"/>
      <c r="AG663" s="14"/>
      <c r="AH663" s="14"/>
      <c r="AI663" s="14"/>
      <c r="AJ663" s="14"/>
      <c r="AK663" s="14"/>
      <c r="AL663" s="14"/>
      <c r="AM663" s="14"/>
      <c r="AN663" s="14"/>
      <c r="AO663" s="14"/>
      <c r="AP663" s="17"/>
    </row>
    <row r="664" spans="1:42" x14ac:dyDescent="0.25">
      <c r="A664" s="12"/>
      <c r="B664" s="13"/>
      <c r="C664" s="136"/>
      <c r="D664" s="41"/>
      <c r="E664" s="15"/>
      <c r="F664" s="16"/>
      <c r="G664" s="14"/>
      <c r="H664" s="141"/>
      <c r="I664" s="141"/>
      <c r="J664" s="141"/>
      <c r="K664" s="141"/>
      <c r="L664" s="141"/>
      <c r="M664" s="141"/>
      <c r="N664" s="141"/>
      <c r="O664" s="141"/>
      <c r="P664" s="141"/>
      <c r="Q664" s="141"/>
      <c r="R664" s="141"/>
      <c r="S664" s="141"/>
      <c r="T664" s="141"/>
      <c r="U664" s="141"/>
      <c r="V664" s="141"/>
      <c r="W664" s="141"/>
      <c r="X664" s="141"/>
      <c r="Y664" s="141"/>
      <c r="Z664" s="141"/>
      <c r="AA664" s="141"/>
      <c r="AB664" s="141"/>
      <c r="AC664" s="14"/>
      <c r="AD664" s="14"/>
      <c r="AE664" s="14"/>
      <c r="AF664" s="14"/>
      <c r="AG664" s="14"/>
      <c r="AH664" s="14"/>
      <c r="AI664" s="14"/>
      <c r="AJ664" s="14"/>
      <c r="AK664" s="14"/>
      <c r="AL664" s="14"/>
      <c r="AM664" s="14"/>
      <c r="AN664" s="14"/>
      <c r="AO664" s="14"/>
      <c r="AP664" s="17"/>
    </row>
    <row r="665" spans="1:42" x14ac:dyDescent="0.25">
      <c r="A665" s="12"/>
      <c r="B665" s="13"/>
      <c r="C665" s="37" t="s">
        <v>302</v>
      </c>
      <c r="D665" s="37"/>
      <c r="E665" s="38"/>
      <c r="F665" s="39"/>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17"/>
    </row>
    <row r="666" spans="1:42" x14ac:dyDescent="0.25">
      <c r="A666" s="12"/>
      <c r="B666" s="13"/>
      <c r="C666" s="136" t="s">
        <v>544</v>
      </c>
      <c r="D666" s="41"/>
      <c r="E666" s="15"/>
      <c r="F666" s="16"/>
      <c r="G666" s="14"/>
      <c r="H666" s="141"/>
      <c r="I666" s="141"/>
      <c r="J666" s="141"/>
      <c r="K666" s="141"/>
      <c r="L666" s="141"/>
      <c r="M666" s="141"/>
      <c r="N666" s="141"/>
      <c r="O666" s="141"/>
      <c r="P666" s="141"/>
      <c r="Q666" s="141"/>
      <c r="R666" s="141"/>
      <c r="S666" s="141"/>
      <c r="T666" s="141"/>
      <c r="U666" s="141"/>
      <c r="V666" s="141"/>
      <c r="W666" s="141"/>
      <c r="X666" s="141"/>
      <c r="Y666" s="141"/>
      <c r="Z666" s="141"/>
      <c r="AA666" s="141"/>
      <c r="AB666" s="141"/>
      <c r="AC666" s="14"/>
      <c r="AD666" s="14"/>
      <c r="AE666" s="14"/>
      <c r="AF666" s="14"/>
      <c r="AG666" s="14"/>
      <c r="AH666" s="14"/>
      <c r="AI666" s="14"/>
      <c r="AJ666" s="14"/>
      <c r="AK666" s="14"/>
      <c r="AL666" s="14"/>
      <c r="AM666" s="14"/>
      <c r="AN666" s="14"/>
      <c r="AO666" s="14"/>
      <c r="AP666" s="17"/>
    </row>
    <row r="667" spans="1:42" x14ac:dyDescent="0.25">
      <c r="A667" s="12"/>
      <c r="B667" s="13"/>
      <c r="C667" s="96" t="s">
        <v>120</v>
      </c>
      <c r="D667" s="41"/>
      <c r="E667" s="15"/>
      <c r="F667" s="16"/>
      <c r="G667" s="14"/>
      <c r="H667" s="150">
        <f>Data!$E$309</f>
        <v>156000</v>
      </c>
      <c r="I667" s="159">
        <f>H$667*(1-Data!$E$312)</f>
        <v>150025.20000000001</v>
      </c>
      <c r="J667" s="159">
        <f>I$667*(1-Data!$E$312)</f>
        <v>144279.23484000002</v>
      </c>
      <c r="K667" s="159">
        <f>J$667*(1-Data!$E$312)</f>
        <v>138753.34014562803</v>
      </c>
      <c r="L667" s="159">
        <f>K$667*(1-Data!$E$312)</f>
        <v>133439.08721805047</v>
      </c>
      <c r="M667" s="159">
        <f>L$667*(1-Data!$E$312)</f>
        <v>128328.37017759914</v>
      </c>
      <c r="N667" s="159">
        <f>M$667*(1-Data!$E$312)</f>
        <v>123413.39359979708</v>
      </c>
      <c r="O667" s="159">
        <f>N$667*(1-Data!$E$312)</f>
        <v>118686.66062492486</v>
      </c>
      <c r="P667" s="159">
        <f>O$667*(1-Data!$E$312)</f>
        <v>114140.96152299024</v>
      </c>
      <c r="Q667" s="159">
        <f>P$667*(1-Data!$E$312)</f>
        <v>109769.36269665971</v>
      </c>
      <c r="R667" s="159">
        <f>Q$667*(1-Data!$E$312)</f>
        <v>105565.19610537765</v>
      </c>
      <c r="S667" s="159">
        <f>R$667*(1-Data!$E$312)</f>
        <v>101522.04909454168</v>
      </c>
      <c r="T667" s="159">
        <f>S$667*(1-Data!$E$312)</f>
        <v>97633.754614220743</v>
      </c>
      <c r="U667" s="159">
        <f>T$667*(1-Data!$E$312)</f>
        <v>93894.381812496082</v>
      </c>
      <c r="V667" s="159">
        <f>U$667*(1-Data!$E$312)</f>
        <v>90298.226989077477</v>
      </c>
      <c r="W667" s="159">
        <f>V$667*(1-Data!$E$312)</f>
        <v>86839.804895395806</v>
      </c>
      <c r="X667" s="159">
        <f>W$667*(1-Data!$E$312)</f>
        <v>83513.840367902143</v>
      </c>
      <c r="Y667" s="159">
        <f>X$667*(1-Data!$E$312)</f>
        <v>80315.260281811497</v>
      </c>
      <c r="Z667" s="159">
        <f>Y$667*(1-Data!$E$312)</f>
        <v>77239.185813018121</v>
      </c>
      <c r="AA667" s="159">
        <f>Z$667*(1-Data!$E$312)</f>
        <v>74280.92499637953</v>
      </c>
      <c r="AB667" s="159">
        <f>AA$667*(1-Data!$E$312)</f>
        <v>71435.965569018197</v>
      </c>
      <c r="AC667" s="159">
        <f>AB$667*(1-Data!$E$312)</f>
        <v>68699.968087724803</v>
      </c>
      <c r="AD667" s="159">
        <f>AC$667*(1-Data!$E$312)</f>
        <v>66068.759309964938</v>
      </c>
      <c r="AE667" s="159">
        <f>AD$667*(1-Data!$E$312)</f>
        <v>63538.325828393281</v>
      </c>
      <c r="AF667" s="159">
        <f>AE$667*(1-Data!$E$312)</f>
        <v>61104.807949165821</v>
      </c>
      <c r="AG667" s="159">
        <f>AF$667*(1-Data!$E$312)</f>
        <v>58764.493804712773</v>
      </c>
      <c r="AH667" s="159">
        <f>AG$667*(1-Data!$E$312)</f>
        <v>56513.813691992276</v>
      </c>
      <c r="AI667" s="159">
        <f>AH$667*(1-Data!$E$312)</f>
        <v>54349.334627588971</v>
      </c>
      <c r="AJ667" s="159">
        <f>AI$667*(1-Data!$E$312)</f>
        <v>52267.755111352315</v>
      </c>
      <c r="AK667" s="159">
        <f>AJ$667*(1-Data!$E$312)</f>
        <v>50265.900090587522</v>
      </c>
      <c r="AL667" s="159">
        <f>AK$667*(1-Data!$E$312)</f>
        <v>48340.71611711802</v>
      </c>
      <c r="AM667" s="159">
        <f>AL$667*(1-Data!$E$312)</f>
        <v>46489.266689832402</v>
      </c>
      <c r="AN667" s="159">
        <f>AM$667*(1-Data!$E$312)</f>
        <v>44708.72777561182</v>
      </c>
      <c r="AO667" s="159">
        <f>AN$667*(1-Data!$E$312)</f>
        <v>42996.383501805889</v>
      </c>
      <c r="AP667" s="17"/>
    </row>
    <row r="668" spans="1:42" x14ac:dyDescent="0.25">
      <c r="A668" s="12"/>
      <c r="B668" s="13"/>
      <c r="C668" s="96" t="s">
        <v>124</v>
      </c>
      <c r="D668" s="41"/>
      <c r="E668" s="15"/>
      <c r="F668" s="16"/>
      <c r="G668" s="14"/>
      <c r="H668" s="150">
        <f>Data!$E$310</f>
        <v>180000</v>
      </c>
      <c r="I668" s="159">
        <f>H$668*(1-Data!$E$312)</f>
        <v>173106</v>
      </c>
      <c r="J668" s="159">
        <f>I$668*(1-Data!$E$312)</f>
        <v>166476.04019999999</v>
      </c>
      <c r="K668" s="159">
        <f>J$668*(1-Data!$E$312)</f>
        <v>160100.00786034</v>
      </c>
      <c r="L668" s="159">
        <f>K$668*(1-Data!$E$312)</f>
        <v>153968.17755928898</v>
      </c>
      <c r="M668" s="159">
        <f>L$668*(1-Data!$E$312)</f>
        <v>148071.19635876821</v>
      </c>
      <c r="N668" s="159">
        <f>M$668*(1-Data!$E$312)</f>
        <v>142400.0695382274</v>
      </c>
      <c r="O668" s="159">
        <f>N$668*(1-Data!$E$312)</f>
        <v>136946.14687491328</v>
      </c>
      <c r="P668" s="159">
        <f>O$668*(1-Data!$E$312)</f>
        <v>131701.10944960409</v>
      </c>
      <c r="Q668" s="159">
        <f>P$668*(1-Data!$E$312)</f>
        <v>126656.95695768425</v>
      </c>
      <c r="R668" s="159">
        <f>Q$668*(1-Data!$E$312)</f>
        <v>121805.99550620494</v>
      </c>
      <c r="S668" s="159">
        <f>R$668*(1-Data!$E$312)</f>
        <v>117140.82587831729</v>
      </c>
      <c r="T668" s="159">
        <f>S$668*(1-Data!$E$312)</f>
        <v>112654.33224717774</v>
      </c>
      <c r="U668" s="159">
        <f>T$668*(1-Data!$E$312)</f>
        <v>108339.67132211082</v>
      </c>
      <c r="V668" s="159">
        <f>U$668*(1-Data!$E$312)</f>
        <v>104190.26191047397</v>
      </c>
      <c r="W668" s="159">
        <f>V$668*(1-Data!$E$312)</f>
        <v>100199.77487930281</v>
      </c>
      <c r="X668" s="159">
        <f>W$668*(1-Data!$E$312)</f>
        <v>96362.123501425522</v>
      </c>
      <c r="Y668" s="159">
        <f>X$668*(1-Data!$E$312)</f>
        <v>92671.454171320918</v>
      </c>
      <c r="Z668" s="159">
        <f>Y$668*(1-Data!$E$312)</f>
        <v>89122.137476559321</v>
      </c>
      <c r="AA668" s="159">
        <f>Z$668*(1-Data!$E$312)</f>
        <v>85708.759611207104</v>
      </c>
      <c r="AB668" s="159">
        <f>AA$668*(1-Data!$E$312)</f>
        <v>82426.114118097874</v>
      </c>
      <c r="AC668" s="159">
        <f>AB$668*(1-Data!$E$312)</f>
        <v>79269.193947374719</v>
      </c>
      <c r="AD668" s="159">
        <f>AC$668*(1-Data!$E$312)</f>
        <v>76233.183819190264</v>
      </c>
      <c r="AE668" s="159">
        <f>AD$668*(1-Data!$E$312)</f>
        <v>73313.452878915283</v>
      </c>
      <c r="AF668" s="159">
        <f>AE$668*(1-Data!$E$312)</f>
        <v>70505.547633652823</v>
      </c>
      <c r="AG668" s="159">
        <f>AF$668*(1-Data!$E$312)</f>
        <v>67805.185159283923</v>
      </c>
      <c r="AH668" s="159">
        <f>AG$668*(1-Data!$E$312)</f>
        <v>65208.246567683345</v>
      </c>
      <c r="AI668" s="159">
        <f>AH$668*(1-Data!$E$312)</f>
        <v>62710.770724141075</v>
      </c>
      <c r="AJ668" s="159">
        <f>AI$668*(1-Data!$E$312)</f>
        <v>60308.948205406472</v>
      </c>
      <c r="AK668" s="159">
        <f>AJ$668*(1-Data!$E$312)</f>
        <v>57999.115489139404</v>
      </c>
      <c r="AL668" s="159">
        <f>AK$668*(1-Data!$E$312)</f>
        <v>55777.749365905365</v>
      </c>
      <c r="AM668" s="159">
        <f>AL$668*(1-Data!$E$312)</f>
        <v>53641.461565191188</v>
      </c>
      <c r="AN668" s="159">
        <f>AM$668*(1-Data!$E$312)</f>
        <v>51586.993587244368</v>
      </c>
      <c r="AO668" s="159">
        <f>AN$668*(1-Data!$E$312)</f>
        <v>49611.211732852906</v>
      </c>
      <c r="AP668" s="17"/>
    </row>
    <row r="669" spans="1:42" x14ac:dyDescent="0.25">
      <c r="A669" s="12"/>
      <c r="B669" s="13"/>
      <c r="C669" s="96" t="s">
        <v>126</v>
      </c>
      <c r="D669" s="41"/>
      <c r="E669" s="15"/>
      <c r="F669" s="16"/>
      <c r="G669" s="14"/>
      <c r="H669" s="150">
        <f>Data!$E$311</f>
        <v>235000</v>
      </c>
      <c r="I669" s="159">
        <f>H$669*(1-Data!$E$312)</f>
        <v>225999.5</v>
      </c>
      <c r="J669" s="159">
        <f>I$669*(1-Data!$E$312)</f>
        <v>217343.71914999999</v>
      </c>
      <c r="K669" s="159">
        <f>J$669*(1-Data!$E$312)</f>
        <v>209019.454706555</v>
      </c>
      <c r="L669" s="159">
        <f>K$669*(1-Data!$E$312)</f>
        <v>201014.00959129393</v>
      </c>
      <c r="M669" s="159">
        <f>L$669*(1-Data!$E$312)</f>
        <v>193315.17302394737</v>
      </c>
      <c r="N669" s="159">
        <f>M$669*(1-Data!$E$312)</f>
        <v>185911.20189713017</v>
      </c>
      <c r="O669" s="159">
        <f>N$669*(1-Data!$E$312)</f>
        <v>178790.80286447008</v>
      </c>
      <c r="P669" s="159">
        <f>O$669*(1-Data!$E$312)</f>
        <v>171943.11511476088</v>
      </c>
      <c r="Q669" s="159">
        <f>P$669*(1-Data!$E$312)</f>
        <v>165357.69380586554</v>
      </c>
      <c r="R669" s="159">
        <f>Q$669*(1-Data!$E$312)</f>
        <v>159024.49413310087</v>
      </c>
      <c r="S669" s="159">
        <f>R$669*(1-Data!$E$312)</f>
        <v>152933.85600780312</v>
      </c>
      <c r="T669" s="159">
        <f>S$669*(1-Data!$E$312)</f>
        <v>147076.48932270426</v>
      </c>
      <c r="U669" s="159">
        <f>T$669*(1-Data!$E$312)</f>
        <v>141443.45978164469</v>
      </c>
      <c r="V669" s="159">
        <f>U$669*(1-Data!$E$312)</f>
        <v>136026.17527200771</v>
      </c>
      <c r="W669" s="159">
        <f>V$669*(1-Data!$E$312)</f>
        <v>130816.37275908981</v>
      </c>
      <c r="X669" s="159">
        <f>W$669*(1-Data!$E$312)</f>
        <v>125806.10568241666</v>
      </c>
      <c r="Y669" s="159">
        <f>X$669*(1-Data!$E$312)</f>
        <v>120987.7318347801</v>
      </c>
      <c r="Z669" s="159">
        <f>Y$669*(1-Data!$E$312)</f>
        <v>116353.90170550803</v>
      </c>
      <c r="AA669" s="159">
        <f>Z$669*(1-Data!$E$312)</f>
        <v>111897.54727018707</v>
      </c>
      <c r="AB669" s="159">
        <f>AA$669*(1-Data!$E$312)</f>
        <v>107611.87120973891</v>
      </c>
      <c r="AC669" s="159">
        <f>AB$669*(1-Data!$E$312)</f>
        <v>103490.3365424059</v>
      </c>
      <c r="AD669" s="159">
        <f>AC$669*(1-Data!$E$312)</f>
        <v>99526.656652831749</v>
      </c>
      <c r="AE669" s="159">
        <f>AD$669*(1-Data!$E$312)</f>
        <v>95714.78570302829</v>
      </c>
      <c r="AF669" s="159">
        <f>AE$669*(1-Data!$E$312)</f>
        <v>92048.909410602311</v>
      </c>
      <c r="AG669" s="159">
        <f>AF$669*(1-Data!$E$312)</f>
        <v>88523.436180176242</v>
      </c>
      <c r="AH669" s="159">
        <f>AG$669*(1-Data!$E$312)</f>
        <v>85132.988574475487</v>
      </c>
      <c r="AI669" s="159">
        <f>AH$669*(1-Data!$E$312)</f>
        <v>81872.395112073078</v>
      </c>
      <c r="AJ669" s="159">
        <f>AI$669*(1-Data!$E$312)</f>
        <v>78736.682379280683</v>
      </c>
      <c r="AK669" s="159">
        <f>AJ$669*(1-Data!$E$312)</f>
        <v>75721.067444154236</v>
      </c>
      <c r="AL669" s="159">
        <f>AK$669*(1-Data!$E$312)</f>
        <v>72820.950561043122</v>
      </c>
      <c r="AM669" s="159">
        <f>AL$669*(1-Data!$E$312)</f>
        <v>70031.908154555174</v>
      </c>
      <c r="AN669" s="159">
        <f>AM$669*(1-Data!$E$312)</f>
        <v>67349.686072235709</v>
      </c>
      <c r="AO669" s="159">
        <f>AN$669*(1-Data!$E$312)</f>
        <v>64770.193095669078</v>
      </c>
      <c r="AP669" s="17"/>
    </row>
    <row r="670" spans="1:42" x14ac:dyDescent="0.25">
      <c r="A670" s="12"/>
      <c r="B670" s="13"/>
      <c r="C670" s="41"/>
      <c r="D670" s="41"/>
      <c r="E670" s="15"/>
      <c r="F670" s="16"/>
      <c r="G670" s="14"/>
      <c r="H670" s="141"/>
      <c r="I670" s="141"/>
      <c r="J670" s="141"/>
      <c r="K670" s="141"/>
      <c r="L670" s="141"/>
      <c r="M670" s="141"/>
      <c r="N670" s="141"/>
      <c r="O670" s="141"/>
      <c r="P670" s="141"/>
      <c r="Q670" s="141"/>
      <c r="R670" s="141"/>
      <c r="S670" s="141"/>
      <c r="T670" s="141"/>
      <c r="U670" s="141"/>
      <c r="V670" s="141"/>
      <c r="W670" s="141"/>
      <c r="X670" s="141"/>
      <c r="Y670" s="141"/>
      <c r="Z670" s="141"/>
      <c r="AA670" s="141"/>
      <c r="AB670" s="141"/>
      <c r="AC670" s="14"/>
      <c r="AD670" s="14"/>
      <c r="AE670" s="14"/>
      <c r="AF670" s="14"/>
      <c r="AG670" s="14"/>
      <c r="AH670" s="14"/>
      <c r="AI670" s="14"/>
      <c r="AJ670" s="14"/>
      <c r="AK670" s="14"/>
      <c r="AL670" s="14"/>
      <c r="AM670" s="14"/>
      <c r="AN670" s="14"/>
      <c r="AO670" s="14"/>
      <c r="AP670" s="17"/>
    </row>
    <row r="671" spans="1:42" x14ac:dyDescent="0.25">
      <c r="A671" s="23"/>
      <c r="B671" s="23"/>
      <c r="C671" s="24" t="s">
        <v>505</v>
      </c>
      <c r="D671" s="24"/>
      <c r="E671" s="25"/>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7"/>
    </row>
    <row r="672" spans="1:42" x14ac:dyDescent="0.25">
      <c r="A672" s="261"/>
      <c r="B672" s="261"/>
      <c r="C672" s="261" t="s">
        <v>558</v>
      </c>
      <c r="D672" s="261"/>
      <c r="E672" s="262"/>
      <c r="F672" s="263"/>
      <c r="G672" s="263"/>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3"/>
      <c r="AD672" s="263"/>
      <c r="AE672" s="263"/>
      <c r="AF672" s="263"/>
      <c r="AG672" s="263"/>
      <c r="AH672" s="263"/>
      <c r="AI672" s="263"/>
      <c r="AJ672" s="263"/>
      <c r="AK672" s="263"/>
      <c r="AL672" s="263"/>
      <c r="AM672" s="263"/>
      <c r="AN672" s="263"/>
      <c r="AO672" s="263"/>
      <c r="AP672" s="265"/>
    </row>
    <row r="673" spans="1:42" outlineLevel="1" x14ac:dyDescent="0.25">
      <c r="A673" s="12"/>
      <c r="B673" s="13"/>
      <c r="C673" s="41"/>
      <c r="D673" s="41"/>
      <c r="E673" s="15"/>
      <c r="F673" s="16"/>
      <c r="G673" s="14"/>
      <c r="H673" s="141"/>
      <c r="I673" s="141"/>
      <c r="J673" s="141"/>
      <c r="K673" s="141"/>
      <c r="L673" s="141"/>
      <c r="M673" s="141"/>
      <c r="N673" s="141"/>
      <c r="O673" s="141"/>
      <c r="P673" s="141"/>
      <c r="Q673" s="141"/>
      <c r="R673" s="141"/>
      <c r="S673" s="141"/>
      <c r="T673" s="141"/>
      <c r="U673" s="141"/>
      <c r="V673" s="141"/>
      <c r="W673" s="141"/>
      <c r="X673" s="141"/>
      <c r="Y673" s="141"/>
      <c r="Z673" s="141"/>
      <c r="AA673" s="141"/>
      <c r="AB673" s="141"/>
      <c r="AC673" s="14"/>
      <c r="AD673" s="14"/>
      <c r="AE673" s="14"/>
      <c r="AF673" s="14"/>
      <c r="AG673" s="14"/>
      <c r="AH673" s="14"/>
      <c r="AI673" s="14"/>
      <c r="AJ673" s="14"/>
      <c r="AK673" s="14"/>
      <c r="AL673" s="14"/>
      <c r="AM673" s="14"/>
      <c r="AN673" s="14"/>
      <c r="AO673" s="14"/>
      <c r="AP673" s="17"/>
    </row>
    <row r="674" spans="1:42" outlineLevel="1" x14ac:dyDescent="0.25">
      <c r="A674" s="12"/>
      <c r="B674" s="13"/>
      <c r="C674" s="37" t="s">
        <v>508</v>
      </c>
      <c r="D674" s="37"/>
      <c r="E674" s="38"/>
      <c r="F674" s="39"/>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17"/>
    </row>
    <row r="675" spans="1:42" outlineLevel="1" x14ac:dyDescent="0.25">
      <c r="A675" s="12"/>
      <c r="B675" s="13"/>
      <c r="C675" s="95" t="s">
        <v>559</v>
      </c>
      <c r="D675" s="14"/>
      <c r="E675" s="15"/>
      <c r="F675" s="16"/>
      <c r="G675" s="14"/>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29"/>
    </row>
    <row r="676" spans="1:42" outlineLevel="1" x14ac:dyDescent="0.25">
      <c r="A676" s="12"/>
      <c r="B676" s="13"/>
      <c r="C676" s="96" t="s">
        <v>120</v>
      </c>
      <c r="D676" s="14"/>
      <c r="E676" s="15" t="s">
        <v>142</v>
      </c>
      <c r="F676" s="158" t="str">
        <f>Dashboard!$I$63</f>
        <v>3 Axle Double Decker Bus</v>
      </c>
      <c r="G676" s="14"/>
      <c r="H676" s="151">
        <f>IF(COUNT($H$3:H$3)=(Dashboard!$I$31+1),IF($F$676=$C$676,Data!$E$302,0),0)</f>
        <v>0</v>
      </c>
      <c r="I676" s="151">
        <f>IF(COUNT($H$3:I$3)=(Dashboard!$I$31+1),IF($F$676=$C$676,Data!$E$302,0),0)</f>
        <v>0</v>
      </c>
      <c r="J676" s="151">
        <f>IF(COUNT($H$3:J$3)=(Dashboard!$I$31+1),IF($F$676=$C$676,Data!$E$302,0),0)</f>
        <v>0</v>
      </c>
      <c r="K676" s="151">
        <f>IF(COUNT($H$3:K$3)=(Dashboard!$I$31+1),IF($F$676=$C$676,Data!$E$302,0),0)</f>
        <v>0</v>
      </c>
      <c r="L676" s="151">
        <f>IF(COUNT($H$3:L$3)=(Dashboard!$I$31+1),IF($F$676=$C$676,Data!$E$302,0),0)</f>
        <v>0</v>
      </c>
      <c r="M676" s="151">
        <f>IF(COUNT($H$3:M$3)=(Dashboard!$I$31+1),IF($F$676=$C$676,Data!$E$302,0),0)</f>
        <v>0</v>
      </c>
      <c r="N676" s="151">
        <f>IF(COUNT($H$3:N$3)=(Dashboard!$I$31+1),IF($F$676=$C$676,Data!$E$302,0),0)</f>
        <v>0</v>
      </c>
      <c r="O676" s="151">
        <f>IF(COUNT($H$3:O$3)=(Dashboard!$I$31+1),IF($F$676=$C$676,Data!$E$302,0),0)</f>
        <v>0</v>
      </c>
      <c r="P676" s="151">
        <f>IF(COUNT($H$3:P$3)=(Dashboard!$I$31+1),IF($F$676=$C$676,Data!$E$302,0),0)</f>
        <v>0</v>
      </c>
      <c r="Q676" s="151">
        <f>IF(COUNT($H$3:Q$3)=(Dashboard!$I$31+1),IF($F$676=$C$676,Data!$E$302,0),0)</f>
        <v>0</v>
      </c>
      <c r="R676" s="151">
        <f>IF(COUNT($H$3:R$3)=(Dashboard!$I$31+1),IF($F$676=$C$676,Data!$E$302,0),0)</f>
        <v>0</v>
      </c>
      <c r="S676" s="151">
        <f>IF(COUNT($H$3:S$3)=(Dashboard!$I$31+1),IF($F$676=$C$676,Data!$E$302,0),0)</f>
        <v>0</v>
      </c>
      <c r="T676" s="151">
        <f>IF(COUNT($H$3:T$3)=(Dashboard!$I$31+1),IF($F$676=$C$676,Data!$E$302,0),0)</f>
        <v>0</v>
      </c>
      <c r="U676" s="151">
        <f>IF(COUNT($H$3:U$3)=(Dashboard!$I$31+1),IF($F$676=$C$676,Data!$E$302,0),0)</f>
        <v>0</v>
      </c>
      <c r="V676" s="151">
        <f>IF(COUNT($H$3:V$3)=(Dashboard!$I$31+1),IF($F$676=$C$676,Data!$E$302,0),0)</f>
        <v>0</v>
      </c>
      <c r="W676" s="151">
        <f>IF(COUNT($H$3:W$3)=(Dashboard!$I$31+1),IF($F$676=$C$676,Data!$E$302,0),0)</f>
        <v>0</v>
      </c>
      <c r="X676" s="151">
        <f>IF(COUNT($H$3:X$3)=(Dashboard!$I$31+1),IF($F$676=$C$676,Data!$E$302,0),0)</f>
        <v>0</v>
      </c>
      <c r="Y676" s="151">
        <f>IF(COUNT($H$3:Y$3)=(Dashboard!$I$31+1),IF($F$676=$C$676,Data!$E$302,0),0)</f>
        <v>0</v>
      </c>
      <c r="Z676" s="151">
        <f>IF(COUNT($H$3:Z$3)=(Dashboard!$I$31+1),IF($F$676=$C$676,Data!$E$302,0),0)</f>
        <v>0</v>
      </c>
      <c r="AA676" s="151">
        <f>IF(COUNT($H$3:AA$3)=(Dashboard!$I$31+1),IF($F$676=$C$676,Data!$E$302,0),0)</f>
        <v>0</v>
      </c>
      <c r="AB676" s="151">
        <f>IF(COUNT($H$3:AB$3)=(Dashboard!$I$31+1),IF($F$676=$C$676,Data!$E$302,0),0)</f>
        <v>0</v>
      </c>
      <c r="AC676" s="151">
        <f>IF(COUNT($H$3:AC$3)=(Dashboard!$I$31+1),IF($F$676=$C$676,Data!$E$302,0),0)</f>
        <v>0</v>
      </c>
      <c r="AD676" s="151">
        <f>IF(COUNT($H$3:AD$3)=(Dashboard!$I$31+1),IF($F$676=$C$676,Data!$E$302,0),0)</f>
        <v>0</v>
      </c>
      <c r="AE676" s="151">
        <f>IF(COUNT($H$3:AE$3)=(Dashboard!$I$31+1),IF($F$676=$C$676,Data!$E$302,0),0)</f>
        <v>0</v>
      </c>
      <c r="AF676" s="151">
        <f>IF(COUNT($H$3:AF$3)=(Dashboard!$I$31+1),IF($F$676=$C$676,Data!$E$302,0),0)</f>
        <v>0</v>
      </c>
      <c r="AG676" s="151">
        <f>IF(COUNT($H$3:AG$3)=(Dashboard!$I$31+1),IF($F$676=$C$676,Data!$E$302,0),0)</f>
        <v>0</v>
      </c>
      <c r="AH676" s="151">
        <f>IF(COUNT($H$3:AH$3)=(Dashboard!$I$31+1),IF($F$676=$C$676,Data!$E$302,0),0)</f>
        <v>0</v>
      </c>
      <c r="AI676" s="151">
        <f>IF(COUNT($H$3:AI$3)=(Dashboard!$I$31+1),IF($F$676=$C$676,Data!$E$302,0),0)</f>
        <v>0</v>
      </c>
      <c r="AJ676" s="151">
        <f>IF(COUNT($H$3:AJ$3)=(Dashboard!$I$31+1),IF($F$676=$C$676,Data!$E$302,0),0)</f>
        <v>0</v>
      </c>
      <c r="AK676" s="151">
        <f>IF(COUNT($H$3:AK$3)=(Dashboard!$I$31+1),IF($F$676=$C$676,Data!$E$302,0),0)</f>
        <v>0</v>
      </c>
      <c r="AL676" s="151">
        <f>IF(COUNT($H$3:AL$3)=(Dashboard!$I$31+1),IF($F$676=$C$676,Data!$E$302,0),0)</f>
        <v>0</v>
      </c>
      <c r="AM676" s="151">
        <f>IF(COUNT($H$3:AM$3)=(Dashboard!$I$31+1),IF($F$676=$C$676,Data!$E$302,0),0)</f>
        <v>0</v>
      </c>
      <c r="AN676" s="151">
        <f>IF(COUNT($H$3:AN$3)=(Dashboard!$I$31+1),IF($F$676=$C$676,Data!$E$302,0),0)</f>
        <v>0</v>
      </c>
      <c r="AO676" s="151">
        <f>IF(COUNT($H$3:AO$3)=(Dashboard!$I$31+1),IF($F$676=$C$676,Data!$E$302,0),0)</f>
        <v>0</v>
      </c>
      <c r="AP676" s="29"/>
    </row>
    <row r="677" spans="1:42" outlineLevel="1" x14ac:dyDescent="0.25">
      <c r="A677" s="12"/>
      <c r="B677" s="13"/>
      <c r="C677" s="96" t="s">
        <v>124</v>
      </c>
      <c r="D677" s="14"/>
      <c r="E677" s="15" t="s">
        <v>142</v>
      </c>
      <c r="F677" s="158" t="str">
        <f>Dashboard!$I$63</f>
        <v>3 Axle Double Decker Bus</v>
      </c>
      <c r="G677" s="14"/>
      <c r="H677" s="151">
        <f>IF(COUNT($H$3:H$3)=(Dashboard!$I$31+1),IF($F$677=$C$677,Data!$E$303,0),0)</f>
        <v>0</v>
      </c>
      <c r="I677" s="151">
        <f>IF(COUNT($H$3:I$3)=(Dashboard!$I$31+1),IF($F$677=$C$677,Data!$E$303,0),0)</f>
        <v>0</v>
      </c>
      <c r="J677" s="151">
        <f>IF(COUNT($H$3:J$3)=(Dashboard!$I$31+1),IF($F$677=$C$677,Data!$E$303,0),0)</f>
        <v>0</v>
      </c>
      <c r="K677" s="151">
        <f>IF(COUNT($H$3:K$3)=(Dashboard!$I$31+1),IF($F$677=$C$677,Data!$E$303,0),0)</f>
        <v>0</v>
      </c>
      <c r="L677" s="151">
        <f>IF(COUNT($H$3:L$3)=(Dashboard!$I$31+1),IF($F$677=$C$677,Data!$E$303,0),0)</f>
        <v>0</v>
      </c>
      <c r="M677" s="151">
        <f>IF(COUNT($H$3:M$3)=(Dashboard!$I$31+1),IF($F$677=$C$677,Data!$E$303,0),0)</f>
        <v>0</v>
      </c>
      <c r="N677" s="151">
        <f>IF(COUNT($H$3:N$3)=(Dashboard!$I$31+1),IF($F$677=$C$677,Data!$E$303,0),0)</f>
        <v>0</v>
      </c>
      <c r="O677" s="151">
        <f>IF(COUNT($H$3:O$3)=(Dashboard!$I$31+1),IF($F$677=$C$677,Data!$E$303,0),0)</f>
        <v>0</v>
      </c>
      <c r="P677" s="151">
        <f>IF(COUNT($H$3:P$3)=(Dashboard!$I$31+1),IF($F$677=$C$677,Data!$E$303,0),0)</f>
        <v>0</v>
      </c>
      <c r="Q677" s="151">
        <f>IF(COUNT($H$3:Q$3)=(Dashboard!$I$31+1),IF($F$677=$C$677,Data!$E$303,0),0)</f>
        <v>0</v>
      </c>
      <c r="R677" s="151">
        <f>IF(COUNT($H$3:R$3)=(Dashboard!$I$31+1),IF($F$677=$C$677,Data!$E$303,0),0)</f>
        <v>0</v>
      </c>
      <c r="S677" s="151">
        <f>IF(COUNT($H$3:S$3)=(Dashboard!$I$31+1),IF($F$677=$C$677,Data!$E$303,0),0)</f>
        <v>0</v>
      </c>
      <c r="T677" s="151">
        <f>IF(COUNT($H$3:T$3)=(Dashboard!$I$31+1),IF($F$677=$C$677,Data!$E$303,0),0)</f>
        <v>0</v>
      </c>
      <c r="U677" s="151">
        <f>IF(COUNT($H$3:U$3)=(Dashboard!$I$31+1),IF($F$677=$C$677,Data!$E$303,0),0)</f>
        <v>0</v>
      </c>
      <c r="V677" s="151">
        <f>IF(COUNT($H$3:V$3)=(Dashboard!$I$31+1),IF($F$677=$C$677,Data!$E$303,0),0)</f>
        <v>0</v>
      </c>
      <c r="W677" s="151">
        <f>IF(COUNT($H$3:W$3)=(Dashboard!$I$31+1),IF($F$677=$C$677,Data!$E$303,0),0)</f>
        <v>0</v>
      </c>
      <c r="X677" s="151">
        <f>IF(COUNT($H$3:X$3)=(Dashboard!$I$31+1),IF($F$677=$C$677,Data!$E$303,0),0)</f>
        <v>0</v>
      </c>
      <c r="Y677" s="151">
        <f>IF(COUNT($H$3:Y$3)=(Dashboard!$I$31+1),IF($F$677=$C$677,Data!$E$303,0),0)</f>
        <v>0</v>
      </c>
      <c r="Z677" s="151">
        <f>IF(COUNT($H$3:Z$3)=(Dashboard!$I$31+1),IF($F$677=$C$677,Data!$E$303,0),0)</f>
        <v>0</v>
      </c>
      <c r="AA677" s="151">
        <f>IF(COUNT($H$3:AA$3)=(Dashboard!$I$31+1),IF($F$677=$C$677,Data!$E$303,0),0)</f>
        <v>0</v>
      </c>
      <c r="AB677" s="151">
        <f>IF(COUNT($H$3:AB$3)=(Dashboard!$I$31+1),IF($F$677=$C$677,Data!$E$303,0),0)</f>
        <v>0</v>
      </c>
      <c r="AC677" s="151">
        <f>IF(COUNT($H$3:AC$3)=(Dashboard!$I$31+1),IF($F$677=$C$677,Data!$E$303,0),0)</f>
        <v>0</v>
      </c>
      <c r="AD677" s="151">
        <f>IF(COUNT($H$3:AD$3)=(Dashboard!$I$31+1),IF($F$677=$C$677,Data!$E$303,0),0)</f>
        <v>0</v>
      </c>
      <c r="AE677" s="151">
        <f>IF(COUNT($H$3:AE$3)=(Dashboard!$I$31+1),IF($F$677=$C$677,Data!$E$303,0),0)</f>
        <v>0</v>
      </c>
      <c r="AF677" s="151">
        <f>IF(COUNT($H$3:AF$3)=(Dashboard!$I$31+1),IF($F$677=$C$677,Data!$E$303,0),0)</f>
        <v>0</v>
      </c>
      <c r="AG677" s="151">
        <f>IF(COUNT($H$3:AG$3)=(Dashboard!$I$31+1),IF($F$677=$C$677,Data!$E$303,0),0)</f>
        <v>0</v>
      </c>
      <c r="AH677" s="151">
        <f>IF(COUNT($H$3:AH$3)=(Dashboard!$I$31+1),IF($F$677=$C$677,Data!$E$303,0),0)</f>
        <v>0</v>
      </c>
      <c r="AI677" s="151">
        <f>IF(COUNT($H$3:AI$3)=(Dashboard!$I$31+1),IF($F$677=$C$677,Data!$E$303,0),0)</f>
        <v>0</v>
      </c>
      <c r="AJ677" s="151">
        <f>IF(COUNT($H$3:AJ$3)=(Dashboard!$I$31+1),IF($F$677=$C$677,Data!$E$303,0),0)</f>
        <v>0</v>
      </c>
      <c r="AK677" s="151">
        <f>IF(COUNT($H$3:AK$3)=(Dashboard!$I$31+1),IF($F$677=$C$677,Data!$E$303,0),0)</f>
        <v>0</v>
      </c>
      <c r="AL677" s="151">
        <f>IF(COUNT($H$3:AL$3)=(Dashboard!$I$31+1),IF($F$677=$C$677,Data!$E$303,0),0)</f>
        <v>0</v>
      </c>
      <c r="AM677" s="151">
        <f>IF(COUNT($H$3:AM$3)=(Dashboard!$I$31+1),IF($F$677=$C$677,Data!$E$303,0),0)</f>
        <v>0</v>
      </c>
      <c r="AN677" s="151">
        <f>IF(COUNT($H$3:AN$3)=(Dashboard!$I$31+1),IF($F$677=$C$677,Data!$E$303,0),0)</f>
        <v>0</v>
      </c>
      <c r="AO677" s="151">
        <f>IF(COUNT($H$3:AO$3)=(Dashboard!$I$31+1),IF($F$677=$C$677,Data!$E$303,0),0)</f>
        <v>0</v>
      </c>
      <c r="AP677" s="29"/>
    </row>
    <row r="678" spans="1:42" outlineLevel="1" x14ac:dyDescent="0.25">
      <c r="A678" s="12"/>
      <c r="B678" s="13"/>
      <c r="C678" s="96" t="s">
        <v>126</v>
      </c>
      <c r="D678" s="14"/>
      <c r="E678" s="15" t="s">
        <v>142</v>
      </c>
      <c r="F678" s="158" t="str">
        <f>Dashboard!$I$63</f>
        <v>3 Axle Double Decker Bus</v>
      </c>
      <c r="G678" s="14"/>
      <c r="H678" s="151">
        <f>IF(COUNT($H$3:H$3)=(Dashboard!$I$31+1),IF($F$678=$C$678,Data!$E$304,0),0)</f>
        <v>0</v>
      </c>
      <c r="I678" s="151">
        <f>IF(COUNT($H$3:I$3)=(Dashboard!$I$31+1),IF($F$678=$C$678,Data!$E$304,0),0)</f>
        <v>0</v>
      </c>
      <c r="J678" s="151">
        <f>IF(COUNT($H$3:J$3)=(Dashboard!$I$31+1),IF($F$678=$C$678,Data!$E$304,0),0)</f>
        <v>0</v>
      </c>
      <c r="K678" s="151">
        <f>IF(COUNT($H$3:K$3)=(Dashboard!$I$31+1),IF($F$678=$C$678,Data!$E$304,0),0)</f>
        <v>0</v>
      </c>
      <c r="L678" s="151">
        <f>IF(COUNT($H$3:L$3)=(Dashboard!$I$31+1),IF($F$678=$C$678,Data!$E$304,0),0)</f>
        <v>0</v>
      </c>
      <c r="M678" s="151">
        <f>IF(COUNT($H$3:M$3)=(Dashboard!$I$31+1),IF($F$678=$C$678,Data!$E$304,0),0)</f>
        <v>0</v>
      </c>
      <c r="N678" s="151">
        <f>IF(COUNT($H$3:N$3)=(Dashboard!$I$31+1),IF($F$678=$C$678,Data!$E$304,0),0)</f>
        <v>0</v>
      </c>
      <c r="O678" s="151">
        <f>IF(COUNT($H$3:O$3)=(Dashboard!$I$31+1),IF($F$678=$C$678,Data!$E$304,0),0)</f>
        <v>0</v>
      </c>
      <c r="P678" s="151">
        <f>IF(COUNT($H$3:P$3)=(Dashboard!$I$31+1),IF($F$678=$C$678,Data!$E$304,0),0)</f>
        <v>0</v>
      </c>
      <c r="Q678" s="151">
        <f>IF(COUNT($H$3:Q$3)=(Dashboard!$I$31+1),IF($F$678=$C$678,Data!$E$304,0),0)</f>
        <v>0</v>
      </c>
      <c r="R678" s="151">
        <f>IF(COUNT($H$3:R$3)=(Dashboard!$I$31+1),IF($F$678=$C$678,Data!$E$304,0),0)</f>
        <v>0</v>
      </c>
      <c r="S678" s="151">
        <f>IF(COUNT($H$3:S$3)=(Dashboard!$I$31+1),IF($F$678=$C$678,Data!$E$304,0),0)</f>
        <v>0</v>
      </c>
      <c r="T678" s="151">
        <f>IF(COUNT($H$3:T$3)=(Dashboard!$I$31+1),IF($F$678=$C$678,Data!$E$304,0),0)</f>
        <v>953333.33333333337</v>
      </c>
      <c r="U678" s="151">
        <f>IF(COUNT($H$3:U$3)=(Dashboard!$I$31+1),IF($F$678=$C$678,Data!$E$304,0),0)</f>
        <v>0</v>
      </c>
      <c r="V678" s="151">
        <f>IF(COUNT($H$3:V$3)=(Dashboard!$I$31+1),IF($F$678=$C$678,Data!$E$304,0),0)</f>
        <v>0</v>
      </c>
      <c r="W678" s="151">
        <f>IF(COUNT($H$3:W$3)=(Dashboard!$I$31+1),IF($F$678=$C$678,Data!$E$304,0),0)</f>
        <v>0</v>
      </c>
      <c r="X678" s="151">
        <f>IF(COUNT($H$3:X$3)=(Dashboard!$I$31+1),IF($F$678=$C$678,Data!$E$304,0),0)</f>
        <v>0</v>
      </c>
      <c r="Y678" s="151">
        <f>IF(COUNT($H$3:Y$3)=(Dashboard!$I$31+1),IF($F$678=$C$678,Data!$E$304,0),0)</f>
        <v>0</v>
      </c>
      <c r="Z678" s="151">
        <f>IF(COUNT($H$3:Z$3)=(Dashboard!$I$31+1),IF($F$678=$C$678,Data!$E$304,0),0)</f>
        <v>0</v>
      </c>
      <c r="AA678" s="151">
        <f>IF(COUNT($H$3:AA$3)=(Dashboard!$I$31+1),IF($F$678=$C$678,Data!$E$304,0),0)</f>
        <v>0</v>
      </c>
      <c r="AB678" s="151">
        <f>IF(COUNT($H$3:AB$3)=(Dashboard!$I$31+1),IF($F$678=$C$678,Data!$E$304,0),0)</f>
        <v>0</v>
      </c>
      <c r="AC678" s="151">
        <f>IF(COUNT($H$3:AC$3)=(Dashboard!$I$31+1),IF($F$678=$C$678,Data!$E$304,0),0)</f>
        <v>0</v>
      </c>
      <c r="AD678" s="151">
        <f>IF(COUNT($H$3:AD$3)=(Dashboard!$I$31+1),IF($F$678=$C$678,Data!$E$304,0),0)</f>
        <v>0</v>
      </c>
      <c r="AE678" s="151">
        <f>IF(COUNT($H$3:AE$3)=(Dashboard!$I$31+1),IF($F$678=$C$678,Data!$E$304,0),0)</f>
        <v>0</v>
      </c>
      <c r="AF678" s="151">
        <f>IF(COUNT($H$3:AF$3)=(Dashboard!$I$31+1),IF($F$678=$C$678,Data!$E$304,0),0)</f>
        <v>0</v>
      </c>
      <c r="AG678" s="151">
        <f>IF(COUNT($H$3:AG$3)=(Dashboard!$I$31+1),IF($F$678=$C$678,Data!$E$304,0),0)</f>
        <v>0</v>
      </c>
      <c r="AH678" s="151">
        <f>IF(COUNT($H$3:AH$3)=(Dashboard!$I$31+1),IF($F$678=$C$678,Data!$E$304,0),0)</f>
        <v>0</v>
      </c>
      <c r="AI678" s="151">
        <f>IF(COUNT($H$3:AI$3)=(Dashboard!$I$31+1),IF($F$678=$C$678,Data!$E$304,0),0)</f>
        <v>0</v>
      </c>
      <c r="AJ678" s="151">
        <f>IF(COUNT($H$3:AJ$3)=(Dashboard!$I$31+1),IF($F$678=$C$678,Data!$E$304,0),0)</f>
        <v>0</v>
      </c>
      <c r="AK678" s="151">
        <f>IF(COUNT($H$3:AK$3)=(Dashboard!$I$31+1),IF($F$678=$C$678,Data!$E$304,0),0)</f>
        <v>0</v>
      </c>
      <c r="AL678" s="151">
        <f>IF(COUNT($H$3:AL$3)=(Dashboard!$I$31+1),IF($F$678=$C$678,Data!$E$304,0),0)</f>
        <v>0</v>
      </c>
      <c r="AM678" s="151">
        <f>IF(COUNT($H$3:AM$3)=(Dashboard!$I$31+1),IF($F$678=$C$678,Data!$E$304,0),0)</f>
        <v>0</v>
      </c>
      <c r="AN678" s="151">
        <f>IF(COUNT($H$3:AN$3)=(Dashboard!$I$31+1),IF($F$678=$C$678,Data!$E$304,0),0)</f>
        <v>0</v>
      </c>
      <c r="AO678" s="151">
        <f>IF(COUNT($H$3:AO$3)=(Dashboard!$I$31+1),IF($F$678=$C$678,Data!$E$304,0),0)</f>
        <v>0</v>
      </c>
      <c r="AP678" s="29"/>
    </row>
    <row r="679" spans="1:42" outlineLevel="1" x14ac:dyDescent="0.25">
      <c r="A679" s="12"/>
      <c r="B679" s="13"/>
      <c r="C679" s="96"/>
      <c r="D679" s="14"/>
      <c r="E679" s="15"/>
      <c r="F679" s="158"/>
      <c r="G679" s="14"/>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151"/>
      <c r="AG679" s="151"/>
      <c r="AH679" s="151"/>
      <c r="AI679" s="151"/>
      <c r="AJ679" s="151"/>
      <c r="AK679" s="151"/>
      <c r="AL679" s="151"/>
      <c r="AM679" s="151"/>
      <c r="AN679" s="151"/>
      <c r="AO679" s="151"/>
      <c r="AP679" s="29"/>
    </row>
    <row r="680" spans="1:42" outlineLevel="1" x14ac:dyDescent="0.25">
      <c r="A680" s="12"/>
      <c r="B680" s="13"/>
      <c r="C680" s="95" t="s">
        <v>594</v>
      </c>
      <c r="D680" s="14"/>
      <c r="E680" s="15"/>
      <c r="F680" s="158"/>
      <c r="G680" s="14"/>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151"/>
      <c r="AG680" s="151"/>
      <c r="AH680" s="151"/>
      <c r="AI680" s="151"/>
      <c r="AJ680" s="151"/>
      <c r="AK680" s="151"/>
      <c r="AL680" s="151"/>
      <c r="AM680" s="151"/>
      <c r="AN680" s="151"/>
      <c r="AO680" s="151"/>
      <c r="AP680" s="29"/>
    </row>
    <row r="681" spans="1:42" outlineLevel="1" x14ac:dyDescent="0.25">
      <c r="A681" s="12"/>
      <c r="B681" s="13"/>
      <c r="C681" s="96" t="s">
        <v>120</v>
      </c>
      <c r="D681" s="14"/>
      <c r="E681" s="15" t="s">
        <v>142</v>
      </c>
      <c r="F681" s="158" t="str">
        <f>Dashboard!$I$63</f>
        <v>3 Axle Double Decker Bus</v>
      </c>
      <c r="G681" s="14"/>
      <c r="H681" s="151">
        <f>IF(COUNT($H$3:H$3)=(Dashboard!$I$31+Data!$E$307+1),IF($F$681=$C$681,H667,0),0)</f>
        <v>0</v>
      </c>
      <c r="I681" s="151">
        <f>IF(COUNT($H$3:I$3)=(Dashboard!$I$31+Data!$E$307+1),IF($F$681=$C$681,I667,0),0)</f>
        <v>0</v>
      </c>
      <c r="J681" s="151">
        <f>IF(COUNT($H$3:J$3)=(Dashboard!$I$31+Data!$E$307+1),IF($F$681=$C$681,J667,0),0)</f>
        <v>0</v>
      </c>
      <c r="K681" s="151">
        <f>IF(COUNT($H$3:K$3)=(Dashboard!$I$31+Data!$E$307+1),IF($F$681=$C$681,K667,0),0)</f>
        <v>0</v>
      </c>
      <c r="L681" s="151">
        <f>IF(COUNT($H$3:L$3)=(Dashboard!$I$31+Data!$E$307+1),IF($F$681=$C$681,L667,0),0)</f>
        <v>0</v>
      </c>
      <c r="M681" s="151">
        <f>IF(COUNT($H$3:M$3)=(Dashboard!$I$31+Data!$E$307+1),IF($F$681=$C$681,M667,0),0)</f>
        <v>0</v>
      </c>
      <c r="N681" s="151">
        <f>IF(COUNT($H$3:N$3)=(Dashboard!$I$31+Data!$E$307+1),IF($F$681=$C$681,N667,0),0)</f>
        <v>0</v>
      </c>
      <c r="O681" s="151">
        <f>IF(COUNT($H$3:O$3)=(Dashboard!$I$31+Data!$E$307+1),IF($F$681=$C$681,O667,0),0)</f>
        <v>0</v>
      </c>
      <c r="P681" s="151">
        <f>IF(COUNT($H$3:P$3)=(Dashboard!$I$31+Data!$E$307+1),IF($F$681=$C$681,P667,0),0)</f>
        <v>0</v>
      </c>
      <c r="Q681" s="151">
        <f>IF(COUNT($H$3:Q$3)=(Dashboard!$I$31+Data!$E$307+1),IF($F$681=$C$681,Q667,0),0)</f>
        <v>0</v>
      </c>
      <c r="R681" s="151">
        <f>IF(COUNT($H$3:R$3)=(Dashboard!$I$31+Data!$E$307+1),IF($F$681=$C$681,R667,0),0)</f>
        <v>0</v>
      </c>
      <c r="S681" s="151">
        <f>IF(COUNT($H$3:S$3)=(Dashboard!$I$31+Data!$E$307+1),IF($F$681=$C$681,S667,0),0)</f>
        <v>0</v>
      </c>
      <c r="T681" s="151">
        <f>IF(COUNT($H$3:T$3)=(Dashboard!$I$31+Data!$E$307+1),IF($F$681=$C$681,T667,0),0)</f>
        <v>0</v>
      </c>
      <c r="U681" s="151">
        <f>IF(COUNT($H$3:U$3)=(Dashboard!$I$31+Data!$E$307+1),IF($F$681=$C$681,U667,0),0)</f>
        <v>0</v>
      </c>
      <c r="V681" s="151">
        <f>IF(COUNT($H$3:V$3)=(Dashboard!$I$31+Data!$E$307+1),IF($F$681=$C$681,V667,0),0)</f>
        <v>0</v>
      </c>
      <c r="W681" s="151">
        <f>IF(COUNT($H$3:W$3)=(Dashboard!$I$31+Data!$E$307+1),IF($F$681=$C$681,W667,0),0)</f>
        <v>0</v>
      </c>
      <c r="X681" s="151">
        <f>IF(COUNT($H$3:X$3)=(Dashboard!$I$31+Data!$E$307+1),IF($F$681=$C$681,X667,0),0)</f>
        <v>0</v>
      </c>
      <c r="Y681" s="151">
        <f>IF(COUNT($H$3:Y$3)=(Dashboard!$I$31+Data!$E$307+1),IF($F$681=$C$681,Y667,0),0)</f>
        <v>0</v>
      </c>
      <c r="Z681" s="151">
        <f>IF(COUNT($H$3:Z$3)=(Dashboard!$I$31+Data!$E$307+1),IF($F$681=$C$681,Z667,0),0)</f>
        <v>0</v>
      </c>
      <c r="AA681" s="151">
        <f>IF(COUNT($H$3:AA$3)=(Dashboard!$I$31+Data!$E$307+1),IF($F$681=$C$681,AA667,0),0)</f>
        <v>0</v>
      </c>
      <c r="AB681" s="151">
        <f>IF(COUNT($H$3:AB$3)=(Dashboard!$I$31+Data!$E$307+1),IF($F$681=$C$681,AB667,0),0)</f>
        <v>0</v>
      </c>
      <c r="AC681" s="151">
        <f>IF(COUNT($H$3:AC$3)=(Dashboard!$I$31+Data!$E$307+1),IF($F$681=$C$681,AC667,0),0)</f>
        <v>0</v>
      </c>
      <c r="AD681" s="151">
        <f>IF(COUNT($H$3:AD$3)=(Dashboard!$I$31+Data!$E$307+1),IF($F$681=$C$681,AD667,0),0)</f>
        <v>0</v>
      </c>
      <c r="AE681" s="151">
        <f>IF(COUNT($H$3:AE$3)=(Dashboard!$I$31+Data!$E$307+1),IF($F$681=$C$681,AE667,0),0)</f>
        <v>0</v>
      </c>
      <c r="AF681" s="151">
        <f>IF(COUNT($H$3:AF$3)=(Dashboard!$I$31+Data!$E$307+1),IF($F$681=$C$681,AF667,0),0)</f>
        <v>0</v>
      </c>
      <c r="AG681" s="151">
        <f>IF(COUNT($H$3:AG$3)=(Dashboard!$I$31+Data!$E$307+1),IF($F$681=$C$681,AG667,0),0)</f>
        <v>0</v>
      </c>
      <c r="AH681" s="151">
        <f>IF(COUNT($H$3:AH$3)=(Dashboard!$I$31+Data!$E$307+1),IF($F$681=$C$681,AH667,0),0)</f>
        <v>0</v>
      </c>
      <c r="AI681" s="151">
        <f>IF(COUNT($H$3:AI$3)=(Dashboard!$I$31+Data!$E$307+1),IF($F$681=$C$681,AI667,0),0)</f>
        <v>0</v>
      </c>
      <c r="AJ681" s="151">
        <f>IF(COUNT($H$3:AJ$3)=(Dashboard!$I$31+Data!$E$307+1),IF($F$681=$C$681,AJ667,0),0)</f>
        <v>0</v>
      </c>
      <c r="AK681" s="151">
        <f>IF(COUNT($H$3:AK$3)=(Dashboard!$I$31+Data!$E$307+1),IF($F$681=$C$681,AK667,0),0)</f>
        <v>0</v>
      </c>
      <c r="AL681" s="151">
        <f>IF(COUNT($H$3:AL$3)=(Dashboard!$I$31+Data!$E$307+1),IF($F$681=$C$681,AL667,0),0)</f>
        <v>0</v>
      </c>
      <c r="AM681" s="151">
        <f>IF(COUNT($H$3:AM$3)=(Dashboard!$I$31+Data!$E$307+1),IF($F$681=$C$681,AM667,0),0)</f>
        <v>0</v>
      </c>
      <c r="AN681" s="151">
        <f>IF(COUNT($H$3:AN$3)=(Dashboard!$I$31+Data!$E$307+1),IF($F$681=$C$681,AN667,0),0)</f>
        <v>0</v>
      </c>
      <c r="AO681" s="151">
        <f>IF(COUNT($H$3:AO$3)=(Dashboard!$I$31+Data!$E$307+1),IF($F$681=$C$681,AO667,0),0)</f>
        <v>0</v>
      </c>
      <c r="AP681" s="29"/>
    </row>
    <row r="682" spans="1:42" outlineLevel="1" x14ac:dyDescent="0.25">
      <c r="A682" s="12"/>
      <c r="B682" s="13"/>
      <c r="C682" s="96" t="s">
        <v>124</v>
      </c>
      <c r="D682" s="14"/>
      <c r="E682" s="15" t="s">
        <v>142</v>
      </c>
      <c r="F682" s="158" t="str">
        <f>Dashboard!$I$63</f>
        <v>3 Axle Double Decker Bus</v>
      </c>
      <c r="G682" s="14"/>
      <c r="H682" s="151">
        <f>IF(COUNT($H$3:H$3)=(Dashboard!$I$31+Data!$E$307+1),IF($F$682=$C$682,H668,0),0)</f>
        <v>0</v>
      </c>
      <c r="I682" s="151">
        <f>IF(COUNT($H$3:I$3)=(Dashboard!$I$31+Data!$E$307+1),IF($F$682=$C$682,I668,0),0)</f>
        <v>0</v>
      </c>
      <c r="J682" s="151">
        <f>IF(COUNT($H$3:J$3)=(Dashboard!$I$31+Data!$E$307+1),IF($F$682=$C$682,J668,0),0)</f>
        <v>0</v>
      </c>
      <c r="K682" s="151">
        <f>IF(COUNT($H$3:K$3)=(Dashboard!$I$31+Data!$E$307+1),IF($F$682=$C$682,K668,0),0)</f>
        <v>0</v>
      </c>
      <c r="L682" s="151">
        <f>IF(COUNT($H$3:L$3)=(Dashboard!$I$31+Data!$E$307+1),IF($F$682=$C$682,L668,0),0)</f>
        <v>0</v>
      </c>
      <c r="M682" s="151">
        <f>IF(COUNT($H$3:M$3)=(Dashboard!$I$31+Data!$E$307+1),IF($F$682=$C$682,M668,0),0)</f>
        <v>0</v>
      </c>
      <c r="N682" s="151">
        <f>IF(COUNT($H$3:N$3)=(Dashboard!$I$31+Data!$E$307+1),IF($F$682=$C$682,N668,0),0)</f>
        <v>0</v>
      </c>
      <c r="O682" s="151">
        <f>IF(COUNT($H$3:O$3)=(Dashboard!$I$31+Data!$E$307+1),IF($F$682=$C$682,O668,0),0)</f>
        <v>0</v>
      </c>
      <c r="P682" s="151">
        <f>IF(COUNT($H$3:P$3)=(Dashboard!$I$31+Data!$E$307+1),IF($F$682=$C$682,P668,0),0)</f>
        <v>0</v>
      </c>
      <c r="Q682" s="151">
        <f>IF(COUNT($H$3:Q$3)=(Dashboard!$I$31+Data!$E$307+1),IF($F$682=$C$682,Q668,0),0)</f>
        <v>0</v>
      </c>
      <c r="R682" s="151">
        <f>IF(COUNT($H$3:R$3)=(Dashboard!$I$31+Data!$E$307+1),IF($F$682=$C$682,R668,0),0)</f>
        <v>0</v>
      </c>
      <c r="S682" s="151">
        <f>IF(COUNT($H$3:S$3)=(Dashboard!$I$31+Data!$E$307+1),IF($F$682=$C$682,S668,0),0)</f>
        <v>0</v>
      </c>
      <c r="T682" s="151">
        <f>IF(COUNT($H$3:T$3)=(Dashboard!$I$31+Data!$E$307+1),IF($F$682=$C$682,T668,0),0)</f>
        <v>0</v>
      </c>
      <c r="U682" s="151">
        <f>IF(COUNT($H$3:U$3)=(Dashboard!$I$31+Data!$E$307+1),IF($F$682=$C$682,U668,0),0)</f>
        <v>0</v>
      </c>
      <c r="V682" s="151">
        <f>IF(COUNT($H$3:V$3)=(Dashboard!$I$31+Data!$E$307+1),IF($F$682=$C$682,V668,0),0)</f>
        <v>0</v>
      </c>
      <c r="W682" s="151">
        <f>IF(COUNT($H$3:W$3)=(Dashboard!$I$31+Data!$E$307+1),IF($F$682=$C$682,W668,0),0)</f>
        <v>0</v>
      </c>
      <c r="X682" s="151">
        <f>IF(COUNT($H$3:X$3)=(Dashboard!$I$31+Data!$E$307+1),IF($F$682=$C$682,X668,0),0)</f>
        <v>0</v>
      </c>
      <c r="Y682" s="151">
        <f>IF(COUNT($H$3:Y$3)=(Dashboard!$I$31+Data!$E$307+1),IF($F$682=$C$682,Y668,0),0)</f>
        <v>0</v>
      </c>
      <c r="Z682" s="151">
        <f>IF(COUNT($H$3:Z$3)=(Dashboard!$I$31+Data!$E$307+1),IF($F$682=$C$682,Z668,0),0)</f>
        <v>0</v>
      </c>
      <c r="AA682" s="151">
        <f>IF(COUNT($H$3:AA$3)=(Dashboard!$I$31+Data!$E$307+1),IF($F$682=$C$682,AA668,0),0)</f>
        <v>0</v>
      </c>
      <c r="AB682" s="151">
        <f>IF(COUNT($H$3:AB$3)=(Dashboard!$I$31+Data!$E$307+1),IF($F$682=$C$682,AB668,0),0)</f>
        <v>0</v>
      </c>
      <c r="AC682" s="151">
        <f>IF(COUNT($H$3:AC$3)=(Dashboard!$I$31+Data!$E$307+1),IF($F$682=$C$682,AC668,0),0)</f>
        <v>0</v>
      </c>
      <c r="AD682" s="151">
        <f>IF(COUNT($H$3:AD$3)=(Dashboard!$I$31+Data!$E$307+1),IF($F$682=$C$682,AD668,0),0)</f>
        <v>0</v>
      </c>
      <c r="AE682" s="151">
        <f>IF(COUNT($H$3:AE$3)=(Dashboard!$I$31+Data!$E$307+1),IF($F$682=$C$682,AE668,0),0)</f>
        <v>0</v>
      </c>
      <c r="AF682" s="151">
        <f>IF(COUNT($H$3:AF$3)=(Dashboard!$I$31+Data!$E$307+1),IF($F$682=$C$682,AF668,0),0)</f>
        <v>0</v>
      </c>
      <c r="AG682" s="151">
        <f>IF(COUNT($H$3:AG$3)=(Dashboard!$I$31+Data!$E$307+1),IF($F$682=$C$682,AG668,0),0)</f>
        <v>0</v>
      </c>
      <c r="AH682" s="151">
        <f>IF(COUNT($H$3:AH$3)=(Dashboard!$I$31+Data!$E$307+1),IF($F$682=$C$682,AH668,0),0)</f>
        <v>0</v>
      </c>
      <c r="AI682" s="151">
        <f>IF(COUNT($H$3:AI$3)=(Dashboard!$I$31+Data!$E$307+1),IF($F$682=$C$682,AI668,0),0)</f>
        <v>0</v>
      </c>
      <c r="AJ682" s="151">
        <f>IF(COUNT($H$3:AJ$3)=(Dashboard!$I$31+Data!$E$307+1),IF($F$682=$C$682,AJ668,0),0)</f>
        <v>0</v>
      </c>
      <c r="AK682" s="151">
        <f>IF(COUNT($H$3:AK$3)=(Dashboard!$I$31+Data!$E$307+1),IF($F$682=$C$682,AK668,0),0)</f>
        <v>0</v>
      </c>
      <c r="AL682" s="151">
        <f>IF(COUNT($H$3:AL$3)=(Dashboard!$I$31+Data!$E$307+1),IF($F$682=$C$682,AL668,0),0)</f>
        <v>0</v>
      </c>
      <c r="AM682" s="151">
        <f>IF(COUNT($H$3:AM$3)=(Dashboard!$I$31+Data!$E$307+1),IF($F$682=$C$682,AM668,0),0)</f>
        <v>0</v>
      </c>
      <c r="AN682" s="151">
        <f>IF(COUNT($H$3:AN$3)=(Dashboard!$I$31+Data!$E$307+1),IF($F$682=$C$682,AN668,0),0)</f>
        <v>0</v>
      </c>
      <c r="AO682" s="151">
        <f>IF(COUNT($H$3:AO$3)=(Dashboard!$I$31+Data!$E$307+1),IF($F$682=$C$682,AO668,0),0)</f>
        <v>0</v>
      </c>
      <c r="AP682" s="29"/>
    </row>
    <row r="683" spans="1:42" outlineLevel="1" x14ac:dyDescent="0.25">
      <c r="A683" s="12"/>
      <c r="B683" s="13"/>
      <c r="C683" s="96" t="s">
        <v>126</v>
      </c>
      <c r="D683" s="14"/>
      <c r="E683" s="15" t="s">
        <v>142</v>
      </c>
      <c r="F683" s="158" t="str">
        <f>Dashboard!$I$63</f>
        <v>3 Axle Double Decker Bus</v>
      </c>
      <c r="G683" s="14"/>
      <c r="H683" s="151">
        <f>IF(COUNT($H$3:H$3)=(Dashboard!$I$31+Data!$E$307+1),IF($F$683=$C$683,H669,0),0)</f>
        <v>0</v>
      </c>
      <c r="I683" s="151">
        <f>IF(COUNT($H$3:I$3)=(Dashboard!$I$31+Data!$E$307+1),IF($F$683=$C$683,I669,0),0)</f>
        <v>0</v>
      </c>
      <c r="J683" s="151">
        <f>IF(COUNT($H$3:J$3)=(Dashboard!$I$31+Data!$E$307+1),IF($F$683=$C$683,J669,0),0)</f>
        <v>0</v>
      </c>
      <c r="K683" s="151">
        <f>IF(COUNT($H$3:K$3)=(Dashboard!$I$31+Data!$E$307+1),IF($F$683=$C$683,K669,0),0)</f>
        <v>0</v>
      </c>
      <c r="L683" s="151">
        <f>IF(COUNT($H$3:L$3)=(Dashboard!$I$31+Data!$E$307+1),IF($F$683=$C$683,L669,0),0)</f>
        <v>0</v>
      </c>
      <c r="M683" s="151">
        <f>IF(COUNT($H$3:M$3)=(Dashboard!$I$31+Data!$E$307+1),IF($F$683=$C$683,M669,0),0)</f>
        <v>0</v>
      </c>
      <c r="N683" s="151">
        <f>IF(COUNT($H$3:N$3)=(Dashboard!$I$31+Data!$E$307+1),IF($F$683=$C$683,N669,0),0)</f>
        <v>0</v>
      </c>
      <c r="O683" s="151">
        <f>IF(COUNT($H$3:O$3)=(Dashboard!$I$31+Data!$E$307+1),IF($F$683=$C$683,O669,0),0)</f>
        <v>0</v>
      </c>
      <c r="P683" s="151">
        <f>IF(COUNT($H$3:P$3)=(Dashboard!$I$31+Data!$E$307+1),IF($F$683=$C$683,P669,0),0)</f>
        <v>0</v>
      </c>
      <c r="Q683" s="151">
        <f>IF(COUNT($H$3:Q$3)=(Dashboard!$I$31+Data!$E$307+1),IF($F$683=$C$683,Q669,0),0)</f>
        <v>0</v>
      </c>
      <c r="R683" s="151">
        <f>IF(COUNT($H$3:R$3)=(Dashboard!$I$31+Data!$E$307+1),IF($F$683=$C$683,R669,0),0)</f>
        <v>0</v>
      </c>
      <c r="S683" s="151">
        <f>IF(COUNT($H$3:S$3)=(Dashboard!$I$31+Data!$E$307+1),IF($F$683=$C$683,S669,0),0)</f>
        <v>0</v>
      </c>
      <c r="T683" s="151">
        <f>IF(COUNT($H$3:T$3)=(Dashboard!$I$31+Data!$E$307+1),IF($F$683=$C$683,T669,0),0)</f>
        <v>0</v>
      </c>
      <c r="U683" s="151">
        <f>IF(COUNT($H$3:U$3)=(Dashboard!$I$31+Data!$E$307+1),IF($F$683=$C$683,U669,0),0)</f>
        <v>0</v>
      </c>
      <c r="V683" s="151">
        <f>IF(COUNT($H$3:V$3)=(Dashboard!$I$31+Data!$E$307+1),IF($F$683=$C$683,V669,0),0)</f>
        <v>0</v>
      </c>
      <c r="W683" s="151">
        <f>IF(COUNT($H$3:W$3)=(Dashboard!$I$31+Data!$E$307+1),IF($F$683=$C$683,W669,0),0)</f>
        <v>0</v>
      </c>
      <c r="X683" s="151">
        <f>IF(COUNT($H$3:X$3)=(Dashboard!$I$31+Data!$E$307+1),IF($F$683=$C$683,X669,0),0)</f>
        <v>0</v>
      </c>
      <c r="Y683" s="151">
        <f>IF(COUNT($H$3:Y$3)=(Dashboard!$I$31+Data!$E$307+1),IF($F$683=$C$683,Y669,0),0)</f>
        <v>0</v>
      </c>
      <c r="Z683" s="151">
        <f>IF(COUNT($H$3:Z$3)=(Dashboard!$I$31+Data!$E$307+1),IF($F$683=$C$683,Z669,0),0)</f>
        <v>0</v>
      </c>
      <c r="AA683" s="151">
        <f>IF(COUNT($H$3:AA$3)=(Dashboard!$I$31+Data!$E$307+1),IF($F$683=$C$683,AA669,0),0)</f>
        <v>0</v>
      </c>
      <c r="AB683" s="151">
        <f>IF(COUNT($H$3:AB$3)=(Dashboard!$I$31+Data!$E$307+1),IF($F$683=$C$683,AB669,0),0)</f>
        <v>0</v>
      </c>
      <c r="AC683" s="151">
        <f>IF(COUNT($H$3:AC$3)=(Dashboard!$I$31+Data!$E$307+1),IF($F$683=$C$683,AC669,0),0)</f>
        <v>103490.3365424059</v>
      </c>
      <c r="AD683" s="151">
        <f>IF(COUNT($H$3:AD$3)=(Dashboard!$I$31+Data!$E$307+1),IF($F$683=$C$683,AD669,0),0)</f>
        <v>0</v>
      </c>
      <c r="AE683" s="151">
        <f>IF(COUNT($H$3:AE$3)=(Dashboard!$I$31+Data!$E$307+1),IF($F$683=$C$683,AE669,0),0)</f>
        <v>0</v>
      </c>
      <c r="AF683" s="151">
        <f>IF(COUNT($H$3:AF$3)=(Dashboard!$I$31+Data!$E$307+1),IF($F$683=$C$683,AF669,0),0)</f>
        <v>0</v>
      </c>
      <c r="AG683" s="151">
        <f>IF(COUNT($H$3:AG$3)=(Dashboard!$I$31+Data!$E$307+1),IF($F$683=$C$683,AG669,0),0)</f>
        <v>0</v>
      </c>
      <c r="AH683" s="151">
        <f>IF(COUNT($H$3:AH$3)=(Dashboard!$I$31+Data!$E$307+1),IF($F$683=$C$683,AH669,0),0)</f>
        <v>0</v>
      </c>
      <c r="AI683" s="151">
        <f>IF(COUNT($H$3:AI$3)=(Dashboard!$I$31+Data!$E$307+1),IF($F$683=$C$683,AI669,0),0)</f>
        <v>0</v>
      </c>
      <c r="AJ683" s="151">
        <f>IF(COUNT($H$3:AJ$3)=(Dashboard!$I$31+Data!$E$307+1),IF($F$683=$C$683,AJ669,0),0)</f>
        <v>0</v>
      </c>
      <c r="AK683" s="151">
        <f>IF(COUNT($H$3:AK$3)=(Dashboard!$I$31+Data!$E$307+1),IF($F$683=$C$683,AK669,0),0)</f>
        <v>0</v>
      </c>
      <c r="AL683" s="151">
        <f>IF(COUNT($H$3:AL$3)=(Dashboard!$I$31+Data!$E$307+1),IF($F$683=$C$683,AL669,0),0)</f>
        <v>0</v>
      </c>
      <c r="AM683" s="151">
        <f>IF(COUNT($H$3:AM$3)=(Dashboard!$I$31+Data!$E$307+1),IF($F$683=$C$683,AM669,0),0)</f>
        <v>0</v>
      </c>
      <c r="AN683" s="151">
        <f>IF(COUNT($H$3:AN$3)=(Dashboard!$I$31+Data!$E$307+1),IF($F$683=$C$683,AN669,0),0)</f>
        <v>0</v>
      </c>
      <c r="AO683" s="151">
        <f>IF(COUNT($H$3:AO$3)=(Dashboard!$I$31+Data!$E$307+1),IF($F$683=$C$683,AO669,0),0)</f>
        <v>0</v>
      </c>
      <c r="AP683" s="29"/>
    </row>
    <row r="684" spans="1:42" outlineLevel="1" x14ac:dyDescent="0.25">
      <c r="A684" s="12"/>
      <c r="B684" s="13"/>
      <c r="C684" s="96"/>
      <c r="D684" s="14"/>
      <c r="E684" s="15"/>
      <c r="F684" s="158"/>
      <c r="G684" s="14"/>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151"/>
      <c r="AG684" s="151"/>
      <c r="AH684" s="151"/>
      <c r="AI684" s="151"/>
      <c r="AJ684" s="151"/>
      <c r="AK684" s="151"/>
      <c r="AL684" s="151"/>
      <c r="AM684" s="151"/>
      <c r="AN684" s="151"/>
      <c r="AO684" s="151"/>
      <c r="AP684" s="29"/>
    </row>
    <row r="685" spans="1:42" outlineLevel="1" x14ac:dyDescent="0.25">
      <c r="A685" s="12"/>
      <c r="B685" s="13"/>
      <c r="C685" s="140" t="s">
        <v>306</v>
      </c>
      <c r="D685" s="14"/>
      <c r="E685" s="15"/>
      <c r="F685" s="16"/>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7"/>
    </row>
    <row r="686" spans="1:42" outlineLevel="1" x14ac:dyDescent="0.25">
      <c r="A686" s="12"/>
      <c r="B686" s="13"/>
      <c r="C686" s="14" t="s">
        <v>546</v>
      </c>
      <c r="D686" s="14"/>
      <c r="E686" s="15" t="s">
        <v>142</v>
      </c>
      <c r="F686" s="16"/>
      <c r="G686" s="14"/>
      <c r="H686" s="159">
        <f>IF(COUNT($H$3:H$3)=(Dashboard!$I$31+1),Data!$E$316,0)</f>
        <v>0</v>
      </c>
      <c r="I686" s="159">
        <f>IF(COUNT($H$3:I$3)=(Dashboard!$I$31+1),Data!$E$316,0)</f>
        <v>0</v>
      </c>
      <c r="J686" s="159">
        <f>IF(COUNT($H$3:J$3)=(Dashboard!$I$31+1),Data!$E$316,0)</f>
        <v>0</v>
      </c>
      <c r="K686" s="159">
        <f>IF(COUNT($H$3:K$3)=(Dashboard!$I$31+1),Data!$E$316,0)</f>
        <v>0</v>
      </c>
      <c r="L686" s="159">
        <f>IF(COUNT($H$3:L$3)=(Dashboard!$I$31+1),Data!$E$316,0)</f>
        <v>0</v>
      </c>
      <c r="M686" s="159">
        <f>IF(COUNT($H$3:M$3)=(Dashboard!$I$31+1),Data!$E$316,0)</f>
        <v>0</v>
      </c>
      <c r="N686" s="159">
        <f>IF(COUNT($H$3:N$3)=(Dashboard!$I$31+1),Data!$E$316,0)</f>
        <v>0</v>
      </c>
      <c r="O686" s="159">
        <f>IF(COUNT($H$3:O$3)=(Dashboard!$I$31+1),Data!$E$316,0)</f>
        <v>0</v>
      </c>
      <c r="P686" s="159">
        <f>IF(COUNT($H$3:P$3)=(Dashboard!$I$31+1),Data!$E$316,0)</f>
        <v>0</v>
      </c>
      <c r="Q686" s="159">
        <f>IF(COUNT($H$3:Q$3)=(Dashboard!$I$31+1),Data!$E$316,0)</f>
        <v>0</v>
      </c>
      <c r="R686" s="159">
        <f>IF(COUNT($H$3:R$3)=(Dashboard!$I$31+1),Data!$E$316,0)</f>
        <v>0</v>
      </c>
      <c r="S686" s="159">
        <f>IF(COUNT($H$3:S$3)=(Dashboard!$I$31+1),Data!$E$316,0)</f>
        <v>0</v>
      </c>
      <c r="T686" s="159">
        <f>IF(COUNT($H$3:T$3)=(Dashboard!$I$31+1),Data!$E$316,0)</f>
        <v>62335</v>
      </c>
      <c r="U686" s="159">
        <f>IF(COUNT($H$3:U$3)=(Dashboard!$I$31+1),Data!$E$316,0)</f>
        <v>0</v>
      </c>
      <c r="V686" s="159">
        <f>IF(COUNT($H$3:V$3)=(Dashboard!$I$31+1),Data!$E$316,0)</f>
        <v>0</v>
      </c>
      <c r="W686" s="159">
        <f>IF(COUNT($H$3:W$3)=(Dashboard!$I$31+1),Data!$E$316,0)</f>
        <v>0</v>
      </c>
      <c r="X686" s="159">
        <f>IF(COUNT($H$3:X$3)=(Dashboard!$I$31+1),Data!$E$316,0)</f>
        <v>0</v>
      </c>
      <c r="Y686" s="159">
        <f>IF(COUNT($H$3:Y$3)=(Dashboard!$I$31+1),Data!$E$316,0)</f>
        <v>0</v>
      </c>
      <c r="Z686" s="159">
        <f>IF(COUNT($H$3:Z$3)=(Dashboard!$I$31+1),Data!$E$316,0)</f>
        <v>0</v>
      </c>
      <c r="AA686" s="159">
        <f>IF(COUNT($H$3:AA$3)=(Dashboard!$I$31+1),Data!$E$316,0)</f>
        <v>0</v>
      </c>
      <c r="AB686" s="159">
        <f>IF(COUNT($H$3:AB$3)=(Dashboard!$I$31+1),Data!$E$316,0)</f>
        <v>0</v>
      </c>
      <c r="AC686" s="159">
        <f>IF(COUNT($H$3:AC$3)=(Dashboard!$I$31+1),Data!$E$316,0)</f>
        <v>0</v>
      </c>
      <c r="AD686" s="159">
        <f>IF(COUNT($H$3:AD$3)=(Dashboard!$I$31+1),Data!$E$316,0)</f>
        <v>0</v>
      </c>
      <c r="AE686" s="159">
        <f>IF(COUNT($H$3:AE$3)=(Dashboard!$I$31+1),Data!$E$316,0)</f>
        <v>0</v>
      </c>
      <c r="AF686" s="159">
        <f>IF(COUNT($H$3:AF$3)=(Dashboard!$I$31+1),Data!$E$316,0)</f>
        <v>0</v>
      </c>
      <c r="AG686" s="159">
        <f>IF(COUNT($H$3:AG$3)=(Dashboard!$I$31+1),Data!$E$316,0)</f>
        <v>0</v>
      </c>
      <c r="AH686" s="159">
        <f>IF(COUNT($H$3:AH$3)=(Dashboard!$I$31+1),Data!$E$316,0)</f>
        <v>0</v>
      </c>
      <c r="AI686" s="159">
        <f>IF(COUNT($H$3:AI$3)=(Dashboard!$I$31+1),Data!$E$316,0)</f>
        <v>0</v>
      </c>
      <c r="AJ686" s="159">
        <f>IF(COUNT($H$3:AJ$3)=(Dashboard!$I$31+1),Data!$E$316,0)</f>
        <v>0</v>
      </c>
      <c r="AK686" s="159">
        <f>IF(COUNT($H$3:AK$3)=(Dashboard!$I$31+1),Data!$E$316,0)</f>
        <v>0</v>
      </c>
      <c r="AL686" s="159">
        <f>IF(COUNT($H$3:AL$3)=(Dashboard!$I$31+1),Data!$E$316,0)</f>
        <v>0</v>
      </c>
      <c r="AM686" s="159">
        <f>IF(COUNT($H$3:AM$3)=(Dashboard!$I$31+1),Data!$E$316,0)</f>
        <v>0</v>
      </c>
      <c r="AN686" s="159">
        <f>IF(COUNT($H$3:AN$3)=(Dashboard!$I$31+1),Data!$E$316,0)</f>
        <v>0</v>
      </c>
      <c r="AO686" s="159">
        <f>IF(COUNT($H$3:AO$3)=(Dashboard!$I$31+1),Data!$E$316,0)</f>
        <v>0</v>
      </c>
      <c r="AP686" s="17"/>
    </row>
    <row r="687" spans="1:42" outlineLevel="1" x14ac:dyDescent="0.25">
      <c r="A687" s="12"/>
      <c r="B687" s="13"/>
      <c r="C687" s="14" t="s">
        <v>547</v>
      </c>
      <c r="D687" s="14"/>
      <c r="E687" s="15" t="s">
        <v>142</v>
      </c>
      <c r="F687" s="16"/>
      <c r="G687" s="14"/>
      <c r="H687" s="159">
        <f>IF(COUNT($H$3:H$3)=(Dashboard!$I$31+1),Data!$E$317,0)</f>
        <v>0</v>
      </c>
      <c r="I687" s="159">
        <f>IF(COUNT($H$3:I$3)=(Dashboard!$I$31+1),Data!$E$317,0)</f>
        <v>0</v>
      </c>
      <c r="J687" s="159">
        <f>IF(COUNT($H$3:J$3)=(Dashboard!$I$31+1),Data!$E$317,0)</f>
        <v>0</v>
      </c>
      <c r="K687" s="159">
        <f>IF(COUNT($H$3:K$3)=(Dashboard!$I$31+1),Data!$E$317,0)</f>
        <v>0</v>
      </c>
      <c r="L687" s="159">
        <f>IF(COUNT($H$3:L$3)=(Dashboard!$I$31+1),Data!$E$317,0)</f>
        <v>0</v>
      </c>
      <c r="M687" s="159">
        <f>IF(COUNT($H$3:M$3)=(Dashboard!$I$31+1),Data!$E$317,0)</f>
        <v>0</v>
      </c>
      <c r="N687" s="159">
        <f>IF(COUNT($H$3:N$3)=(Dashboard!$I$31+1),Data!$E$317,0)</f>
        <v>0</v>
      </c>
      <c r="O687" s="159">
        <f>IF(COUNT($H$3:O$3)=(Dashboard!$I$31+1),Data!$E$317,0)</f>
        <v>0</v>
      </c>
      <c r="P687" s="159">
        <f>IF(COUNT($H$3:P$3)=(Dashboard!$I$31+1),Data!$E$317,0)</f>
        <v>0</v>
      </c>
      <c r="Q687" s="159">
        <f>IF(COUNT($H$3:Q$3)=(Dashboard!$I$31+1),Data!$E$317,0)</f>
        <v>0</v>
      </c>
      <c r="R687" s="159">
        <f>IF(COUNT($H$3:R$3)=(Dashboard!$I$31+1),Data!$E$317,0)</f>
        <v>0</v>
      </c>
      <c r="S687" s="159">
        <f>IF(COUNT($H$3:S$3)=(Dashboard!$I$31+1),Data!$E$317,0)</f>
        <v>0</v>
      </c>
      <c r="T687" s="159">
        <f>IF(COUNT($H$3:T$3)=(Dashboard!$I$31+1),Data!$E$317,0)</f>
        <v>70444.868888888886</v>
      </c>
      <c r="U687" s="159">
        <f>IF(COUNT($H$3:U$3)=(Dashboard!$I$31+1),Data!$E$317,0)</f>
        <v>0</v>
      </c>
      <c r="V687" s="159">
        <f>IF(COUNT($H$3:V$3)=(Dashboard!$I$31+1),Data!$E$317,0)</f>
        <v>0</v>
      </c>
      <c r="W687" s="159">
        <f>IF(COUNT($H$3:W$3)=(Dashboard!$I$31+1),Data!$E$317,0)</f>
        <v>0</v>
      </c>
      <c r="X687" s="159">
        <f>IF(COUNT($H$3:X$3)=(Dashboard!$I$31+1),Data!$E$317,0)</f>
        <v>0</v>
      </c>
      <c r="Y687" s="159">
        <f>IF(COUNT($H$3:Y$3)=(Dashboard!$I$31+1),Data!$E$317,0)</f>
        <v>0</v>
      </c>
      <c r="Z687" s="159">
        <f>IF(COUNT($H$3:Z$3)=(Dashboard!$I$31+1),Data!$E$317,0)</f>
        <v>0</v>
      </c>
      <c r="AA687" s="159">
        <f>IF(COUNT($H$3:AA$3)=(Dashboard!$I$31+1),Data!$E$317,0)</f>
        <v>0</v>
      </c>
      <c r="AB687" s="159">
        <f>IF(COUNT($H$3:AB$3)=(Dashboard!$I$31+1),Data!$E$317,0)</f>
        <v>0</v>
      </c>
      <c r="AC687" s="159">
        <f>IF(COUNT($H$3:AC$3)=(Dashboard!$I$31+1),Data!$E$317,0)</f>
        <v>0</v>
      </c>
      <c r="AD687" s="159">
        <f>IF(COUNT($H$3:AD$3)=(Dashboard!$I$31+1),Data!$E$317,0)</f>
        <v>0</v>
      </c>
      <c r="AE687" s="159">
        <f>IF(COUNT($H$3:AE$3)=(Dashboard!$I$31+1),Data!$E$317,0)</f>
        <v>0</v>
      </c>
      <c r="AF687" s="159">
        <f>IF(COUNT($H$3:AF$3)=(Dashboard!$I$31+1),Data!$E$317,0)</f>
        <v>0</v>
      </c>
      <c r="AG687" s="159">
        <f>IF(COUNT($H$3:AG$3)=(Dashboard!$I$31+1),Data!$E$317,0)</f>
        <v>0</v>
      </c>
      <c r="AH687" s="159">
        <f>IF(COUNT($H$3:AH$3)=(Dashboard!$I$31+1),Data!$E$317,0)</f>
        <v>0</v>
      </c>
      <c r="AI687" s="159">
        <f>IF(COUNT($H$3:AI$3)=(Dashboard!$I$31+1),Data!$E$317,0)</f>
        <v>0</v>
      </c>
      <c r="AJ687" s="159">
        <f>IF(COUNT($H$3:AJ$3)=(Dashboard!$I$31+1),Data!$E$317,0)</f>
        <v>0</v>
      </c>
      <c r="AK687" s="159">
        <f>IF(COUNT($H$3:AK$3)=(Dashboard!$I$31+1),Data!$E$317,0)</f>
        <v>0</v>
      </c>
      <c r="AL687" s="159">
        <f>IF(COUNT($H$3:AL$3)=(Dashboard!$I$31+1),Data!$E$317,0)</f>
        <v>0</v>
      </c>
      <c r="AM687" s="159">
        <f>IF(COUNT($H$3:AM$3)=(Dashboard!$I$31+1),Data!$E$317,0)</f>
        <v>0</v>
      </c>
      <c r="AN687" s="159">
        <f>IF(COUNT($H$3:AN$3)=(Dashboard!$I$31+1),Data!$E$317,0)</f>
        <v>0</v>
      </c>
      <c r="AO687" s="159">
        <f>IF(COUNT($H$3:AO$3)=(Dashboard!$I$31+1),Data!$E$317,0)</f>
        <v>0</v>
      </c>
      <c r="AP687" s="17"/>
    </row>
    <row r="688" spans="1:42" outlineLevel="1" x14ac:dyDescent="0.25">
      <c r="A688" s="12"/>
      <c r="B688" s="13"/>
      <c r="C688" s="136" t="s">
        <v>310</v>
      </c>
      <c r="D688" s="14"/>
      <c r="E688" s="15" t="s">
        <v>142</v>
      </c>
      <c r="F688" s="158">
        <f>Dashboard!$I$64</f>
        <v>1</v>
      </c>
      <c r="G688" s="14"/>
      <c r="H688" s="159">
        <f>IF(COUNT($H$3:H$3)=(Dashboard!$I$31+1),($F$688*Data!$E$318)/Dashboard!$I$41,0)</f>
        <v>0</v>
      </c>
      <c r="I688" s="159">
        <f>IF(COUNT($H$3:I$3)=(Dashboard!$I$31+1),($F$688*Data!$E$318)/Dashboard!$I$41,0)</f>
        <v>0</v>
      </c>
      <c r="J688" s="159">
        <f>IF(COUNT($H$3:J$3)=(Dashboard!$I$31+1),($F$688*Data!$E$318)/Dashboard!$I$41,0)</f>
        <v>0</v>
      </c>
      <c r="K688" s="159">
        <f>IF(COUNT($H$3:K$3)=(Dashboard!$I$31+1),($F$688*Data!$E$318)/Dashboard!$I$41,0)</f>
        <v>0</v>
      </c>
      <c r="L688" s="159">
        <f>IF(COUNT($H$3:L$3)=(Dashboard!$I$31+1),($F$688*Data!$E$318)/Dashboard!$I$41,0)</f>
        <v>0</v>
      </c>
      <c r="M688" s="159">
        <f>IF(COUNT($H$3:M$3)=(Dashboard!$I$31+1),($F$688*Data!$E$318)/Dashboard!$I$41,0)</f>
        <v>0</v>
      </c>
      <c r="N688" s="159">
        <f>IF(COUNT($H$3:N$3)=(Dashboard!$I$31+1),($F$688*Data!$E$318)/Dashboard!$I$41,0)</f>
        <v>0</v>
      </c>
      <c r="O688" s="159">
        <f>IF(COUNT($H$3:O$3)=(Dashboard!$I$31+1),($F$688*Data!$E$318)/Dashboard!$I$41,0)</f>
        <v>0</v>
      </c>
      <c r="P688" s="159">
        <f>IF(COUNT($H$3:P$3)=(Dashboard!$I$31+1),($F$688*Data!$E$318)/Dashboard!$I$41,0)</f>
        <v>0</v>
      </c>
      <c r="Q688" s="159">
        <f>IF(COUNT($H$3:Q$3)=(Dashboard!$I$31+1),($F$688*Data!$E$318)/Dashboard!$I$41,0)</f>
        <v>0</v>
      </c>
      <c r="R688" s="159">
        <f>IF(COUNT($H$3:R$3)=(Dashboard!$I$31+1),($F$688*Data!$E$318)/Dashboard!$I$41,0)</f>
        <v>0</v>
      </c>
      <c r="S688" s="159">
        <f>IF(COUNT($H$3:S$3)=(Dashboard!$I$31+1),($F$688*Data!$E$318)/Dashboard!$I$41,0)</f>
        <v>0</v>
      </c>
      <c r="T688" s="159">
        <f>IF(COUNT($H$3:T$3)=(Dashboard!$I$31+1),($F$688*Data!$E$318)/Dashboard!$I$41,0)</f>
        <v>27333.333333333332</v>
      </c>
      <c r="U688" s="159">
        <f>IF(COUNT($H$3:U$3)=(Dashboard!$I$31+1),($F$688*Data!$E$318)/Dashboard!$I$41,0)</f>
        <v>0</v>
      </c>
      <c r="V688" s="159">
        <f>IF(COUNT($H$3:V$3)=(Dashboard!$I$31+1),($F$688*Data!$E$318)/Dashboard!$I$41,0)</f>
        <v>0</v>
      </c>
      <c r="W688" s="159">
        <f>IF(COUNT($H$3:W$3)=(Dashboard!$I$31+1),($F$688*Data!$E$318)/Dashboard!$I$41,0)</f>
        <v>0</v>
      </c>
      <c r="X688" s="159">
        <f>IF(COUNT($H$3:X$3)=(Dashboard!$I$31+1),($F$688*Data!$E$318)/Dashboard!$I$41,0)</f>
        <v>0</v>
      </c>
      <c r="Y688" s="159">
        <f>IF(COUNT($H$3:Y$3)=(Dashboard!$I$31+1),($F$688*Data!$E$318)/Dashboard!$I$41,0)</f>
        <v>0</v>
      </c>
      <c r="Z688" s="159">
        <f>IF(COUNT($H$3:Z$3)=(Dashboard!$I$31+1),($F$688*Data!$E$318)/Dashboard!$I$41,0)</f>
        <v>0</v>
      </c>
      <c r="AA688" s="159">
        <f>IF(COUNT($H$3:AA$3)=(Dashboard!$I$31+1),($F$688*Data!$E$318)/Dashboard!$I$41,0)</f>
        <v>0</v>
      </c>
      <c r="AB688" s="159">
        <f>IF(COUNT($H$3:AB$3)=(Dashboard!$I$31+1),($F$688*Data!$E$318)/Dashboard!$I$41,0)</f>
        <v>0</v>
      </c>
      <c r="AC688" s="159">
        <f>IF(COUNT($H$3:AC$3)=(Dashboard!$I$31+1),($F$688*Data!$E$318)/Dashboard!$I$41,0)</f>
        <v>0</v>
      </c>
      <c r="AD688" s="159">
        <f>IF(COUNT($H$3:AD$3)=(Dashboard!$I$31+1),($F$688*Data!$E$318)/Dashboard!$I$41,0)</f>
        <v>0</v>
      </c>
      <c r="AE688" s="159">
        <f>IF(COUNT($H$3:AE$3)=(Dashboard!$I$31+1),($F$688*Data!$E$318)/Dashboard!$I$41,0)</f>
        <v>0</v>
      </c>
      <c r="AF688" s="159">
        <f>IF(COUNT($H$3:AF$3)=(Dashboard!$I$31+1),($F$688*Data!$E$318)/Dashboard!$I$41,0)</f>
        <v>0</v>
      </c>
      <c r="AG688" s="159">
        <f>IF(COUNT($H$3:AG$3)=(Dashboard!$I$31+1),($F$688*Data!$E$318)/Dashboard!$I$41,0)</f>
        <v>0</v>
      </c>
      <c r="AH688" s="159">
        <f>IF(COUNT($H$3:AH$3)=(Dashboard!$I$31+1),($F$688*Data!$E$318)/Dashboard!$I$41,0)</f>
        <v>0</v>
      </c>
      <c r="AI688" s="159">
        <f>IF(COUNT($H$3:AI$3)=(Dashboard!$I$31+1),($F$688*Data!$E$318)/Dashboard!$I$41,0)</f>
        <v>0</v>
      </c>
      <c r="AJ688" s="159">
        <f>IF(COUNT($H$3:AJ$3)=(Dashboard!$I$31+1),($F$688*Data!$E$318)/Dashboard!$I$41,0)</f>
        <v>0</v>
      </c>
      <c r="AK688" s="159">
        <f>IF(COUNT($H$3:AK$3)=(Dashboard!$I$31+1),($F$688*Data!$E$318)/Dashboard!$I$41,0)</f>
        <v>0</v>
      </c>
      <c r="AL688" s="159">
        <f>IF(COUNT($H$3:AL$3)=(Dashboard!$I$31+1),($F$688*Data!$E$318)/Dashboard!$I$41,0)</f>
        <v>0</v>
      </c>
      <c r="AM688" s="159">
        <f>IF(COUNT($H$3:AM$3)=(Dashboard!$I$31+1),($F$688*Data!$E$318)/Dashboard!$I$41,0)</f>
        <v>0</v>
      </c>
      <c r="AN688" s="159">
        <f>IF(COUNT($H$3:AN$3)=(Dashboard!$I$31+1),($F$688*Data!$E$318)/Dashboard!$I$41,0)</f>
        <v>0</v>
      </c>
      <c r="AO688" s="159">
        <f>IF(COUNT($H$3:AO$3)=(Dashboard!$I$31+1),($F$688*Data!$E$318)/Dashboard!$I$41,0)</f>
        <v>0</v>
      </c>
      <c r="AP688" s="17"/>
    </row>
    <row r="689" spans="1:42" outlineLevel="1" x14ac:dyDescent="0.25">
      <c r="A689" s="12"/>
      <c r="B689" s="13"/>
      <c r="C689" s="14" t="s">
        <v>311</v>
      </c>
      <c r="D689" s="14"/>
      <c r="E689" s="15" t="s">
        <v>142</v>
      </c>
      <c r="F689" s="16"/>
      <c r="G689" s="14"/>
      <c r="H689" s="159">
        <f>IF(COUNT($H$3:H$3)=(Dashboard!$I$31+1),($F$688*Data!$E$319)/Dashboard!$I$41,0)</f>
        <v>0</v>
      </c>
      <c r="I689" s="159">
        <f>IF(COUNT($H$3:I$3)=(Dashboard!$I$31+1),($F$688*Data!$E$319)/Dashboard!$I$41,0)</f>
        <v>0</v>
      </c>
      <c r="J689" s="159">
        <f>IF(COUNT($H$3:J$3)=(Dashboard!$I$31+1),($F$688*Data!$E$319)/Dashboard!$I$41,0)</f>
        <v>0</v>
      </c>
      <c r="K689" s="159">
        <f>IF(COUNT($H$3:K$3)=(Dashboard!$I$31+1),($F$688*Data!$E$319)/Dashboard!$I$41,0)</f>
        <v>0</v>
      </c>
      <c r="L689" s="159">
        <f>IF(COUNT($H$3:L$3)=(Dashboard!$I$31+1),($F$688*Data!$E$319)/Dashboard!$I$41,0)</f>
        <v>0</v>
      </c>
      <c r="M689" s="159">
        <f>IF(COUNT($H$3:M$3)=(Dashboard!$I$31+1),($F$688*Data!$E$319)/Dashboard!$I$41,0)</f>
        <v>0</v>
      </c>
      <c r="N689" s="159">
        <f>IF(COUNT($H$3:N$3)=(Dashboard!$I$31+1),($F$688*Data!$E$319)/Dashboard!$I$41,0)</f>
        <v>0</v>
      </c>
      <c r="O689" s="159">
        <f>IF(COUNT($H$3:O$3)=(Dashboard!$I$31+1),($F$688*Data!$E$319)/Dashboard!$I$41,0)</f>
        <v>0</v>
      </c>
      <c r="P689" s="159">
        <f>IF(COUNT($H$3:P$3)=(Dashboard!$I$31+1),($F$688*Data!$E$319)/Dashboard!$I$41,0)</f>
        <v>0</v>
      </c>
      <c r="Q689" s="159">
        <f>IF(COUNT($H$3:Q$3)=(Dashboard!$I$31+1),($F$688*Data!$E$319)/Dashboard!$I$41,0)</f>
        <v>0</v>
      </c>
      <c r="R689" s="159">
        <f>IF(COUNT($H$3:R$3)=(Dashboard!$I$31+1),($F$688*Data!$E$319)/Dashboard!$I$41,0)</f>
        <v>0</v>
      </c>
      <c r="S689" s="159">
        <f>IF(COUNT($H$3:S$3)=(Dashboard!$I$31+1),($F$688*Data!$E$319)/Dashboard!$I$41,0)</f>
        <v>0</v>
      </c>
      <c r="T689" s="159">
        <f>IF(COUNT($H$3:T$3)=(Dashboard!$I$31+1),($F$688*Data!$E$319)/Dashboard!$I$41,0)</f>
        <v>30044.556584747141</v>
      </c>
      <c r="U689" s="159">
        <f>IF(COUNT($H$3:U$3)=(Dashboard!$I$31+1),($F$688*Data!$E$319)/Dashboard!$I$41,0)</f>
        <v>0</v>
      </c>
      <c r="V689" s="159">
        <f>IF(COUNT($H$3:V$3)=(Dashboard!$I$31+1),($F$688*Data!$E$319)/Dashboard!$I$41,0)</f>
        <v>0</v>
      </c>
      <c r="W689" s="159">
        <f>IF(COUNT($H$3:W$3)=(Dashboard!$I$31+1),($F$688*Data!$E$319)/Dashboard!$I$41,0)</f>
        <v>0</v>
      </c>
      <c r="X689" s="159">
        <f>IF(COUNT($H$3:X$3)=(Dashboard!$I$31+1),($F$688*Data!$E$319)/Dashboard!$I$41,0)</f>
        <v>0</v>
      </c>
      <c r="Y689" s="159">
        <f>IF(COUNT($H$3:Y$3)=(Dashboard!$I$31+1),($F$688*Data!$E$319)/Dashboard!$I$41,0)</f>
        <v>0</v>
      </c>
      <c r="Z689" s="159">
        <f>IF(COUNT($H$3:Z$3)=(Dashboard!$I$31+1),($F$688*Data!$E$319)/Dashboard!$I$41,0)</f>
        <v>0</v>
      </c>
      <c r="AA689" s="159">
        <f>IF(COUNT($H$3:AA$3)=(Dashboard!$I$31+1),($F$688*Data!$E$319)/Dashboard!$I$41,0)</f>
        <v>0</v>
      </c>
      <c r="AB689" s="159">
        <f>IF(COUNT($H$3:AB$3)=(Dashboard!$I$31+1),($F$688*Data!$E$319)/Dashboard!$I$41,0)</f>
        <v>0</v>
      </c>
      <c r="AC689" s="159">
        <f>IF(COUNT($H$3:AC$3)=(Dashboard!$I$31+1),($F$688*Data!$E$319)/Dashboard!$I$41,0)</f>
        <v>0</v>
      </c>
      <c r="AD689" s="159">
        <f>IF(COUNT($H$3:AD$3)=(Dashboard!$I$31+1),($F$688*Data!$E$319)/Dashboard!$I$41,0)</f>
        <v>0</v>
      </c>
      <c r="AE689" s="159">
        <f>IF(COUNT($H$3:AE$3)=(Dashboard!$I$31+1),($F$688*Data!$E$319)/Dashboard!$I$41,0)</f>
        <v>0</v>
      </c>
      <c r="AF689" s="159">
        <f>IF(COUNT($H$3:AF$3)=(Dashboard!$I$31+1),($F$688*Data!$E$319)/Dashboard!$I$41,0)</f>
        <v>0</v>
      </c>
      <c r="AG689" s="159">
        <f>IF(COUNT($H$3:AG$3)=(Dashboard!$I$31+1),($F$688*Data!$E$319)/Dashboard!$I$41,0)</f>
        <v>0</v>
      </c>
      <c r="AH689" s="159">
        <f>IF(COUNT($H$3:AH$3)=(Dashboard!$I$31+1),($F$688*Data!$E$319)/Dashboard!$I$41,0)</f>
        <v>0</v>
      </c>
      <c r="AI689" s="159">
        <f>IF(COUNT($H$3:AI$3)=(Dashboard!$I$31+1),($F$688*Data!$E$319)/Dashboard!$I$41,0)</f>
        <v>0</v>
      </c>
      <c r="AJ689" s="159">
        <f>IF(COUNT($H$3:AJ$3)=(Dashboard!$I$31+1),($F$688*Data!$E$319)/Dashboard!$I$41,0)</f>
        <v>0</v>
      </c>
      <c r="AK689" s="159">
        <f>IF(COUNT($H$3:AK$3)=(Dashboard!$I$31+1),($F$688*Data!$E$319)/Dashboard!$I$41,0)</f>
        <v>0</v>
      </c>
      <c r="AL689" s="159">
        <f>IF(COUNT($H$3:AL$3)=(Dashboard!$I$31+1),($F$688*Data!$E$319)/Dashboard!$I$41,0)</f>
        <v>0</v>
      </c>
      <c r="AM689" s="159">
        <f>IF(COUNT($H$3:AM$3)=(Dashboard!$I$31+1),($F$688*Data!$E$319)/Dashboard!$I$41,0)</f>
        <v>0</v>
      </c>
      <c r="AN689" s="159">
        <f>IF(COUNT($H$3:AN$3)=(Dashboard!$I$31+1),($F$688*Data!$E$319)/Dashboard!$I$41,0)</f>
        <v>0</v>
      </c>
      <c r="AO689" s="159">
        <f>IF(COUNT($H$3:AO$3)=(Dashboard!$I$31+1),($F$688*Data!$E$319)/Dashboard!$I$41,0)</f>
        <v>0</v>
      </c>
      <c r="AP689" s="17"/>
    </row>
    <row r="690" spans="1:42" outlineLevel="1" x14ac:dyDescent="0.25">
      <c r="A690" s="12"/>
      <c r="B690" s="13"/>
      <c r="C690" s="14"/>
      <c r="D690" s="14"/>
      <c r="E690" s="15"/>
      <c r="F690" s="16"/>
      <c r="G690" s="14"/>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159"/>
      <c r="AG690" s="159"/>
      <c r="AH690" s="159"/>
      <c r="AI690" s="159"/>
      <c r="AJ690" s="159"/>
      <c r="AK690" s="159"/>
      <c r="AL690" s="159"/>
      <c r="AM690" s="159"/>
      <c r="AN690" s="159"/>
      <c r="AO690" s="159"/>
      <c r="AP690" s="17"/>
    </row>
    <row r="691" spans="1:42" outlineLevel="1" x14ac:dyDescent="0.25">
      <c r="A691" s="12"/>
      <c r="B691" s="13"/>
      <c r="C691" s="19" t="s">
        <v>510</v>
      </c>
      <c r="D691" s="45"/>
      <c r="E691" s="15"/>
      <c r="F691" s="158"/>
      <c r="G691" s="14"/>
      <c r="H691" s="182">
        <f>SUM(H676:H690)</f>
        <v>0</v>
      </c>
      <c r="I691" s="182">
        <f t="shared" ref="I691:AO691" si="178">SUM(I676:I690)</f>
        <v>0</v>
      </c>
      <c r="J691" s="182">
        <f t="shared" si="178"/>
        <v>0</v>
      </c>
      <c r="K691" s="182">
        <f t="shared" si="178"/>
        <v>0</v>
      </c>
      <c r="L691" s="182">
        <f t="shared" si="178"/>
        <v>0</v>
      </c>
      <c r="M691" s="182">
        <f t="shared" si="178"/>
        <v>0</v>
      </c>
      <c r="N691" s="182">
        <f t="shared" si="178"/>
        <v>0</v>
      </c>
      <c r="O691" s="182">
        <f t="shared" si="178"/>
        <v>0</v>
      </c>
      <c r="P691" s="182">
        <f t="shared" si="178"/>
        <v>0</v>
      </c>
      <c r="Q691" s="182">
        <f t="shared" si="178"/>
        <v>0</v>
      </c>
      <c r="R691" s="182">
        <f t="shared" si="178"/>
        <v>0</v>
      </c>
      <c r="S691" s="182">
        <f t="shared" si="178"/>
        <v>0</v>
      </c>
      <c r="T691" s="182">
        <f>SUM(T676:T690)</f>
        <v>1143491.0921403025</v>
      </c>
      <c r="U691" s="182">
        <f t="shared" si="178"/>
        <v>0</v>
      </c>
      <c r="V691" s="182">
        <f t="shared" si="178"/>
        <v>0</v>
      </c>
      <c r="W691" s="182">
        <f t="shared" si="178"/>
        <v>0</v>
      </c>
      <c r="X691" s="182">
        <f t="shared" si="178"/>
        <v>0</v>
      </c>
      <c r="Y691" s="182">
        <f t="shared" si="178"/>
        <v>0</v>
      </c>
      <c r="Z691" s="182">
        <f t="shared" si="178"/>
        <v>0</v>
      </c>
      <c r="AA691" s="182">
        <f t="shared" si="178"/>
        <v>0</v>
      </c>
      <c r="AB691" s="182">
        <f t="shared" si="178"/>
        <v>0</v>
      </c>
      <c r="AC691" s="182">
        <f t="shared" si="178"/>
        <v>103490.3365424059</v>
      </c>
      <c r="AD691" s="182">
        <f t="shared" si="178"/>
        <v>0</v>
      </c>
      <c r="AE691" s="182">
        <f t="shared" si="178"/>
        <v>0</v>
      </c>
      <c r="AF691" s="182">
        <f t="shared" si="178"/>
        <v>0</v>
      </c>
      <c r="AG691" s="182">
        <f t="shared" si="178"/>
        <v>0</v>
      </c>
      <c r="AH691" s="182">
        <f t="shared" si="178"/>
        <v>0</v>
      </c>
      <c r="AI691" s="182">
        <f t="shared" si="178"/>
        <v>0</v>
      </c>
      <c r="AJ691" s="182">
        <f t="shared" si="178"/>
        <v>0</v>
      </c>
      <c r="AK691" s="182">
        <f t="shared" si="178"/>
        <v>0</v>
      </c>
      <c r="AL691" s="182">
        <f t="shared" si="178"/>
        <v>0</v>
      </c>
      <c r="AM691" s="182">
        <f t="shared" si="178"/>
        <v>0</v>
      </c>
      <c r="AN691" s="182">
        <f t="shared" si="178"/>
        <v>0</v>
      </c>
      <c r="AO691" s="182">
        <f t="shared" si="178"/>
        <v>0</v>
      </c>
      <c r="AP691" s="29"/>
    </row>
    <row r="692" spans="1:42" s="140" customFormat="1" outlineLevel="1" x14ac:dyDescent="0.25">
      <c r="A692" s="78"/>
      <c r="B692" s="19"/>
      <c r="C692" s="95" t="s">
        <v>511</v>
      </c>
      <c r="D692" s="20"/>
      <c r="E692" s="21"/>
      <c r="F692" s="48"/>
      <c r="G692" s="20"/>
      <c r="H692" s="20"/>
      <c r="I692" s="244"/>
      <c r="J692" s="244"/>
      <c r="K692" s="244"/>
      <c r="L692" s="244"/>
      <c r="M692" s="244"/>
      <c r="N692" s="244"/>
      <c r="O692" s="244"/>
      <c r="P692" s="244"/>
      <c r="Q692" s="244"/>
      <c r="R692" s="244"/>
      <c r="S692" s="244"/>
      <c r="T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370"/>
    </row>
    <row r="693" spans="1:42" s="140" customFormat="1" outlineLevel="1" x14ac:dyDescent="0.25">
      <c r="A693" s="78"/>
      <c r="B693" s="19"/>
      <c r="C693" s="95" t="s">
        <v>560</v>
      </c>
      <c r="D693" s="20"/>
      <c r="E693" s="21" t="s">
        <v>142</v>
      </c>
      <c r="F693" s="48"/>
      <c r="G693" s="20"/>
      <c r="H693" s="20"/>
      <c r="I693" s="244">
        <f>SUM(I700:I701)</f>
        <v>0</v>
      </c>
      <c r="J693" s="244">
        <f t="shared" ref="J693:AO693" si="179">SUM(J700:J701)</f>
        <v>0</v>
      </c>
      <c r="K693" s="244">
        <f t="shared" si="179"/>
        <v>0</v>
      </c>
      <c r="L693" s="244">
        <f t="shared" si="179"/>
        <v>0</v>
      </c>
      <c r="M693" s="244">
        <f t="shared" si="179"/>
        <v>0</v>
      </c>
      <c r="N693" s="244">
        <f t="shared" si="179"/>
        <v>0</v>
      </c>
      <c r="O693" s="244">
        <f t="shared" si="179"/>
        <v>0</v>
      </c>
      <c r="P693" s="244">
        <f t="shared" si="179"/>
        <v>0</v>
      </c>
      <c r="Q693" s="244">
        <f t="shared" si="179"/>
        <v>0</v>
      </c>
      <c r="R693" s="244">
        <f t="shared" si="179"/>
        <v>0</v>
      </c>
      <c r="S693" s="244">
        <f t="shared" si="179"/>
        <v>0</v>
      </c>
      <c r="T693" s="185">
        <f>SUM(T700:T701)</f>
        <v>84140.076044878922</v>
      </c>
      <c r="U693" s="244">
        <f t="shared" si="179"/>
        <v>84140.076044878922</v>
      </c>
      <c r="V693" s="244">
        <f t="shared" si="179"/>
        <v>84140.076044878922</v>
      </c>
      <c r="W693" s="244">
        <f t="shared" si="179"/>
        <v>84140.076044878922</v>
      </c>
      <c r="X693" s="244">
        <f t="shared" si="179"/>
        <v>84140.076044878922</v>
      </c>
      <c r="Y693" s="244">
        <f t="shared" si="179"/>
        <v>84140.076044878922</v>
      </c>
      <c r="Z693" s="244">
        <f t="shared" si="179"/>
        <v>84140.076044878922</v>
      </c>
      <c r="AA693" s="244">
        <f t="shared" si="179"/>
        <v>84140.076044878922</v>
      </c>
      <c r="AB693" s="244">
        <f t="shared" si="179"/>
        <v>84140.076044878922</v>
      </c>
      <c r="AC693" s="244">
        <f t="shared" si="179"/>
        <v>95953.398533759522</v>
      </c>
      <c r="AD693" s="244">
        <f t="shared" si="179"/>
        <v>95953.398533759522</v>
      </c>
      <c r="AE693" s="244">
        <f t="shared" si="179"/>
        <v>95953.398533759522</v>
      </c>
      <c r="AF693" s="244">
        <f t="shared" si="179"/>
        <v>95953.398533759522</v>
      </c>
      <c r="AG693" s="244">
        <f t="shared" si="179"/>
        <v>95953.398533759522</v>
      </c>
      <c r="AH693" s="244">
        <f t="shared" si="179"/>
        <v>95953.398533759522</v>
      </c>
      <c r="AI693" s="244">
        <f t="shared" si="179"/>
        <v>95953.398533759522</v>
      </c>
      <c r="AJ693" s="244">
        <f t="shared" si="179"/>
        <v>95953.398533759522</v>
      </c>
      <c r="AK693" s="244">
        <f t="shared" si="179"/>
        <v>95953.398533759522</v>
      </c>
      <c r="AL693" s="244">
        <f t="shared" si="179"/>
        <v>95953.398533759522</v>
      </c>
      <c r="AM693" s="244">
        <f t="shared" si="179"/>
        <v>95953.398533759522</v>
      </c>
      <c r="AN693" s="244">
        <f t="shared" si="179"/>
        <v>0</v>
      </c>
      <c r="AO693" s="244">
        <f t="shared" si="179"/>
        <v>0</v>
      </c>
      <c r="AP693" s="370"/>
    </row>
    <row r="694" spans="1:42" s="140" customFormat="1" outlineLevel="1" x14ac:dyDescent="0.25">
      <c r="A694" s="78"/>
      <c r="B694" s="19"/>
      <c r="C694" s="95" t="s">
        <v>561</v>
      </c>
      <c r="D694" s="20"/>
      <c r="E694" s="21" t="s">
        <v>142</v>
      </c>
      <c r="F694" s="48"/>
      <c r="G694" s="20"/>
      <c r="H694" s="20"/>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370"/>
    </row>
    <row r="695" spans="1:42" s="140" customFormat="1" outlineLevel="1" x14ac:dyDescent="0.25">
      <c r="A695" s="78"/>
      <c r="B695" s="19"/>
      <c r="C695" s="95" t="s">
        <v>562</v>
      </c>
      <c r="D695" s="20"/>
      <c r="E695" s="21" t="s">
        <v>142</v>
      </c>
      <c r="F695" s="16"/>
      <c r="G695" s="20"/>
      <c r="H695" s="20"/>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370"/>
    </row>
    <row r="696" spans="1:42" s="140" customFormat="1" outlineLevel="1" x14ac:dyDescent="0.25">
      <c r="A696" s="78"/>
      <c r="B696" s="19"/>
      <c r="C696" s="95" t="s">
        <v>563</v>
      </c>
      <c r="D696" s="20"/>
      <c r="E696" s="21" t="s">
        <v>266</v>
      </c>
      <c r="F696" s="16"/>
      <c r="G696" s="20"/>
      <c r="H696" s="20"/>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370"/>
    </row>
    <row r="697" spans="1:42" outlineLevel="1" x14ac:dyDescent="0.25">
      <c r="A697" s="12"/>
      <c r="B697" s="13"/>
      <c r="C697" s="95" t="s">
        <v>561</v>
      </c>
      <c r="D697" s="45"/>
      <c r="E697" s="15" t="s">
        <v>142</v>
      </c>
      <c r="F697" s="16"/>
      <c r="G697" s="14"/>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29"/>
    </row>
    <row r="698" spans="1:42" outlineLevel="1" x14ac:dyDescent="0.25">
      <c r="A698" s="12"/>
      <c r="B698" s="13"/>
      <c r="C698" s="19"/>
      <c r="D698" s="45"/>
      <c r="E698" s="15"/>
      <c r="F698" s="16"/>
      <c r="G698" s="14"/>
      <c r="H698" s="382">
        <f t="shared" ref="H698:AO698" si="180">(H691&gt;0)*1</f>
        <v>0</v>
      </c>
      <c r="I698" s="382">
        <f t="shared" si="180"/>
        <v>0</v>
      </c>
      <c r="J698" s="382">
        <f t="shared" si="180"/>
        <v>0</v>
      </c>
      <c r="K698" s="382">
        <f t="shared" si="180"/>
        <v>0</v>
      </c>
      <c r="L698" s="382">
        <f t="shared" si="180"/>
        <v>0</v>
      </c>
      <c r="M698" s="382">
        <f t="shared" si="180"/>
        <v>0</v>
      </c>
      <c r="N698" s="382">
        <f t="shared" si="180"/>
        <v>0</v>
      </c>
      <c r="O698" s="382">
        <f t="shared" si="180"/>
        <v>0</v>
      </c>
      <c r="P698" s="382">
        <f t="shared" si="180"/>
        <v>0</v>
      </c>
      <c r="Q698" s="382">
        <f t="shared" si="180"/>
        <v>0</v>
      </c>
      <c r="R698" s="382">
        <f t="shared" si="180"/>
        <v>0</v>
      </c>
      <c r="S698" s="382">
        <f t="shared" si="180"/>
        <v>0</v>
      </c>
      <c r="T698" s="382">
        <f t="shared" si="180"/>
        <v>1</v>
      </c>
      <c r="U698" s="382">
        <f t="shared" si="180"/>
        <v>0</v>
      </c>
      <c r="V698" s="382">
        <f t="shared" si="180"/>
        <v>0</v>
      </c>
      <c r="W698" s="382">
        <f t="shared" si="180"/>
        <v>0</v>
      </c>
      <c r="X698" s="382">
        <f t="shared" si="180"/>
        <v>0</v>
      </c>
      <c r="Y698" s="382">
        <f t="shared" si="180"/>
        <v>0</v>
      </c>
      <c r="Z698" s="382">
        <f t="shared" si="180"/>
        <v>0</v>
      </c>
      <c r="AA698" s="382">
        <f t="shared" si="180"/>
        <v>0</v>
      </c>
      <c r="AB698" s="382">
        <f t="shared" si="180"/>
        <v>0</v>
      </c>
      <c r="AC698" s="382">
        <f t="shared" si="180"/>
        <v>1</v>
      </c>
      <c r="AD698" s="382">
        <f t="shared" si="180"/>
        <v>0</v>
      </c>
      <c r="AE698" s="382">
        <f t="shared" si="180"/>
        <v>0</v>
      </c>
      <c r="AF698" s="382">
        <f t="shared" si="180"/>
        <v>0</v>
      </c>
      <c r="AG698" s="382">
        <f t="shared" si="180"/>
        <v>0</v>
      </c>
      <c r="AH698" s="382">
        <f t="shared" si="180"/>
        <v>0</v>
      </c>
      <c r="AI698" s="382">
        <f t="shared" si="180"/>
        <v>0</v>
      </c>
      <c r="AJ698" s="382">
        <f t="shared" si="180"/>
        <v>0</v>
      </c>
      <c r="AK698" s="382">
        <f t="shared" si="180"/>
        <v>0</v>
      </c>
      <c r="AL698" s="382">
        <f t="shared" si="180"/>
        <v>0</v>
      </c>
      <c r="AM698" s="382">
        <f t="shared" si="180"/>
        <v>0</v>
      </c>
      <c r="AN698" s="382">
        <f t="shared" si="180"/>
        <v>0</v>
      </c>
      <c r="AO698" s="382">
        <f t="shared" si="180"/>
        <v>0</v>
      </c>
      <c r="AP698" s="29"/>
    </row>
    <row r="699" spans="1:42" outlineLevel="1" x14ac:dyDescent="0.25">
      <c r="A699" s="12"/>
      <c r="B699" s="13"/>
      <c r="C699" s="14"/>
      <c r="D699" s="379" t="s">
        <v>564</v>
      </c>
      <c r="E699" s="380" t="s">
        <v>565</v>
      </c>
      <c r="F699" s="16"/>
      <c r="G699" s="14"/>
      <c r="H699" s="382">
        <f>SUM($H$380:H$380)*(H698&gt;0)</f>
        <v>0</v>
      </c>
      <c r="I699" s="382">
        <f>SUM($H$380:I$380)*(I698&gt;0)</f>
        <v>0</v>
      </c>
      <c r="J699" s="382">
        <f>SUM($H$380:J$380)*(J698&gt;0)</f>
        <v>0</v>
      </c>
      <c r="K699" s="382">
        <f>SUM($H$380:K$380)*(K698&gt;0)</f>
        <v>0</v>
      </c>
      <c r="L699" s="382">
        <f>SUM($H$380:L$380)*(L698&gt;0)</f>
        <v>0</v>
      </c>
      <c r="M699" s="382">
        <f>SUM($H$380:M$380)*(M698&gt;0)</f>
        <v>0</v>
      </c>
      <c r="N699" s="382">
        <f>SUM($H$380:N$380)*(N698&gt;0)</f>
        <v>0</v>
      </c>
      <c r="O699" s="382">
        <f>SUM($H$380:O$380)*(O698&gt;0)</f>
        <v>0</v>
      </c>
      <c r="P699" s="382">
        <f>SUM($H$380:P$380)*(P698&gt;0)</f>
        <v>0</v>
      </c>
      <c r="Q699" s="382">
        <f>SUM($H$380:Q$380)*(Q698&gt;0)</f>
        <v>0</v>
      </c>
      <c r="R699" s="382">
        <f>SUM($H$380:R$380)*(R698&gt;0)</f>
        <v>0</v>
      </c>
      <c r="S699" s="382">
        <f>SUM($H$380:S$380)*(S698&gt;0)</f>
        <v>0</v>
      </c>
      <c r="T699" s="382">
        <f>SUM($H$380:T$380)*(T698&gt;0)</f>
        <v>1</v>
      </c>
      <c r="U699" s="382">
        <f>SUM($H$380:U$380)*(U698&gt;0)</f>
        <v>0</v>
      </c>
      <c r="V699" s="382">
        <f>SUM($H$380:V$380)*(V698&gt;0)</f>
        <v>0</v>
      </c>
      <c r="W699" s="382">
        <f>SUM($H$380:W$380)*(W698&gt;0)</f>
        <v>0</v>
      </c>
      <c r="X699" s="382">
        <f>SUM($H$380:X$380)*(X698&gt;0)</f>
        <v>0</v>
      </c>
      <c r="Y699" s="382">
        <f>SUM($H$380:Y$380)*(Y698&gt;0)</f>
        <v>0</v>
      </c>
      <c r="Z699" s="382">
        <f>SUM($H$380:Z$380)*(Z698&gt;0)</f>
        <v>0</v>
      </c>
      <c r="AA699" s="382">
        <f>SUM($H$380:AA$380)*(AA698&gt;0)</f>
        <v>0</v>
      </c>
      <c r="AB699" s="382">
        <f>SUM($H$380:AB$380)*(AB698&gt;0)</f>
        <v>0</v>
      </c>
      <c r="AC699" s="382">
        <f>SUM($H$380:AC$380)*(AC698&gt;0)</f>
        <v>2</v>
      </c>
      <c r="AD699" s="382">
        <f>SUM($H$380:AD$380)*(AD698&gt;0)</f>
        <v>0</v>
      </c>
      <c r="AE699" s="382">
        <f>SUM($H$380:AE$380)*(AE698&gt;0)</f>
        <v>0</v>
      </c>
      <c r="AF699" s="382">
        <f>SUM($H$380:AF$380)*(AF698&gt;0)</f>
        <v>0</v>
      </c>
      <c r="AG699" s="382">
        <f>SUM($H$380:AG$380)*(AG698&gt;0)</f>
        <v>0</v>
      </c>
      <c r="AH699" s="382">
        <f>SUM($H$380:AH$380)*(AH698&gt;0)</f>
        <v>0</v>
      </c>
      <c r="AI699" s="382">
        <f>SUM($H$380:AI$380)*(AI698&gt;0)</f>
        <v>0</v>
      </c>
      <c r="AJ699" s="382">
        <f>SUM($H$380:AJ$380)*(AJ698&gt;0)</f>
        <v>0</v>
      </c>
      <c r="AK699" s="382">
        <f>SUM($H$380:AK$380)*(AK698&gt;0)</f>
        <v>0</v>
      </c>
      <c r="AL699" s="382">
        <f>SUM($H$380:AL$380)*(AL698&gt;0)</f>
        <v>0</v>
      </c>
      <c r="AM699" s="382">
        <f>SUM($H$380:AM$380)*(AM698&gt;0)</f>
        <v>0</v>
      </c>
      <c r="AN699" s="382">
        <f>SUM($H$380:AN$380)*(AN698&gt;0)</f>
        <v>0</v>
      </c>
      <c r="AO699" s="382">
        <f>SUM($H$380:AO$380)*(AO698&gt;0)</f>
        <v>0</v>
      </c>
      <c r="AP699" s="29"/>
    </row>
    <row r="700" spans="1:42" outlineLevel="1" x14ac:dyDescent="0.25">
      <c r="A700" s="12"/>
      <c r="B700" s="13"/>
      <c r="C700" s="95" t="s">
        <v>549</v>
      </c>
      <c r="D700" s="381">
        <f>IFERROR(INDEX($H$691:$AO$691,1,MATCH(1,$H$699:$AO$699,0)),0)</f>
        <v>1143491.0921403025</v>
      </c>
      <c r="E700" s="380">
        <f>IFERROR(INDEX($H$3:$AO$3,1,MATCH(1,$H$381:$AO$381,0)),0)</f>
        <v>12</v>
      </c>
      <c r="F700" s="16"/>
      <c r="G700" s="14"/>
      <c r="H700" s="182"/>
      <c r="I700" s="182">
        <f>-PMT(Data!$E$10,$D$703,$D700,0,0)*(I$3&gt;=$E700)*(I$3&lt;=$E700+$D$62-1)</f>
        <v>0</v>
      </c>
      <c r="J700" s="182">
        <f>-PMT(Data!$E$10,$D$703,$D700,0,0)*(J$3&gt;=$E700)*(J$3&lt;=$E700+$D$62-1)</f>
        <v>0</v>
      </c>
      <c r="K700" s="182">
        <f>-PMT(Data!$E$10,$D$703,$D700,0,0)*(K$3&gt;=$E700)*(K$3&lt;=$E700+$D$62-1)</f>
        <v>0</v>
      </c>
      <c r="L700" s="182">
        <f>-PMT(Data!$E$10,$D$703,$D700,0,0)*(L$3&gt;=$E700)*(L$3&lt;=$E700+$D$62-1)</f>
        <v>0</v>
      </c>
      <c r="M700" s="182">
        <f>-PMT(Data!$E$10,$D$703,$D700,0,0)*(M$3&gt;=$E700)*(M$3&lt;=$E700+$D$62-1)</f>
        <v>0</v>
      </c>
      <c r="N700" s="182">
        <f>-PMT(Data!$E$10,$D$703,$D700,0,0)*(N$3&gt;=$E700)*(N$3&lt;=$E700+$D$62-1)</f>
        <v>0</v>
      </c>
      <c r="O700" s="182">
        <f>-PMT(Data!$E$10,$D$703,$D700,0,0)*(O$3&gt;=$E700)*(O$3&lt;=$E700+$D$62-1)</f>
        <v>0</v>
      </c>
      <c r="P700" s="182">
        <f>-PMT(Data!$E$10,$D$703,$D700,0,0)*(P$3&gt;=$E700)*(P$3&lt;=$E700+$D$62-1)</f>
        <v>0</v>
      </c>
      <c r="Q700" s="182">
        <f>-PMT(Data!$E$10,$D$703,$D700,0,0)*(Q$3&gt;=$E700)*(Q$3&lt;=$E700+$D$62-1)</f>
        <v>0</v>
      </c>
      <c r="R700" s="182">
        <f>-PMT(Data!$E$10,$D$703,$D700,0,0)*(R$3&gt;=$E700)*(R$3&lt;=$E700+$D$62-1)</f>
        <v>0</v>
      </c>
      <c r="S700" s="182">
        <f>-PMT(Data!$E$10,$D$703,$D700,0,0)*(S$3&gt;=$E700)*(S$3&lt;=$E700+$D$62-1)</f>
        <v>0</v>
      </c>
      <c r="T700" s="182">
        <f>-PMT(Data!$E$10,$D$703,$D700,0,0)*(T$3&gt;=$E700)*(T$3&lt;=$E700+$D$62-1)</f>
        <v>84140.076044878922</v>
      </c>
      <c r="U700" s="182">
        <f>-PMT(Data!$E$10,$D$703,$D700,0,0)*(U$3&gt;=$E700)*(U$3&lt;=$E700+$D$62-1)</f>
        <v>84140.076044878922</v>
      </c>
      <c r="V700" s="182">
        <f>-PMT(Data!$E$10,$D$703,$D700,0,0)*(V$3&gt;=$E700)*(V$3&lt;=$E700+$D$62-1)</f>
        <v>84140.076044878922</v>
      </c>
      <c r="W700" s="182">
        <f>-PMT(Data!$E$10,$D$703,$D700,0,0)*(W$3&gt;=$E700)*(W$3&lt;=$E700+$D$62-1)</f>
        <v>84140.076044878922</v>
      </c>
      <c r="X700" s="182">
        <f>-PMT(Data!$E$10,$D$703,$D700,0,0)*(X$3&gt;=$E700)*(X$3&lt;=$E700+$D$62-1)</f>
        <v>84140.076044878922</v>
      </c>
      <c r="Y700" s="182">
        <f>-PMT(Data!$E$10,$D$703,$D700,0,0)*(Y$3&gt;=$E700)*(Y$3&lt;=$E700+$D$62-1)</f>
        <v>84140.076044878922</v>
      </c>
      <c r="Z700" s="182">
        <f>-PMT(Data!$E$10,$D$703,$D700,0,0)*(Z$3&gt;=$E700)*(Z$3&lt;=$E700+$D$62-1)</f>
        <v>84140.076044878922</v>
      </c>
      <c r="AA700" s="182">
        <f>-PMT(Data!$E$10,$D$703,$D700,0,0)*(AA$3&gt;=$E700)*(AA$3&lt;=$E700+$D$62-1)</f>
        <v>84140.076044878922</v>
      </c>
      <c r="AB700" s="182">
        <f>-PMT(Data!$E$10,$D$703,$D700,0,0)*(AB$3&gt;=$E700)*(AB$3&lt;=$E700+$D$62-1)</f>
        <v>84140.076044878922</v>
      </c>
      <c r="AC700" s="182">
        <f>-PMT(Data!$E$10,$D$703,$D700,0,0)*(AC$3&gt;=$E700)*(AC$3&lt;=$E700+$D$62-1)</f>
        <v>84140.076044878922</v>
      </c>
      <c r="AD700" s="182">
        <f>-PMT(Data!$E$10,$D$703,$D700,0,0)*(AD$3&gt;=$E700)*(AD$3&lt;=$E700+$D$62-1)</f>
        <v>84140.076044878922</v>
      </c>
      <c r="AE700" s="182">
        <f>-PMT(Data!$E$10,$D$703,$D700,0,0)*(AE$3&gt;=$E700)*(AE$3&lt;=$E700+$D$62-1)</f>
        <v>84140.076044878922</v>
      </c>
      <c r="AF700" s="182">
        <f>-PMT(Data!$E$10,$D$703,$D700,0,0)*(AF$3&gt;=$E700)*(AF$3&lt;=$E700+$D$62-1)</f>
        <v>84140.076044878922</v>
      </c>
      <c r="AG700" s="182">
        <f>-PMT(Data!$E$10,$D$703,$D700,0,0)*(AG$3&gt;=$E700)*(AG$3&lt;=$E700+$D$62-1)</f>
        <v>84140.076044878922</v>
      </c>
      <c r="AH700" s="182">
        <f>-PMT(Data!$E$10,$D$703,$D700,0,0)*(AH$3&gt;=$E700)*(AH$3&lt;=$E700+$D$62-1)</f>
        <v>84140.076044878922</v>
      </c>
      <c r="AI700" s="182">
        <f>-PMT(Data!$E$10,$D$703,$D700,0,0)*(AI$3&gt;=$E700)*(AI$3&lt;=$E700+$D$62-1)</f>
        <v>84140.076044878922</v>
      </c>
      <c r="AJ700" s="182">
        <f>-PMT(Data!$E$10,$D$703,$D700,0,0)*(AJ$3&gt;=$E700)*(AJ$3&lt;=$E700+$D$62-1)</f>
        <v>84140.076044878922</v>
      </c>
      <c r="AK700" s="182">
        <f>-PMT(Data!$E$10,$D$703,$D700,0,0)*(AK$3&gt;=$E700)*(AK$3&lt;=$E700+$D$62-1)</f>
        <v>84140.076044878922</v>
      </c>
      <c r="AL700" s="182">
        <f>-PMT(Data!$E$10,$D$703,$D700,0,0)*(AL$3&gt;=$E700)*(AL$3&lt;=$E700+$D$62-1)</f>
        <v>84140.076044878922</v>
      </c>
      <c r="AM700" s="182">
        <f>-PMT(Data!$E$10,$D$703,$D700,0,0)*(AM$3&gt;=$E700)*(AM$3&lt;=$E700+$D$62-1)</f>
        <v>84140.076044878922</v>
      </c>
      <c r="AN700" s="182">
        <f>-PMT(Data!$E$10,$D$703,$D700,0,0)*(AN$3&gt;=$E700)*(AN$3&lt;=$E700+$D$62-1)</f>
        <v>0</v>
      </c>
      <c r="AO700" s="182">
        <f>-PMT(Data!$E$10,$D$703,$D700,0,0)*(AO$3&gt;=$E700)*(AO$3&lt;=$E700+$D$62-1)</f>
        <v>0</v>
      </c>
      <c r="AP700" s="29"/>
    </row>
    <row r="701" spans="1:42" outlineLevel="1" x14ac:dyDescent="0.25">
      <c r="A701" s="12"/>
      <c r="B701" s="13"/>
      <c r="C701" s="95" t="s">
        <v>550</v>
      </c>
      <c r="D701" s="381">
        <f>IFERROR(INDEX($H$691:$AO$691,1,MATCH(2,$H$699:$AO$699,0)),0)</f>
        <v>103490.3365424059</v>
      </c>
      <c r="E701" s="380">
        <f>IFERROR(INDEX($H$3:$AO$3,1,MATCH(2,$H$381:$AO$381,0)),0)</f>
        <v>21</v>
      </c>
      <c r="F701" s="16"/>
      <c r="G701" s="14"/>
      <c r="H701" s="182"/>
      <c r="I701" s="182">
        <f>-PMT(Data!$E$10,$D$704,$D701,0,0)*(I$3&gt;=$E701)*(I$3&lt;=$E701+$D$63-1)</f>
        <v>0</v>
      </c>
      <c r="J701" s="182">
        <f>-PMT(Data!$E$10,$D$704,$D701,0,0)*(J$3&gt;=$E701)*(J$3&lt;=$E701+$D$63-1)</f>
        <v>0</v>
      </c>
      <c r="K701" s="182">
        <f>-PMT(Data!$E$10,$D$704,$D701,0,0)*(K$3&gt;=$E701)*(K$3&lt;=$E701+$D$63-1)</f>
        <v>0</v>
      </c>
      <c r="L701" s="182">
        <f>-PMT(Data!$E$10,$D$704,$D701,0,0)*(L$3&gt;=$E701)*(L$3&lt;=$E701+$D$63-1)</f>
        <v>0</v>
      </c>
      <c r="M701" s="182">
        <f>-PMT(Data!$E$10,$D$704,$D701,0,0)*(M$3&gt;=$E701)*(M$3&lt;=$E701+$D$63-1)</f>
        <v>0</v>
      </c>
      <c r="N701" s="182">
        <f>-PMT(Data!$E$10,$D$704,$D701,0,0)*(N$3&gt;=$E701)*(N$3&lt;=$E701+$D$63-1)</f>
        <v>0</v>
      </c>
      <c r="O701" s="182">
        <f>-PMT(Data!$E$10,$D$704,$D701,0,0)*(O$3&gt;=$E701)*(O$3&lt;=$E701+$D$63-1)</f>
        <v>0</v>
      </c>
      <c r="P701" s="182">
        <f>-PMT(Data!$E$10,$D$704,$D701,0,0)*(P$3&gt;=$E701)*(P$3&lt;=$E701+$D$63-1)</f>
        <v>0</v>
      </c>
      <c r="Q701" s="182">
        <f>-PMT(Data!$E$10,$D$704,$D701,0,0)*(Q$3&gt;=$E701)*(Q$3&lt;=$E701+$D$63-1)</f>
        <v>0</v>
      </c>
      <c r="R701" s="182">
        <f>-PMT(Data!$E$10,$D$704,$D701,0,0)*(R$3&gt;=$E701)*(R$3&lt;=$E701+$D$63-1)</f>
        <v>0</v>
      </c>
      <c r="S701" s="182">
        <f>-PMT(Data!$E$10,$D$704,$D701,0,0)*(S$3&gt;=$E701)*(S$3&lt;=$E701+$D$63-1)</f>
        <v>0</v>
      </c>
      <c r="T701" s="182">
        <f>-PMT(Data!$E$10,$D$704,$D701,0,0)*(T$3&gt;=$E701)*(T$3&lt;=$E701+$D$63-1)</f>
        <v>0</v>
      </c>
      <c r="U701" s="182">
        <f>-PMT(Data!$E$10,$D$704,$D701,0,0)*(U$3&gt;=$E701)*(U$3&lt;=$E701+$D$63-1)</f>
        <v>0</v>
      </c>
      <c r="V701" s="182">
        <f>-PMT(Data!$E$10,$D$704,$D701,0,0)*(V$3&gt;=$E701)*(V$3&lt;=$E701+$D$63-1)</f>
        <v>0</v>
      </c>
      <c r="W701" s="182">
        <f>-PMT(Data!$E$10,$D$704,$D701,0,0)*(W$3&gt;=$E701)*(W$3&lt;=$E701+$D$63-1)</f>
        <v>0</v>
      </c>
      <c r="X701" s="182">
        <f>-PMT(Data!$E$10,$D$704,$D701,0,0)*(X$3&gt;=$E701)*(X$3&lt;=$E701+$D$63-1)</f>
        <v>0</v>
      </c>
      <c r="Y701" s="182">
        <f>-PMT(Data!$E$10,$D$704,$D701,0,0)*(Y$3&gt;=$E701)*(Y$3&lt;=$E701+$D$63-1)</f>
        <v>0</v>
      </c>
      <c r="Z701" s="182">
        <f>-PMT(Data!$E$10,$D$704,$D701,0,0)*(Z$3&gt;=$E701)*(Z$3&lt;=$E701+$D$63-1)</f>
        <v>0</v>
      </c>
      <c r="AA701" s="182">
        <f>-PMT(Data!$E$10,$D$704,$D701,0,0)*(AA$3&gt;=$E701)*(AA$3&lt;=$E701+$D$63-1)</f>
        <v>0</v>
      </c>
      <c r="AB701" s="182">
        <f>-PMT(Data!$E$10,$D$704,$D701,0,0)*(AB$3&gt;=$E701)*(AB$3&lt;=$E701+$D$63-1)</f>
        <v>0</v>
      </c>
      <c r="AC701" s="182">
        <f>-PMT(Data!$E$10,$D$704,$D701,0,0)*(AC$3&gt;=$E701)*(AC$3&lt;=$E701+$D$63-1)</f>
        <v>11813.322488880605</v>
      </c>
      <c r="AD701" s="182">
        <f>-PMT(Data!$E$10,$D$704,$D701,0,0)*(AD$3&gt;=$E701)*(AD$3&lt;=$E701+$D$63-1)</f>
        <v>11813.322488880605</v>
      </c>
      <c r="AE701" s="182">
        <f>-PMT(Data!$E$10,$D$704,$D701,0,0)*(AE$3&gt;=$E701)*(AE$3&lt;=$E701+$D$63-1)</f>
        <v>11813.322488880605</v>
      </c>
      <c r="AF701" s="182">
        <f>-PMT(Data!$E$10,$D$704,$D701,0,0)*(AF$3&gt;=$E701)*(AF$3&lt;=$E701+$D$63-1)</f>
        <v>11813.322488880605</v>
      </c>
      <c r="AG701" s="182">
        <f>-PMT(Data!$E$10,$D$704,$D701,0,0)*(AG$3&gt;=$E701)*(AG$3&lt;=$E701+$D$63-1)</f>
        <v>11813.322488880605</v>
      </c>
      <c r="AH701" s="182">
        <f>-PMT(Data!$E$10,$D$704,$D701,0,0)*(AH$3&gt;=$E701)*(AH$3&lt;=$E701+$D$63-1)</f>
        <v>11813.322488880605</v>
      </c>
      <c r="AI701" s="182">
        <f>-PMT(Data!$E$10,$D$704,$D701,0,0)*(AI$3&gt;=$E701)*(AI$3&lt;=$E701+$D$63-1)</f>
        <v>11813.322488880605</v>
      </c>
      <c r="AJ701" s="182">
        <f>-PMT(Data!$E$10,$D$704,$D701,0,0)*(AJ$3&gt;=$E701)*(AJ$3&lt;=$E701+$D$63-1)</f>
        <v>11813.322488880605</v>
      </c>
      <c r="AK701" s="182">
        <f>-PMT(Data!$E$10,$D$704,$D701,0,0)*(AK$3&gt;=$E701)*(AK$3&lt;=$E701+$D$63-1)</f>
        <v>11813.322488880605</v>
      </c>
      <c r="AL701" s="182">
        <f>-PMT(Data!$E$10,$D$704,$D701,0,0)*(AL$3&gt;=$E701)*(AL$3&lt;=$E701+$D$63-1)</f>
        <v>11813.322488880605</v>
      </c>
      <c r="AM701" s="182">
        <f>-PMT(Data!$E$10,$D$704,$D701,0,0)*(AM$3&gt;=$E701)*(AM$3&lt;=$E701+$D$63-1)</f>
        <v>11813.322488880605</v>
      </c>
      <c r="AN701" s="182">
        <f>-PMT(Data!$E$10,$D$704,$D701,0,0)*(AN$3&gt;=$E701)*(AN$3&lt;=$E701+$D$63-1)</f>
        <v>0</v>
      </c>
      <c r="AO701" s="182">
        <f>-PMT(Data!$E$10,$D$704,$D701,0,0)*(AO$3&gt;=$E701)*(AO$3&lt;=$E701+$D$63-1)</f>
        <v>0</v>
      </c>
      <c r="AP701" s="29"/>
    </row>
    <row r="702" spans="1:42" outlineLevel="1" x14ac:dyDescent="0.25">
      <c r="A702" s="12"/>
      <c r="B702" s="13"/>
      <c r="C702" s="95"/>
      <c r="D702" s="15"/>
      <c r="E702" s="15"/>
      <c r="F702" s="16"/>
      <c r="G702" s="14"/>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29"/>
    </row>
    <row r="703" spans="1:42" outlineLevel="1" x14ac:dyDescent="0.25">
      <c r="A703" s="12"/>
      <c r="B703" s="13"/>
      <c r="C703" s="95" t="s">
        <v>566</v>
      </c>
      <c r="D703" s="380">
        <f>Data!$E$337</f>
        <v>20</v>
      </c>
      <c r="E703" s="15"/>
      <c r="F703" s="16"/>
      <c r="G703" s="14"/>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29"/>
    </row>
    <row r="704" spans="1:42" outlineLevel="1" x14ac:dyDescent="0.25">
      <c r="A704" s="12"/>
      <c r="B704" s="13"/>
      <c r="C704" s="95" t="s">
        <v>567</v>
      </c>
      <c r="D704" s="380">
        <f>Data!$E$337-Data!$E$345</f>
        <v>11</v>
      </c>
      <c r="E704" s="15"/>
      <c r="F704" s="16"/>
      <c r="G704" s="14"/>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29"/>
    </row>
    <row r="705" spans="1:42" outlineLevel="1" x14ac:dyDescent="0.25">
      <c r="A705" s="12"/>
      <c r="B705" s="13"/>
      <c r="C705" s="19" t="s">
        <v>510</v>
      </c>
      <c r="D705" s="45"/>
      <c r="E705" s="15"/>
      <c r="F705" s="158"/>
      <c r="G705" s="14"/>
      <c r="H705" s="182">
        <f>H700+H701</f>
        <v>0</v>
      </c>
      <c r="I705" s="182">
        <f t="shared" ref="I705:S705" si="181">I700+I701</f>
        <v>0</v>
      </c>
      <c r="J705" s="182">
        <f t="shared" si="181"/>
        <v>0</v>
      </c>
      <c r="K705" s="182">
        <f t="shared" si="181"/>
        <v>0</v>
      </c>
      <c r="L705" s="182">
        <f t="shared" si="181"/>
        <v>0</v>
      </c>
      <c r="M705" s="182">
        <f t="shared" si="181"/>
        <v>0</v>
      </c>
      <c r="N705" s="182">
        <f t="shared" si="181"/>
        <v>0</v>
      </c>
      <c r="O705" s="182">
        <f t="shared" si="181"/>
        <v>0</v>
      </c>
      <c r="P705" s="182">
        <f t="shared" si="181"/>
        <v>0</v>
      </c>
      <c r="Q705" s="182">
        <f t="shared" si="181"/>
        <v>0</v>
      </c>
      <c r="R705" s="182">
        <f t="shared" si="181"/>
        <v>0</v>
      </c>
      <c r="S705" s="182">
        <f t="shared" si="181"/>
        <v>0</v>
      </c>
      <c r="T705" s="182">
        <f>T700+T701</f>
        <v>84140.076044878922</v>
      </c>
      <c r="U705" s="182">
        <f>U700+U701</f>
        <v>84140.076044878922</v>
      </c>
      <c r="V705" s="182">
        <f t="shared" ref="V705:AL705" si="182">V700+V701</f>
        <v>84140.076044878922</v>
      </c>
      <c r="W705" s="182">
        <f t="shared" si="182"/>
        <v>84140.076044878922</v>
      </c>
      <c r="X705" s="182">
        <f t="shared" si="182"/>
        <v>84140.076044878922</v>
      </c>
      <c r="Y705" s="182">
        <f t="shared" si="182"/>
        <v>84140.076044878922</v>
      </c>
      <c r="Z705" s="182">
        <f t="shared" si="182"/>
        <v>84140.076044878922</v>
      </c>
      <c r="AA705" s="182">
        <f t="shared" si="182"/>
        <v>84140.076044878922</v>
      </c>
      <c r="AB705" s="182">
        <f t="shared" si="182"/>
        <v>84140.076044878922</v>
      </c>
      <c r="AC705" s="182">
        <f t="shared" si="182"/>
        <v>95953.398533759522</v>
      </c>
      <c r="AD705" s="182">
        <f t="shared" si="182"/>
        <v>95953.398533759522</v>
      </c>
      <c r="AE705" s="182">
        <f t="shared" si="182"/>
        <v>95953.398533759522</v>
      </c>
      <c r="AF705" s="182">
        <f t="shared" si="182"/>
        <v>95953.398533759522</v>
      </c>
      <c r="AG705" s="182">
        <f t="shared" si="182"/>
        <v>95953.398533759522</v>
      </c>
      <c r="AH705" s="182">
        <f t="shared" si="182"/>
        <v>95953.398533759522</v>
      </c>
      <c r="AI705" s="182">
        <f t="shared" si="182"/>
        <v>95953.398533759522</v>
      </c>
      <c r="AJ705" s="182">
        <f t="shared" si="182"/>
        <v>95953.398533759522</v>
      </c>
      <c r="AK705" s="182">
        <f t="shared" si="182"/>
        <v>95953.398533759522</v>
      </c>
      <c r="AL705" s="182">
        <f t="shared" si="182"/>
        <v>95953.398533759522</v>
      </c>
      <c r="AM705" s="182">
        <f>AM700+AM701</f>
        <v>95953.398533759522</v>
      </c>
      <c r="AN705" s="182">
        <f t="shared" ref="AN705:AO705" si="183">AN700+AN701</f>
        <v>0</v>
      </c>
      <c r="AO705" s="182">
        <f t="shared" si="183"/>
        <v>0</v>
      </c>
      <c r="AP705" s="29"/>
    </row>
    <row r="706" spans="1:42" outlineLevel="1" x14ac:dyDescent="0.25">
      <c r="A706" s="12"/>
      <c r="B706" s="13"/>
      <c r="C706" s="19"/>
      <c r="D706" s="45"/>
      <c r="E706" s="15"/>
      <c r="F706" s="158"/>
      <c r="G706" s="14"/>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29"/>
    </row>
    <row r="707" spans="1:42" outlineLevel="1" x14ac:dyDescent="0.25">
      <c r="A707" s="12"/>
      <c r="B707" s="13"/>
      <c r="C707" s="37" t="s">
        <v>472</v>
      </c>
      <c r="D707" s="37"/>
      <c r="E707" s="38"/>
      <c r="F707" s="39"/>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17"/>
    </row>
    <row r="708" spans="1:42" outlineLevel="1" x14ac:dyDescent="0.25">
      <c r="A708" s="12"/>
      <c r="B708" s="13"/>
      <c r="C708" s="19" t="s">
        <v>28</v>
      </c>
      <c r="D708" s="19"/>
      <c r="E708" s="15"/>
      <c r="F708" s="16"/>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7"/>
    </row>
    <row r="709" spans="1:42" outlineLevel="1" x14ac:dyDescent="0.25">
      <c r="A709" s="12"/>
      <c r="B709" s="13"/>
      <c r="C709" s="20" t="s">
        <v>258</v>
      </c>
      <c r="D709" s="44"/>
      <c r="E709" s="15"/>
      <c r="F709" s="16"/>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7"/>
    </row>
    <row r="710" spans="1:42" outlineLevel="1" x14ac:dyDescent="0.25">
      <c r="A710" s="12"/>
      <c r="B710" s="13"/>
      <c r="C710" s="96" t="s">
        <v>120</v>
      </c>
      <c r="D710" s="45"/>
      <c r="E710" s="15" t="s">
        <v>474</v>
      </c>
      <c r="F710" s="158" t="str">
        <f>Dashboard!$I$63</f>
        <v>3 Axle Double Decker Bus</v>
      </c>
      <c r="G710" s="14"/>
      <c r="H710" s="150"/>
      <c r="I710" s="177">
        <f>IF($F$710=$C$710,Data!$E$324*I659,0)</f>
        <v>0</v>
      </c>
      <c r="J710" s="177">
        <f>IF($F$710=$C$710,Data!$E$324*J659,0)</f>
        <v>0</v>
      </c>
      <c r="K710" s="177">
        <f>IF($F$710=$C$710,Data!$E$324*K659,0)</f>
        <v>0</v>
      </c>
      <c r="L710" s="177">
        <f>IF($F$710=$C$710,Data!$E$324*L659,0)</f>
        <v>0</v>
      </c>
      <c r="M710" s="177">
        <f>IF($F$710=$C$710,Data!$E$324*M659,0)</f>
        <v>0</v>
      </c>
      <c r="N710" s="177">
        <f>IF($F$710=$C$710,Data!$E$324*N659,0)</f>
        <v>0</v>
      </c>
      <c r="O710" s="177">
        <f>IF($F$710=$C$710,Data!$E$324*O659,0)</f>
        <v>0</v>
      </c>
      <c r="P710" s="177">
        <f>IF($F$710=$C$710,Data!$E$324*P659,0)</f>
        <v>0</v>
      </c>
      <c r="Q710" s="177">
        <f>IF($F$710=$C$710,Data!$E$324*Q659,0)</f>
        <v>0</v>
      </c>
      <c r="R710" s="177">
        <f>IF($F$710=$C$710,Data!$E$324*R659,0)</f>
        <v>0</v>
      </c>
      <c r="S710" s="177">
        <f>IF($F$710=$C$710,Data!$E$324*S659,0)</f>
        <v>0</v>
      </c>
      <c r="T710" s="177">
        <f>IF($F$710=$C$710,Data!$E$324*T659,0)</f>
        <v>0</v>
      </c>
      <c r="U710" s="177">
        <f>IF($F$710=$C$710,Data!$E$324*U659,0)</f>
        <v>0</v>
      </c>
      <c r="V710" s="177">
        <f>IF($F$710=$C$710,Data!$E$324*V659,0)</f>
        <v>0</v>
      </c>
      <c r="W710" s="177">
        <f>IF($F$710=$C$710,Data!$E$324*W659,0)</f>
        <v>0</v>
      </c>
      <c r="X710" s="177">
        <f>IF($F$710=$C$710,Data!$E$324*X659,0)</f>
        <v>0</v>
      </c>
      <c r="Y710" s="177">
        <f>IF($F$710=$C$710,Data!$E$324*Y659,0)</f>
        <v>0</v>
      </c>
      <c r="Z710" s="177">
        <f>IF($F$710=$C$710,Data!$E$324*Z659,0)</f>
        <v>0</v>
      </c>
      <c r="AA710" s="177">
        <f>IF($F$710=$C$710,Data!$E$324*AA659,0)</f>
        <v>0</v>
      </c>
      <c r="AB710" s="177">
        <f>IF($F$710=$C$710,Data!$E$324*AB659,0)</f>
        <v>0</v>
      </c>
      <c r="AC710" s="177">
        <f>IF($F$710=$C$710,Data!$E$324*AC659,0)</f>
        <v>0</v>
      </c>
      <c r="AD710" s="177">
        <f>IF($F$710=$C$710,Data!$E$324*AD659,0)</f>
        <v>0</v>
      </c>
      <c r="AE710" s="177">
        <f>IF($F$710=$C$710,Data!$E$324*AE659,0)</f>
        <v>0</v>
      </c>
      <c r="AF710" s="177">
        <f>IF($F$710=$C$710,Data!$E$324*AF659,0)</f>
        <v>0</v>
      </c>
      <c r="AG710" s="177">
        <f>IF($F$710=$C$710,Data!$E$324*AG659,0)</f>
        <v>0</v>
      </c>
      <c r="AH710" s="177">
        <f>IF($F$710=$C$710,Data!$E$324*AH659,0)</f>
        <v>0</v>
      </c>
      <c r="AI710" s="177">
        <f>IF($F$710=$C$710,Data!$E$324*AI659,0)</f>
        <v>0</v>
      </c>
      <c r="AJ710" s="177">
        <f>IF($F$710=$C$710,Data!$E$324*AJ659,0)</f>
        <v>0</v>
      </c>
      <c r="AK710" s="177">
        <f>IF($F$710=$C$710,Data!$E$324*AK659,0)</f>
        <v>0</v>
      </c>
      <c r="AL710" s="177">
        <f>IF($F$710=$C$710,Data!$E$324*AL659,0)</f>
        <v>0</v>
      </c>
      <c r="AM710" s="177">
        <f>IF($F$710=$C$710,Data!$E$324*AM659,0)</f>
        <v>0</v>
      </c>
      <c r="AN710" s="177">
        <f>IF($F$710=$C$710,Data!$E$324*AN659,0)</f>
        <v>0</v>
      </c>
      <c r="AO710" s="177">
        <f>IF($F$710=$C$710,Data!$E$324*AO659,0)</f>
        <v>0</v>
      </c>
      <c r="AP710" s="29"/>
    </row>
    <row r="711" spans="1:42" outlineLevel="1" x14ac:dyDescent="0.25">
      <c r="A711" s="12"/>
      <c r="B711" s="13"/>
      <c r="C711" s="96" t="s">
        <v>124</v>
      </c>
      <c r="D711" s="45"/>
      <c r="E711" s="15" t="s">
        <v>474</v>
      </c>
      <c r="F711" s="158" t="str">
        <f>Dashboard!$I$63</f>
        <v>3 Axle Double Decker Bus</v>
      </c>
      <c r="G711" s="14"/>
      <c r="H711" s="150"/>
      <c r="I711" s="177">
        <f>IF($F$711=$C$711,Data!$E$325*I659,0)</f>
        <v>0</v>
      </c>
      <c r="J711" s="177">
        <f>IF($F$711=$C$711,Data!$E$325*J659,0)</f>
        <v>0</v>
      </c>
      <c r="K711" s="177">
        <f>IF($F$711=$C$711,Data!$E$325*K659,0)</f>
        <v>0</v>
      </c>
      <c r="L711" s="177">
        <f>IF($F$711=$C$711,Data!$E$325*L659,0)</f>
        <v>0</v>
      </c>
      <c r="M711" s="177">
        <f>IF($F$711=$C$711,Data!$E$325*M659,0)</f>
        <v>0</v>
      </c>
      <c r="N711" s="177">
        <f>IF($F$711=$C$711,Data!$E$325*N659,0)</f>
        <v>0</v>
      </c>
      <c r="O711" s="177">
        <f>IF($F$711=$C$711,Data!$E$325*O659,0)</f>
        <v>0</v>
      </c>
      <c r="P711" s="177">
        <f>IF($F$711=$C$711,Data!$E$325*P659,0)</f>
        <v>0</v>
      </c>
      <c r="Q711" s="177">
        <f>IF($F$711=$C$711,Data!$E$325*Q659,0)</f>
        <v>0</v>
      </c>
      <c r="R711" s="177">
        <f>IF($F$711=$C$711,Data!$E$325*R659,0)</f>
        <v>0</v>
      </c>
      <c r="S711" s="177">
        <f>IF($F$711=$C$711,Data!$E$325*S659,0)</f>
        <v>0</v>
      </c>
      <c r="T711" s="177">
        <f>IF($F$711=$C$711,Data!$E$325*T659,0)</f>
        <v>0</v>
      </c>
      <c r="U711" s="177">
        <f>IF($F$711=$C$711,Data!$E$325*U659,0)</f>
        <v>0</v>
      </c>
      <c r="V711" s="177">
        <f>IF($F$711=$C$711,Data!$E$325*V659,0)</f>
        <v>0</v>
      </c>
      <c r="W711" s="177">
        <f>IF($F$711=$C$711,Data!$E$325*W659,0)</f>
        <v>0</v>
      </c>
      <c r="X711" s="177">
        <f>IF($F$711=$C$711,Data!$E$325*X659,0)</f>
        <v>0</v>
      </c>
      <c r="Y711" s="177">
        <f>IF($F$711=$C$711,Data!$E$325*Y659,0)</f>
        <v>0</v>
      </c>
      <c r="Z711" s="177">
        <f>IF($F$711=$C$711,Data!$E$325*Z659,0)</f>
        <v>0</v>
      </c>
      <c r="AA711" s="177">
        <f>IF($F$711=$C$711,Data!$E$325*AA659,0)</f>
        <v>0</v>
      </c>
      <c r="AB711" s="177">
        <f>IF($F$711=$C$711,Data!$E$325*AB659,0)</f>
        <v>0</v>
      </c>
      <c r="AC711" s="177">
        <f>IF($F$711=$C$711,Data!$E$325*AC659,0)</f>
        <v>0</v>
      </c>
      <c r="AD711" s="177">
        <f>IF($F$711=$C$711,Data!$E$325*AD659,0)</f>
        <v>0</v>
      </c>
      <c r="AE711" s="177">
        <f>IF($F$711=$C$711,Data!$E$325*AE659,0)</f>
        <v>0</v>
      </c>
      <c r="AF711" s="177">
        <f>IF($F$711=$C$711,Data!$E$325*AF659,0)</f>
        <v>0</v>
      </c>
      <c r="AG711" s="177">
        <f>IF($F$711=$C$711,Data!$E$325*AG659,0)</f>
        <v>0</v>
      </c>
      <c r="AH711" s="177">
        <f>IF($F$711=$C$711,Data!$E$325*AH659,0)</f>
        <v>0</v>
      </c>
      <c r="AI711" s="177">
        <f>IF($F$711=$C$711,Data!$E$325*AI659,0)</f>
        <v>0</v>
      </c>
      <c r="AJ711" s="177">
        <f>IF($F$711=$C$711,Data!$E$325*AJ659,0)</f>
        <v>0</v>
      </c>
      <c r="AK711" s="177">
        <f>IF($F$711=$C$711,Data!$E$325*AK659,0)</f>
        <v>0</v>
      </c>
      <c r="AL711" s="177">
        <f>IF($F$711=$C$711,Data!$E$325*AL659,0)</f>
        <v>0</v>
      </c>
      <c r="AM711" s="177">
        <f>IF($F$711=$C$711,Data!$E$325*AM659,0)</f>
        <v>0</v>
      </c>
      <c r="AN711" s="177">
        <f>IF($F$711=$C$711,Data!$E$325*AN659,0)</f>
        <v>0</v>
      </c>
      <c r="AO711" s="177">
        <f>IF($F$711=$C$711,Data!$E$325*AO659,0)</f>
        <v>0</v>
      </c>
      <c r="AP711" s="29"/>
    </row>
    <row r="712" spans="1:42" outlineLevel="1" x14ac:dyDescent="0.25">
      <c r="A712" s="12"/>
      <c r="B712" s="13"/>
      <c r="C712" s="96" t="s">
        <v>126</v>
      </c>
      <c r="D712" s="45"/>
      <c r="E712" s="15" t="s">
        <v>474</v>
      </c>
      <c r="F712" s="158" t="str">
        <f>Dashboard!$I$63</f>
        <v>3 Axle Double Decker Bus</v>
      </c>
      <c r="G712" s="14"/>
      <c r="H712" s="150"/>
      <c r="I712" s="177">
        <f>IF($F$712=$C$712,Data!$E$326*I659,0)</f>
        <v>0</v>
      </c>
      <c r="J712" s="177">
        <f>IF($F$712=$C$712,Data!$E$326*J659,0)</f>
        <v>0</v>
      </c>
      <c r="K712" s="177">
        <f>IF($F$712=$C$712,Data!$E$326*K659,0)</f>
        <v>0</v>
      </c>
      <c r="L712" s="177">
        <f>IF($F$712=$C$712,Data!$E$326*L659,0)</f>
        <v>0</v>
      </c>
      <c r="M712" s="177">
        <f>IF($F$712=$C$712,Data!$E$326*M659,0)</f>
        <v>0</v>
      </c>
      <c r="N712" s="177">
        <f>IF($F$712=$C$712,Data!$E$326*N659,0)</f>
        <v>0</v>
      </c>
      <c r="O712" s="177">
        <f>IF($F$712=$C$712,Data!$E$326*O659,0)</f>
        <v>0</v>
      </c>
      <c r="P712" s="177">
        <f>IF($F$712=$C$712,Data!$E$326*P659,0)</f>
        <v>0</v>
      </c>
      <c r="Q712" s="177">
        <f>IF($F$712=$C$712,Data!$E$326*Q659,0)</f>
        <v>0</v>
      </c>
      <c r="R712" s="177">
        <f>IF($F$712=$C$712,Data!$E$326*R659,0)</f>
        <v>0</v>
      </c>
      <c r="S712" s="177">
        <f>IF($F$712=$C$712,Data!$E$326*S659,0)</f>
        <v>0</v>
      </c>
      <c r="T712" s="177">
        <f>IF($F$712=$C$712,Data!$E$326*T659,0)</f>
        <v>0</v>
      </c>
      <c r="U712" s="177">
        <f>IF($F$712=$C$712,Data!$E$326*U659,0)</f>
        <v>47455.19999999999</v>
      </c>
      <c r="V712" s="177">
        <f>IF($F$712=$C$712,Data!$E$326*V659,0)</f>
        <v>47455.19999999999</v>
      </c>
      <c r="W712" s="177">
        <f>IF($F$712=$C$712,Data!$E$326*W659,0)</f>
        <v>47455.19999999999</v>
      </c>
      <c r="X712" s="177">
        <f>IF($F$712=$C$712,Data!$E$326*X659,0)</f>
        <v>47455.19999999999</v>
      </c>
      <c r="Y712" s="177">
        <f>IF($F$712=$C$712,Data!$E$326*Y659,0)</f>
        <v>47455.19999999999</v>
      </c>
      <c r="Z712" s="177">
        <f>IF($F$712=$C$712,Data!$E$326*Z659,0)</f>
        <v>47455.19999999999</v>
      </c>
      <c r="AA712" s="177">
        <f>IF($F$712=$C$712,Data!$E$326*AA659,0)</f>
        <v>47455.19999999999</v>
      </c>
      <c r="AB712" s="177">
        <f>IF($F$712=$C$712,Data!$E$326*AB659,0)</f>
        <v>47455.19999999999</v>
      </c>
      <c r="AC712" s="177">
        <f>IF($F$712=$C$712,Data!$E$326*AC659,0)</f>
        <v>47455.19999999999</v>
      </c>
      <c r="AD712" s="177">
        <f>IF($F$712=$C$712,Data!$E$326*AD659,0)</f>
        <v>47455.19999999999</v>
      </c>
      <c r="AE712" s="177">
        <f>IF($F$712=$C$712,Data!$E$326*AE659,0)</f>
        <v>47455.19999999999</v>
      </c>
      <c r="AF712" s="177">
        <f>IF($F$712=$C$712,Data!$E$326*AF659,0)</f>
        <v>47455.19999999999</v>
      </c>
      <c r="AG712" s="177">
        <f>IF($F$712=$C$712,Data!$E$326*AG659,0)</f>
        <v>47455.19999999999</v>
      </c>
      <c r="AH712" s="177">
        <f>IF($F$712=$C$712,Data!$E$326*AH659,0)</f>
        <v>47455.19999999999</v>
      </c>
      <c r="AI712" s="177">
        <f>IF($F$712=$C$712,Data!$E$326*AI659,0)</f>
        <v>47455.19999999999</v>
      </c>
      <c r="AJ712" s="177">
        <f>IF($F$712=$C$712,Data!$E$326*AJ659,0)</f>
        <v>47455.19999999999</v>
      </c>
      <c r="AK712" s="177">
        <f>IF($F$712=$C$712,Data!$E$326*AK659,0)</f>
        <v>47455.19999999999</v>
      </c>
      <c r="AL712" s="177">
        <f>IF($F$712=$C$712,Data!$E$326*AL659,0)</f>
        <v>47455.19999999999</v>
      </c>
      <c r="AM712" s="177">
        <f>IF($F$712=$C$712,Data!$E$326*AM659,0)</f>
        <v>47455.19999999999</v>
      </c>
      <c r="AN712" s="177">
        <f>IF($F$712=$C$712,Data!$E$326*AN659,0)</f>
        <v>47455.19999999999</v>
      </c>
      <c r="AO712" s="177">
        <f>IF($F$712=$C$712,Data!$E$326*AO659,0)</f>
        <v>0</v>
      </c>
      <c r="AP712" s="29"/>
    </row>
    <row r="713" spans="1:42" outlineLevel="1" x14ac:dyDescent="0.25">
      <c r="A713" s="12"/>
      <c r="B713" s="13"/>
      <c r="C713" s="96"/>
      <c r="D713" s="45"/>
      <c r="E713" s="15"/>
      <c r="F713" s="158"/>
      <c r="G713" s="14"/>
      <c r="H713" s="150"/>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7"/>
      <c r="AH713" s="177"/>
      <c r="AI713" s="177"/>
      <c r="AJ713" s="177"/>
      <c r="AK713" s="177"/>
      <c r="AL713" s="177"/>
      <c r="AM713" s="177"/>
      <c r="AN713" s="177"/>
      <c r="AO713" s="177"/>
      <c r="AP713" s="29"/>
    </row>
    <row r="714" spans="1:42" s="167" customFormat="1" outlineLevel="1" x14ac:dyDescent="0.25">
      <c r="A714" s="96"/>
      <c r="B714" s="96"/>
      <c r="C714" s="513" t="s">
        <v>260</v>
      </c>
      <c r="D714" s="96"/>
      <c r="E714" s="112" t="s">
        <v>318</v>
      </c>
      <c r="F714" s="164"/>
      <c r="G714" s="96"/>
      <c r="H714" s="151"/>
      <c r="I714" s="151"/>
      <c r="J714" s="151"/>
      <c r="K714" s="151">
        <f>Data!$E$332*K659</f>
        <v>0</v>
      </c>
      <c r="L714" s="151">
        <f>Data!$E$332*L659</f>
        <v>0</v>
      </c>
      <c r="M714" s="151">
        <f>Data!$E$332*M659</f>
        <v>0</v>
      </c>
      <c r="N714" s="151">
        <f>Data!$E$332*N659</f>
        <v>0</v>
      </c>
      <c r="O714" s="151">
        <f>Data!$E$332*O659</f>
        <v>0</v>
      </c>
      <c r="P714" s="151">
        <f>Data!$E$332*P659</f>
        <v>0</v>
      </c>
      <c r="Q714" s="151">
        <f>Data!$E$332*Q659</f>
        <v>0</v>
      </c>
      <c r="R714" s="151">
        <f>Data!$E$332*R659</f>
        <v>0</v>
      </c>
      <c r="S714" s="151">
        <f>Data!$E$332*S659</f>
        <v>0</v>
      </c>
      <c r="T714" s="151">
        <f>Data!$E$332*T659</f>
        <v>0</v>
      </c>
      <c r="U714" s="151">
        <f>Data!$E$332*U659</f>
        <v>33733.440000000002</v>
      </c>
      <c r="V714" s="151">
        <f>Data!$E$332*V659</f>
        <v>33733.440000000002</v>
      </c>
      <c r="W714" s="151">
        <f>Data!$E$332*W659</f>
        <v>33733.440000000002</v>
      </c>
      <c r="X714" s="151">
        <f>Data!$E$332*X659</f>
        <v>33733.440000000002</v>
      </c>
      <c r="Y714" s="151">
        <f>Data!$E$332*Y659</f>
        <v>33733.440000000002</v>
      </c>
      <c r="Z714" s="151">
        <f>Data!$E$332*Z659</f>
        <v>33733.440000000002</v>
      </c>
      <c r="AA714" s="151">
        <f>Data!$E$332*AA659</f>
        <v>33733.440000000002</v>
      </c>
      <c r="AB714" s="151">
        <f>Data!$E$332*AB659</f>
        <v>33733.440000000002</v>
      </c>
      <c r="AC714" s="151">
        <f>Data!$E$332*AC659</f>
        <v>33733.440000000002</v>
      </c>
      <c r="AD714" s="151">
        <f>Data!$E$332*AD659</f>
        <v>33733.440000000002</v>
      </c>
      <c r="AE714" s="151">
        <f>Data!$E$332*AE659</f>
        <v>33733.440000000002</v>
      </c>
      <c r="AF714" s="151">
        <f>Data!$E$332*AF659</f>
        <v>33733.440000000002</v>
      </c>
      <c r="AG714" s="151">
        <f>Data!$E$332*AG659</f>
        <v>33733.440000000002</v>
      </c>
      <c r="AH714" s="151">
        <f>Data!$E$332*AH659</f>
        <v>33733.440000000002</v>
      </c>
      <c r="AI714" s="151">
        <f>Data!$E$332*AI659</f>
        <v>33733.440000000002</v>
      </c>
      <c r="AJ714" s="151">
        <f>Data!$E$332*AJ659</f>
        <v>33733.440000000002</v>
      </c>
      <c r="AK714" s="151">
        <f>Data!$E$332*AK659</f>
        <v>33733.440000000002</v>
      </c>
      <c r="AL714" s="151">
        <f>Data!$E$332*AL659</f>
        <v>33733.440000000002</v>
      </c>
      <c r="AM714" s="151">
        <f>Data!$E$332*AM659</f>
        <v>33733.440000000002</v>
      </c>
      <c r="AN714" s="151">
        <f>Data!$E$332*AN659</f>
        <v>33733.440000000002</v>
      </c>
      <c r="AO714" s="151">
        <f>Data!$E$332*AO659</f>
        <v>0</v>
      </c>
      <c r="AP714" s="514"/>
    </row>
    <row r="715" spans="1:42" s="51" customFormat="1" outlineLevel="1" x14ac:dyDescent="0.25">
      <c r="A715" s="12"/>
      <c r="B715" s="12"/>
      <c r="C715" s="399"/>
      <c r="D715" s="12"/>
      <c r="E715" s="79"/>
      <c r="F715" s="80"/>
      <c r="G715" s="12"/>
      <c r="H715" s="400"/>
      <c r="I715" s="400"/>
      <c r="J715" s="400"/>
      <c r="K715" s="400"/>
      <c r="L715" s="400"/>
      <c r="M715" s="400"/>
      <c r="N715" s="400"/>
      <c r="O715" s="400"/>
      <c r="P715" s="400"/>
      <c r="Q715" s="400"/>
      <c r="R715" s="400"/>
      <c r="S715" s="400"/>
      <c r="T715" s="400"/>
      <c r="U715" s="400"/>
      <c r="V715" s="400"/>
      <c r="W715" s="400"/>
      <c r="X715" s="400"/>
      <c r="Y715" s="400"/>
      <c r="Z715" s="400"/>
      <c r="AA715" s="400"/>
      <c r="AB715" s="400"/>
      <c r="AC715" s="400"/>
      <c r="AD715" s="400"/>
      <c r="AE715" s="400"/>
      <c r="AF715" s="400"/>
      <c r="AG715" s="400"/>
      <c r="AH715" s="400"/>
      <c r="AI715" s="400"/>
      <c r="AJ715" s="400"/>
      <c r="AK715" s="400"/>
      <c r="AL715" s="400"/>
      <c r="AM715" s="400"/>
      <c r="AN715" s="400"/>
      <c r="AO715" s="400"/>
      <c r="AP715" s="401"/>
    </row>
    <row r="716" spans="1:42" outlineLevel="1" x14ac:dyDescent="0.25">
      <c r="A716" s="12"/>
      <c r="B716" s="13"/>
      <c r="C716" s="95" t="s">
        <v>568</v>
      </c>
      <c r="D716" s="45"/>
      <c r="E716" s="15"/>
      <c r="F716" s="16"/>
      <c r="G716" s="14"/>
      <c r="H716" s="28"/>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28"/>
      <c r="AE716" s="28"/>
      <c r="AF716" s="28"/>
      <c r="AG716" s="28"/>
      <c r="AH716" s="28"/>
      <c r="AI716" s="28"/>
      <c r="AJ716" s="28"/>
      <c r="AK716" s="28"/>
      <c r="AL716" s="28"/>
      <c r="AM716" s="28"/>
      <c r="AN716" s="28"/>
      <c r="AO716" s="28"/>
      <c r="AP716" s="29"/>
    </row>
    <row r="717" spans="1:42" outlineLevel="1" x14ac:dyDescent="0.25">
      <c r="A717" s="12"/>
      <c r="B717" s="13"/>
      <c r="C717" s="96" t="s">
        <v>316</v>
      </c>
      <c r="D717" s="14"/>
      <c r="E717" s="15" t="s">
        <v>569</v>
      </c>
      <c r="F717" s="16"/>
      <c r="G717" s="14"/>
      <c r="H717" s="151"/>
      <c r="I717" s="14">
        <f>IF(I659&gt;0,Data!$E$349*Data!$E$329,0)</f>
        <v>0</v>
      </c>
      <c r="J717" s="14">
        <f>IF(J659&gt;0,Data!$E$349*Data!$E$329,0)</f>
        <v>0</v>
      </c>
      <c r="K717" s="14">
        <f>IF(K659&gt;0,Data!$E$349*Data!$E$329,0)</f>
        <v>0</v>
      </c>
      <c r="L717" s="14">
        <f>IF(L659&gt;0,Data!$E$349*Data!$E$329,0)</f>
        <v>0</v>
      </c>
      <c r="M717" s="14">
        <f>IF(M659&gt;0,Data!$E$349*Data!$E$329,0)</f>
        <v>0</v>
      </c>
      <c r="N717" s="14">
        <f>IF(N659&gt;0,Data!$E$349*Data!$E$329,0)</f>
        <v>0</v>
      </c>
      <c r="O717" s="14">
        <f>IF(O659&gt;0,Data!$E$349*Data!$E$329,0)</f>
        <v>0</v>
      </c>
      <c r="P717" s="14">
        <f>IF(P659&gt;0,Data!$E$349*Data!$E$329,0)</f>
        <v>0</v>
      </c>
      <c r="Q717" s="14">
        <f>IF(Q659&gt;0,Data!$E$349*Data!$E$329,0)</f>
        <v>0</v>
      </c>
      <c r="R717" s="14">
        <f>IF(R659&gt;0,Data!$E$349*Data!$E$329,0)</f>
        <v>0</v>
      </c>
      <c r="S717" s="14">
        <f>IF(S659&gt;0,Data!$E$349*Data!$E$329,0)</f>
        <v>0</v>
      </c>
      <c r="T717" s="14">
        <f>IF(T659&gt;0,Data!$E$349*Data!$E$329,0)</f>
        <v>0</v>
      </c>
      <c r="U717" s="14">
        <f>IF(U659&gt;0,Data!$E$349*Data!$E$329,0)</f>
        <v>0</v>
      </c>
      <c r="V717" s="14">
        <f>IF(V659&gt;0,Data!$E$349*Data!$E$329,0)</f>
        <v>0</v>
      </c>
      <c r="W717" s="14">
        <f>IF(W659&gt;0,Data!$E$349*Data!$E$329,0)</f>
        <v>0</v>
      </c>
      <c r="X717" s="14">
        <f>IF(X659&gt;0,Data!$E$349*Data!$E$329,0)</f>
        <v>0</v>
      </c>
      <c r="Y717" s="14">
        <f>IF(Y659&gt;0,Data!$E$349*Data!$E$329,0)</f>
        <v>0</v>
      </c>
      <c r="Z717" s="14">
        <f>IF(Z659&gt;0,Data!$E$349*Data!$E$329,0)</f>
        <v>0</v>
      </c>
      <c r="AA717" s="14">
        <f>IF(AA659&gt;0,Data!$E$349*Data!$E$329,0)</f>
        <v>0</v>
      </c>
      <c r="AB717" s="14">
        <f>IF(AB659&gt;0,Data!$E$349*Data!$E$329,0)</f>
        <v>0</v>
      </c>
      <c r="AC717" s="14">
        <f>IF(AC659&gt;0,Data!$E$349*Data!$E$329,0)</f>
        <v>0</v>
      </c>
      <c r="AD717" s="14">
        <f>IF(AD659&gt;0,Data!$E$349*Data!$E$329,0)</f>
        <v>0</v>
      </c>
      <c r="AE717" s="14">
        <f>IF(AE659&gt;0,Data!$E$349*Data!$E$329,0)</f>
        <v>0</v>
      </c>
      <c r="AF717" s="14">
        <f>IF(AF659&gt;0,Data!$E$349*Data!$E$329,0)</f>
        <v>0</v>
      </c>
      <c r="AG717" s="14">
        <f>IF(AG659&gt;0,Data!$E$349*Data!$E$329,0)</f>
        <v>0</v>
      </c>
      <c r="AH717" s="14">
        <f>IF(AH659&gt;0,Data!$E$349*Data!$E$329,0)</f>
        <v>0</v>
      </c>
      <c r="AI717" s="14">
        <f>IF(AI659&gt;0,Data!$E$349*Data!$E$329,0)</f>
        <v>0</v>
      </c>
      <c r="AJ717" s="14">
        <f>IF(AJ659&gt;0,Data!$E$349*Data!$E$329,0)</f>
        <v>0</v>
      </c>
      <c r="AK717" s="14">
        <f>IF(AK659&gt;0,Data!$E$349*Data!$E$329,0)</f>
        <v>0</v>
      </c>
      <c r="AL717" s="14">
        <f>IF(AL659&gt;0,Data!$E$349*Data!$E$329,0)</f>
        <v>0</v>
      </c>
      <c r="AM717" s="14">
        <f>IF(AM659&gt;0,Data!$E$349*Data!$E$329,0)</f>
        <v>0</v>
      </c>
      <c r="AN717" s="14">
        <f>IF(AN659&gt;0,Data!$E$349*Data!$E$329,0)</f>
        <v>0</v>
      </c>
      <c r="AO717" s="14">
        <f>IF(AO659&gt;0,Data!$E$349*Data!$E$329,0)</f>
        <v>0</v>
      </c>
      <c r="AP717" s="17"/>
    </row>
    <row r="718" spans="1:42" outlineLevel="1" x14ac:dyDescent="0.25">
      <c r="A718" s="12"/>
      <c r="B718" s="13"/>
      <c r="C718" s="96" t="s">
        <v>319</v>
      </c>
      <c r="D718" s="44"/>
      <c r="E718" s="15" t="s">
        <v>569</v>
      </c>
      <c r="F718" s="158">
        <f>Dashboard!$I$64</f>
        <v>1</v>
      </c>
      <c r="G718" s="14"/>
      <c r="H718" s="46"/>
      <c r="I718" s="159">
        <f>IF(I659&gt;0,$F$688*Data!$E$330/Dashboard!$I$41,0)</f>
        <v>0</v>
      </c>
      <c r="J718" s="159">
        <f>IF(J659&gt;0,$F$688*Data!$E$330/Dashboard!$I$41,0)</f>
        <v>0</v>
      </c>
      <c r="K718" s="159">
        <f>IF(K659&gt;0,$F$688*Data!$E$330/Dashboard!$I$41,0)</f>
        <v>0</v>
      </c>
      <c r="L718" s="159">
        <f>IF(L659&gt;0,$F$688*Data!$E$330/Dashboard!$I$41,0)</f>
        <v>0</v>
      </c>
      <c r="M718" s="159">
        <f>IF(M659&gt;0,$F$688*Data!$E$330/Dashboard!$I$41,0)</f>
        <v>0</v>
      </c>
      <c r="N718" s="159">
        <f>IF(N659&gt;0,$F$688*Data!$E$330/Dashboard!$I$41,0)</f>
        <v>0</v>
      </c>
      <c r="O718" s="159">
        <f>IF(O659&gt;0,$F$688*Data!$E$330/Dashboard!$I$41,0)</f>
        <v>0</v>
      </c>
      <c r="P718" s="159">
        <f>IF(P659&gt;0,$F$688*Data!$E$330/Dashboard!$I$41,0)</f>
        <v>0</v>
      </c>
      <c r="Q718" s="159">
        <f>IF(Q659&gt;0,$F$688*Data!$E$330/Dashboard!$I$41,0)</f>
        <v>0</v>
      </c>
      <c r="R718" s="159">
        <f>IF(R659&gt;0,$F$688*Data!$E$330/Dashboard!$I$41,0)</f>
        <v>0</v>
      </c>
      <c r="S718" s="159">
        <f>IF(S659&gt;0,$F$688*Data!$E$330/Dashboard!$I$41,0)</f>
        <v>0</v>
      </c>
      <c r="T718" s="159">
        <f>IF(T659&gt;0,$F$688*Data!$E$330/Dashboard!$I$41,0)</f>
        <v>0</v>
      </c>
      <c r="U718" s="159">
        <f>IF(U659&gt;0,$F$688*Data!$E$330/Dashboard!$I$41,0)</f>
        <v>4340.4000000000005</v>
      </c>
      <c r="V718" s="159">
        <f>IF(V659&gt;0,$F$688*Data!$E$330/Dashboard!$I$41,0)</f>
        <v>4340.4000000000005</v>
      </c>
      <c r="W718" s="159">
        <f>IF(W659&gt;0,$F$688*Data!$E$330/Dashboard!$I$41,0)</f>
        <v>4340.4000000000005</v>
      </c>
      <c r="X718" s="159">
        <f>IF(X659&gt;0,$F$688*Data!$E$330/Dashboard!$I$41,0)</f>
        <v>4340.4000000000005</v>
      </c>
      <c r="Y718" s="159">
        <f>IF(Y659&gt;0,$F$688*Data!$E$330/Dashboard!$I$41,0)</f>
        <v>4340.4000000000005</v>
      </c>
      <c r="Z718" s="159">
        <f>IF(Z659&gt;0,$F$688*Data!$E$330/Dashboard!$I$41,0)</f>
        <v>4340.4000000000005</v>
      </c>
      <c r="AA718" s="159">
        <f>IF(AA659&gt;0,$F$688*Data!$E$330/Dashboard!$I$41,0)</f>
        <v>4340.4000000000005</v>
      </c>
      <c r="AB718" s="159">
        <f>IF(AB659&gt;0,$F$688*Data!$E$330/Dashboard!$I$41,0)</f>
        <v>4340.4000000000005</v>
      </c>
      <c r="AC718" s="159">
        <f>IF(AC659&gt;0,$F$688*Data!$E$330/Dashboard!$I$41,0)</f>
        <v>4340.4000000000005</v>
      </c>
      <c r="AD718" s="159">
        <f>IF(AD659&gt;0,$F$688*Data!$E$330/Dashboard!$I$41,0)</f>
        <v>4340.4000000000005</v>
      </c>
      <c r="AE718" s="159">
        <f>IF(AE659&gt;0,$F$688*Data!$E$330/Dashboard!$I$41,0)</f>
        <v>4340.4000000000005</v>
      </c>
      <c r="AF718" s="159">
        <f>IF(AF659&gt;0,$F$688*Data!$E$330/Dashboard!$I$41,0)</f>
        <v>4340.4000000000005</v>
      </c>
      <c r="AG718" s="159">
        <f>IF(AG659&gt;0,$F$688*Data!$E$330/Dashboard!$I$41,0)</f>
        <v>4340.4000000000005</v>
      </c>
      <c r="AH718" s="159">
        <f>IF(AH659&gt;0,$F$688*Data!$E$330/Dashboard!$I$41,0)</f>
        <v>4340.4000000000005</v>
      </c>
      <c r="AI718" s="159">
        <f>IF(AI659&gt;0,$F$688*Data!$E$330/Dashboard!$I$41,0)</f>
        <v>4340.4000000000005</v>
      </c>
      <c r="AJ718" s="159">
        <f>IF(AJ659&gt;0,$F$688*Data!$E$330/Dashboard!$I$41,0)</f>
        <v>4340.4000000000005</v>
      </c>
      <c r="AK718" s="159">
        <f>IF(AK659&gt;0,$F$688*Data!$E$330/Dashboard!$I$41,0)</f>
        <v>4340.4000000000005</v>
      </c>
      <c r="AL718" s="159">
        <f>IF(AL659&gt;0,$F$688*Data!$E$330/Dashboard!$I$41,0)</f>
        <v>4340.4000000000005</v>
      </c>
      <c r="AM718" s="159">
        <f>IF(AM659&gt;0,$F$688*Data!$E$330/Dashboard!$I$41,0)</f>
        <v>4340.4000000000005</v>
      </c>
      <c r="AN718" s="159">
        <f>IF(AN659&gt;0,$F$688*Data!$E$330/Dashboard!$I$41,0)</f>
        <v>4340.4000000000005</v>
      </c>
      <c r="AO718" s="159">
        <f>IF(AO659&gt;0,$F$688*Data!$E$330/Dashboard!$I$41,0)</f>
        <v>0</v>
      </c>
      <c r="AP718" s="17"/>
    </row>
    <row r="719" spans="1:42" outlineLevel="1" x14ac:dyDescent="0.25">
      <c r="A719" s="12"/>
      <c r="B719" s="13"/>
      <c r="C719" s="95" t="s">
        <v>570</v>
      </c>
      <c r="D719" s="45"/>
      <c r="E719" s="15"/>
      <c r="F719" s="16"/>
      <c r="G719" s="14"/>
      <c r="H719" s="28"/>
      <c r="I719" s="56"/>
      <c r="J719" s="56"/>
      <c r="K719" s="56"/>
      <c r="L719" s="56"/>
      <c r="M719" s="56"/>
      <c r="N719" s="56"/>
      <c r="O719" s="56"/>
      <c r="P719" s="56"/>
      <c r="Q719" s="56"/>
      <c r="R719" s="56"/>
      <c r="S719" s="56"/>
      <c r="T719" s="56"/>
      <c r="U719" s="56"/>
      <c r="V719" s="56"/>
      <c r="W719" s="56"/>
      <c r="X719" s="56"/>
      <c r="Y719" s="56"/>
      <c r="Z719" s="56"/>
      <c r="AA719" s="56"/>
      <c r="AB719" s="56"/>
      <c r="AC719" s="28"/>
      <c r="AD719" s="28"/>
      <c r="AE719" s="28"/>
      <c r="AF719" s="28"/>
      <c r="AG719" s="28"/>
      <c r="AH719" s="28"/>
      <c r="AI719" s="28"/>
      <c r="AJ719" s="28"/>
      <c r="AK719" s="28"/>
      <c r="AL719" s="28"/>
      <c r="AM719" s="28"/>
      <c r="AN719" s="28"/>
      <c r="AO719" s="28"/>
      <c r="AP719" s="29"/>
    </row>
    <row r="720" spans="1:42" outlineLevel="1" x14ac:dyDescent="0.25">
      <c r="A720" s="12"/>
      <c r="B720" s="13"/>
      <c r="C720" s="96" t="s">
        <v>127</v>
      </c>
      <c r="D720" s="45"/>
      <c r="E720" s="15" t="s">
        <v>475</v>
      </c>
      <c r="F720" s="158" t="str">
        <f>Dashboard!$I$62</f>
        <v>Hilly (Gradient  6%)</v>
      </c>
      <c r="G720" s="14"/>
      <c r="H720" s="28"/>
      <c r="I720" s="178" cm="1">
        <f t="array" ref="I720">INDEX('Control panel'!$F$17:$F$19,MATCH(BEB!$F$720,'Control panel'!$C$17:$C$19,0),0)</f>
        <v>0.15</v>
      </c>
      <c r="J720" s="178" cm="1">
        <f t="array" ref="J720">INDEX('Control panel'!$F$17:$F$19,MATCH(BEB!$F$720,'Control panel'!$C$17:$C$19,0),0)</f>
        <v>0.15</v>
      </c>
      <c r="K720" s="178" cm="1">
        <f t="array" ref="K720">INDEX('Control panel'!$F$17:$F$19,MATCH(BEB!$F$720,'Control panel'!$C$17:$C$19,0),0)</f>
        <v>0.15</v>
      </c>
      <c r="L720" s="178" cm="1">
        <f t="array" ref="L720">INDEX('Control panel'!$F$17:$F$19,MATCH(BEB!$F$720,'Control panel'!$C$17:$C$19,0),0)</f>
        <v>0.15</v>
      </c>
      <c r="M720" s="178" cm="1">
        <f t="array" ref="M720">INDEX('Control panel'!$F$17:$F$19,MATCH(BEB!$F$720,'Control panel'!$C$17:$C$19,0),0)</f>
        <v>0.15</v>
      </c>
      <c r="N720" s="178" cm="1">
        <f t="array" ref="N720">INDEX('Control panel'!$F$17:$F$19,MATCH(BEB!$F$720,'Control panel'!$C$17:$C$19,0),0)</f>
        <v>0.15</v>
      </c>
      <c r="O720" s="178" cm="1">
        <f t="array" ref="O720">INDEX('Control panel'!$F$17:$F$19,MATCH(BEB!$F$720,'Control panel'!$C$17:$C$19,0),0)</f>
        <v>0.15</v>
      </c>
      <c r="P720" s="178" cm="1">
        <f t="array" ref="P720">INDEX('Control panel'!$F$17:$F$19,MATCH(BEB!$F$720,'Control panel'!$C$17:$C$19,0),0)</f>
        <v>0.15</v>
      </c>
      <c r="Q720" s="178" cm="1">
        <f t="array" ref="Q720">INDEX('Control panel'!$F$17:$F$19,MATCH(BEB!$F$720,'Control panel'!$C$17:$C$19,0),0)</f>
        <v>0.15</v>
      </c>
      <c r="R720" s="178" cm="1">
        <f t="array" ref="R720">INDEX('Control panel'!$F$17:$F$19,MATCH(BEB!$F$720,'Control panel'!$C$17:$C$19,0),0)</f>
        <v>0.15</v>
      </c>
      <c r="S720" s="178" cm="1">
        <f t="array" ref="S720">INDEX('Control panel'!$F$17:$F$19,MATCH(BEB!$F$720,'Control panel'!$C$17:$C$19,0),0)</f>
        <v>0.15</v>
      </c>
      <c r="T720" s="178" cm="1">
        <f t="array" ref="T720">INDEX('Control panel'!$F$17:$F$19,MATCH(BEB!$F$720,'Control panel'!$C$17:$C$19,0),0)</f>
        <v>0.15</v>
      </c>
      <c r="U720" s="178" cm="1">
        <f t="array" ref="U720">INDEX('Control panel'!$F$17:$F$19,MATCH(BEB!$F$720,'Control panel'!$C$17:$C$19,0),0)</f>
        <v>0.15</v>
      </c>
      <c r="V720" s="178" cm="1">
        <f t="array" ref="V720">INDEX('Control panel'!$F$17:$F$19,MATCH(BEB!$F$720,'Control panel'!$C$17:$C$19,0),0)</f>
        <v>0.15</v>
      </c>
      <c r="W720" s="178" cm="1">
        <f t="array" ref="W720">INDEX('Control panel'!$F$17:$F$19,MATCH(BEB!$F$720,'Control panel'!$C$17:$C$19,0),0)</f>
        <v>0.15</v>
      </c>
      <c r="X720" s="178" cm="1">
        <f t="array" ref="X720">INDEX('Control panel'!$F$17:$F$19,MATCH(BEB!$F$720,'Control panel'!$C$17:$C$19,0),0)</f>
        <v>0.15</v>
      </c>
      <c r="Y720" s="178" cm="1">
        <f t="array" ref="Y720">INDEX('Control panel'!$F$17:$F$19,MATCH(BEB!$F$720,'Control panel'!$C$17:$C$19,0),0)</f>
        <v>0.15</v>
      </c>
      <c r="Z720" s="178" cm="1">
        <f t="array" ref="Z720">INDEX('Control panel'!$F$17:$F$19,MATCH(BEB!$F$720,'Control panel'!$C$17:$C$19,0),0)</f>
        <v>0.15</v>
      </c>
      <c r="AA720" s="178" cm="1">
        <f t="array" ref="AA720">INDEX('Control panel'!$F$17:$F$19,MATCH(BEB!$F$720,'Control panel'!$C$17:$C$19,0),0)</f>
        <v>0.15</v>
      </c>
      <c r="AB720" s="178" cm="1">
        <f t="array" ref="AB720">INDEX('Control panel'!$F$17:$F$19,MATCH(BEB!$F$720,'Control panel'!$C$17:$C$19,0),0)</f>
        <v>0.15</v>
      </c>
      <c r="AC720" s="178" cm="1">
        <f t="array" ref="AC720">INDEX('Control panel'!$F$17:$F$19,MATCH(BEB!$F$720,'Control panel'!$C$17:$C$19,0),0)</f>
        <v>0.15</v>
      </c>
      <c r="AD720" s="178" cm="1">
        <f t="array" ref="AD720">INDEX('Control panel'!$F$17:$F$19,MATCH(BEB!$F$720,'Control panel'!$C$17:$C$19,0),0)</f>
        <v>0.15</v>
      </c>
      <c r="AE720" s="178" cm="1">
        <f t="array" ref="AE720">INDEX('Control panel'!$F$17:$F$19,MATCH(BEB!$F$720,'Control panel'!$C$17:$C$19,0),0)</f>
        <v>0.15</v>
      </c>
      <c r="AF720" s="178" cm="1">
        <f t="array" ref="AF720">INDEX('Control panel'!$F$17:$F$19,MATCH(BEB!$F$720,'Control panel'!$C$17:$C$19,0),0)</f>
        <v>0.15</v>
      </c>
      <c r="AG720" s="178" cm="1">
        <f t="array" ref="AG720">INDEX('Control panel'!$F$17:$F$19,MATCH(BEB!$F$720,'Control panel'!$C$17:$C$19,0),0)</f>
        <v>0.15</v>
      </c>
      <c r="AH720" s="178" cm="1">
        <f t="array" ref="AH720">INDEX('Control panel'!$F$17:$F$19,MATCH(BEB!$F$720,'Control panel'!$C$17:$C$19,0),0)</f>
        <v>0.15</v>
      </c>
      <c r="AI720" s="178" cm="1">
        <f t="array" ref="AI720">INDEX('Control panel'!$F$17:$F$19,MATCH(BEB!$F$720,'Control panel'!$C$17:$C$19,0),0)</f>
        <v>0.15</v>
      </c>
      <c r="AJ720" s="178" cm="1">
        <f t="array" ref="AJ720">INDEX('Control panel'!$F$17:$F$19,MATCH(BEB!$F$720,'Control panel'!$C$17:$C$19,0),0)</f>
        <v>0.15</v>
      </c>
      <c r="AK720" s="178" cm="1">
        <f t="array" ref="AK720">INDEX('Control panel'!$F$17:$F$19,MATCH(BEB!$F$720,'Control panel'!$C$17:$C$19,0),0)</f>
        <v>0.15</v>
      </c>
      <c r="AL720" s="178" cm="1">
        <f t="array" ref="AL720">INDEX('Control panel'!$F$17:$F$19,MATCH(BEB!$F$720,'Control panel'!$C$17:$C$19,0),0)</f>
        <v>0.15</v>
      </c>
      <c r="AM720" s="178" cm="1">
        <f t="array" ref="AM720">INDEX('Control panel'!$F$17:$F$19,MATCH(BEB!$F$720,'Control panel'!$C$17:$C$19,0),0)</f>
        <v>0.15</v>
      </c>
      <c r="AN720" s="178" cm="1">
        <f t="array" ref="AN720">INDEX('Control panel'!$F$17:$F$19,MATCH(BEB!$F$720,'Control panel'!$C$17:$C$19,0),0)</f>
        <v>0.15</v>
      </c>
      <c r="AO720" s="178" cm="1">
        <f t="array" ref="AO720">INDEX('Control panel'!$F$17:$F$19,MATCH(BEB!$F$720,'Control panel'!$C$17:$C$19,0),0)</f>
        <v>0.15</v>
      </c>
      <c r="AP720" s="29"/>
    </row>
    <row r="721" spans="1:42" ht="15.75" customHeight="1" outlineLevel="1" x14ac:dyDescent="0.25">
      <c r="A721" s="12"/>
      <c r="B721" s="13"/>
      <c r="C721" s="96" t="s">
        <v>120</v>
      </c>
      <c r="D721" s="45"/>
      <c r="E721" s="15"/>
      <c r="F721" s="158" t="str">
        <f>Dashboard!$I$63</f>
        <v>3 Axle Double Decker Bus</v>
      </c>
      <c r="G721" s="14"/>
      <c r="H721" s="28"/>
      <c r="I721" s="56">
        <f>IF($C$721=$F$721,I659*Data!$E$340*Data!H$76,0)*(1+I720)*(1+Data!$E$93)</f>
        <v>0</v>
      </c>
      <c r="J721" s="56">
        <f>IF($C$721=$F$721,J659*Data!$E$340*Data!I$76,0)*(1+J720)*(1+Data!$E$93)</f>
        <v>0</v>
      </c>
      <c r="K721" s="56">
        <f>IF($C$721=$F$721,K659*Data!$E$340*Data!J$76,0)*(1+K720)*(1+Data!$E$93)</f>
        <v>0</v>
      </c>
      <c r="L721" s="56">
        <f>IF($C$721=$F$721,L659*Data!$E$340*Data!K$76,0)*(1+L720)*(1+Data!$E$93)</f>
        <v>0</v>
      </c>
      <c r="M721" s="56">
        <f>IF($C$721=$F$721,M659*Data!$E$340*Data!L$76,0)*(1+M720)*(1+Data!$E$93)</f>
        <v>0</v>
      </c>
      <c r="N721" s="56">
        <f>IF($C$721=$F$721,N659*Data!$E$340*Data!M$76,0)*(1+N720)*(1+Data!$E$93)</f>
        <v>0</v>
      </c>
      <c r="O721" s="56">
        <f>IF($C$721=$F$721,O659*Data!$E$340*Data!N$76,0)*(1+O720)*(1+Data!$E$93)</f>
        <v>0</v>
      </c>
      <c r="P721" s="56">
        <f>IF($C$721=$F$721,P659*Data!$E$340*Data!O$76,0)*(1+P720)*(1+Data!$E$93)</f>
        <v>0</v>
      </c>
      <c r="Q721" s="56">
        <f>IF($C$721=$F$721,Q659*Data!$E$340*Data!P$76,0)*(1+Q720)*(1+Data!$E$93)</f>
        <v>0</v>
      </c>
      <c r="R721" s="56">
        <f>IF($C$721=$F$721,R659*Data!$E$340*Data!Q$76,0)*(1+R720)*(1+Data!$E$93)</f>
        <v>0</v>
      </c>
      <c r="S721" s="56">
        <f>IF($C$721=$F$721,S659*Data!$E$340*Data!R$76,0)*(1+S720)*(1+Data!$E$93)</f>
        <v>0</v>
      </c>
      <c r="T721" s="56">
        <f>IF($C$721=$F$721,T659*Data!$E$340*Data!S$76,0)*(1+T720)*(1+Data!$E$93)</f>
        <v>0</v>
      </c>
      <c r="U721" s="56">
        <f>IF($C$721=$F$721,U659*Data!$E$340*Data!T$76,0)*(1+U720)*(1+Data!$E$93)</f>
        <v>0</v>
      </c>
      <c r="V721" s="56">
        <f>IF($C$721=$F$721,V659*Data!$E$340*Data!U$76,0)*(1+V720)*(1+Data!$E$93)</f>
        <v>0</v>
      </c>
      <c r="W721" s="56">
        <f>IF($C$721=$F$721,W659*Data!$E$340*Data!V$76,0)*(1+W720)*(1+Data!$E$93)</f>
        <v>0</v>
      </c>
      <c r="X721" s="56">
        <f>IF($C$721=$F$721,X659*Data!$E$340*Data!W$76,0)*(1+X720)*(1+Data!$E$93)</f>
        <v>0</v>
      </c>
      <c r="Y721" s="56">
        <f>IF($C$721=$F$721,Y659*Data!$E$340*Data!X$76,0)*(1+Y720)*(1+Data!$E$93)</f>
        <v>0</v>
      </c>
      <c r="Z721" s="56">
        <f>IF($C$721=$F$721,Z659*Data!$E$340*Data!Y$76,0)*(1+Z720)*(1+Data!$E$93)</f>
        <v>0</v>
      </c>
      <c r="AA721" s="56">
        <f>IF($C$721=$F$721,AA659*Data!$E$340*Data!Z$76,0)*(1+AA720)*(1+Data!$E$93)</f>
        <v>0</v>
      </c>
      <c r="AB721" s="56">
        <f>IF($C$721=$F$721,AB659*Data!$E$340*Data!AA$76,0)*(1+AB720)*(1+Data!$E$93)</f>
        <v>0</v>
      </c>
      <c r="AC721" s="56">
        <f>IF($C$721=$F$721,AC659*Data!$E$340*Data!AB$76,0)*(1+AC720)*(1+Data!$E$93)</f>
        <v>0</v>
      </c>
      <c r="AD721" s="56">
        <f>IF($C$721=$F$721,AD659*Data!$E$340*Data!AC$76,0)*(1+AD720)*(1+Data!$E$93)</f>
        <v>0</v>
      </c>
      <c r="AE721" s="56">
        <f>IF($C$721=$F$721,AE659*Data!$E$340*Data!AD$76,0)*(1+AE720)*(1+Data!$E$93)</f>
        <v>0</v>
      </c>
      <c r="AF721" s="56">
        <f>IF($C$721=$F$721,AF659*Data!$E$340*Data!AE$76,0)*(1+AF720)*(1+Data!$E$93)</f>
        <v>0</v>
      </c>
      <c r="AG721" s="56">
        <f>IF($C$721=$F$721,AG659*Data!$E$340*Data!AF$76,0)*(1+AG720)*(1+Data!$E$93)</f>
        <v>0</v>
      </c>
      <c r="AH721" s="56">
        <f>IF($C$721=$F$721,AH659*Data!$E$340*Data!AG$76,0)*(1+AH720)*(1+Data!$E$93)</f>
        <v>0</v>
      </c>
      <c r="AI721" s="56">
        <f>IF($C$721=$F$721,AI659*Data!$E$340*Data!AH$76,0)*(1+AI720)*(1+Data!$E$93)</f>
        <v>0</v>
      </c>
      <c r="AJ721" s="56">
        <f>IF($C$721=$F$721,AJ659*Data!$E$340*Data!AI$76,0)*(1+AJ720)*(1+Data!$E$93)</f>
        <v>0</v>
      </c>
      <c r="AK721" s="56">
        <f>IF($C$721=$F$721,AK659*Data!$E$340*Data!AJ$76,0)*(1+AK720)*(1+Data!$E$93)</f>
        <v>0</v>
      </c>
      <c r="AL721" s="56">
        <f>IF($C$721=$F$721,AL659*Data!$E$340*Data!AK$76,0)*(1+AL720)*(1+Data!$E$93)</f>
        <v>0</v>
      </c>
      <c r="AM721" s="56">
        <f>IF($C$721=$F$721,AM659*Data!$E$340*Data!AL$76,0)*(1+AM720)*(1+Data!$E$93)</f>
        <v>0</v>
      </c>
      <c r="AN721" s="56">
        <f>IF($C$721=$F$721,AN659*Data!$E$340*Data!AM$76,0)*(1+AN720)*(1+Data!$E$93)</f>
        <v>0</v>
      </c>
      <c r="AO721" s="56">
        <f>IF($C$721=$F$721,AO659*Data!$E$340*Data!AN$76,0)*(1+AO720)*(1+Data!$E$93)</f>
        <v>0</v>
      </c>
      <c r="AP721" s="29"/>
    </row>
    <row r="722" spans="1:42" outlineLevel="1" x14ac:dyDescent="0.25">
      <c r="A722" s="12"/>
      <c r="B722" s="13"/>
      <c r="C722" s="96" t="s">
        <v>124</v>
      </c>
      <c r="D722" s="45"/>
      <c r="E722" s="15"/>
      <c r="F722" s="158" t="str">
        <f>Dashboard!$I$63</f>
        <v>3 Axle Double Decker Bus</v>
      </c>
      <c r="G722" s="14"/>
      <c r="H722" s="28"/>
      <c r="I722" s="56">
        <f>IF($C$722=$F$722,I659*Data!$E$341*Data!H$76,0)*(1+I720)*(1+Data!$E$93)</f>
        <v>0</v>
      </c>
      <c r="J722" s="56">
        <f>IF($C$722=$F$722,J659*Data!$E$341*Data!I$76,0)*(1+J720)*(1+Data!$E$93)</f>
        <v>0</v>
      </c>
      <c r="K722" s="56">
        <f>IF($C$722=$F$722,K659*Data!$E$341*Data!J$76,0)*(1+K720)*(1+Data!$E$93)</f>
        <v>0</v>
      </c>
      <c r="L722" s="56">
        <f>IF($C$722=$F$722,L659*Data!$E$341*Data!K$76,0)*(1+L720)*(1+Data!$E$93)</f>
        <v>0</v>
      </c>
      <c r="M722" s="56">
        <f>IF($C$722=$F$722,M659*Data!$E$341*Data!L$76,0)*(1+M720)*(1+Data!$E$93)</f>
        <v>0</v>
      </c>
      <c r="N722" s="56">
        <f>IF($C$722=$F$722,N659*Data!$E$341*Data!M$76,0)*(1+N720)*(1+Data!$E$93)</f>
        <v>0</v>
      </c>
      <c r="O722" s="56">
        <f>IF($C$722=$F$722,O659*Data!$E$341*Data!N$76,0)*(1+O720)*(1+Data!$E$93)</f>
        <v>0</v>
      </c>
      <c r="P722" s="56">
        <f>IF($C$722=$F$722,P659*Data!$E$341*Data!O$76,0)*(1+P720)*(1+Data!$E$93)</f>
        <v>0</v>
      </c>
      <c r="Q722" s="56">
        <f>IF($C$722=$F$722,Q659*Data!$E$341*Data!P$76,0)*(1+Q720)*(1+Data!$E$93)</f>
        <v>0</v>
      </c>
      <c r="R722" s="56">
        <f>IF($C$722=$F$722,R659*Data!$E$341*Data!Q$76,0)*(1+R720)*(1+Data!$E$93)</f>
        <v>0</v>
      </c>
      <c r="S722" s="56">
        <f>IF($C$722=$F$722,S659*Data!$E$341*Data!R$76,0)*(1+S720)*(1+Data!$E$93)</f>
        <v>0</v>
      </c>
      <c r="T722" s="56">
        <f>IF($C$722=$F$722,T659*Data!$E$341*Data!S$76,0)*(1+T720)*(1+Data!$E$93)</f>
        <v>0</v>
      </c>
      <c r="U722" s="56">
        <f>IF($C$722=$F$722,U659*Data!$E$341*Data!T$76,0)*(1+U720)*(1+Data!$E$93)</f>
        <v>0</v>
      </c>
      <c r="V722" s="56">
        <f>IF($C$722=$F$722,V659*Data!$E$341*Data!U$76,0)*(1+V720)*(1+Data!$E$93)</f>
        <v>0</v>
      </c>
      <c r="W722" s="56">
        <f>IF($C$722=$F$722,W659*Data!$E$341*Data!V$76,0)*(1+W720)*(1+Data!$E$93)</f>
        <v>0</v>
      </c>
      <c r="X722" s="56">
        <f>IF($C$722=$F$722,X659*Data!$E$341*Data!W$76,0)*(1+X720)*(1+Data!$E$93)</f>
        <v>0</v>
      </c>
      <c r="Y722" s="56">
        <f>IF($C$722=$F$722,Y659*Data!$E$341*Data!X$76,0)*(1+Y720)*(1+Data!$E$93)</f>
        <v>0</v>
      </c>
      <c r="Z722" s="56">
        <f>IF($C$722=$F$722,Z659*Data!$E$341*Data!Y$76,0)*(1+Z720)*(1+Data!$E$93)</f>
        <v>0</v>
      </c>
      <c r="AA722" s="56">
        <f>IF($C$722=$F$722,AA659*Data!$E$341*Data!Z$76,0)*(1+AA720)*(1+Data!$E$93)</f>
        <v>0</v>
      </c>
      <c r="AB722" s="56">
        <f>IF($C$722=$F$722,AB659*Data!$E$341*Data!AA$76,0)*(1+AB720)*(1+Data!$E$93)</f>
        <v>0</v>
      </c>
      <c r="AC722" s="56">
        <f>IF($C$722=$F$722,AC659*Data!$E$341*Data!AB$76,0)*(1+AC720)*(1+Data!$E$93)</f>
        <v>0</v>
      </c>
      <c r="AD722" s="56">
        <f>IF($C$722=$F$722,AD659*Data!$E$341*Data!AC$76,0)*(1+AD720)*(1+Data!$E$93)</f>
        <v>0</v>
      </c>
      <c r="AE722" s="56">
        <f>IF($C$722=$F$722,AE659*Data!$E$341*Data!AD$76,0)*(1+AE720)*(1+Data!$E$93)</f>
        <v>0</v>
      </c>
      <c r="AF722" s="56">
        <f>IF($C$722=$F$722,AF659*Data!$E$341*Data!AE$76,0)*(1+AF720)*(1+Data!$E$93)</f>
        <v>0</v>
      </c>
      <c r="AG722" s="56">
        <f>IF($C$722=$F$722,AG659*Data!$E$341*Data!AF$76,0)*(1+AG720)*(1+Data!$E$93)</f>
        <v>0</v>
      </c>
      <c r="AH722" s="56">
        <f>IF($C$722=$F$722,AH659*Data!$E$341*Data!AG$76,0)*(1+AH720)*(1+Data!$E$93)</f>
        <v>0</v>
      </c>
      <c r="AI722" s="56">
        <f>IF($C$722=$F$722,AI659*Data!$E$341*Data!AH$76,0)*(1+AI720)*(1+Data!$E$93)</f>
        <v>0</v>
      </c>
      <c r="AJ722" s="56">
        <f>IF($C$722=$F$722,AJ659*Data!$E$341*Data!AI$76,0)*(1+AJ720)*(1+Data!$E$93)</f>
        <v>0</v>
      </c>
      <c r="AK722" s="56">
        <f>IF($C$722=$F$722,AK659*Data!$E$341*Data!AJ$76,0)*(1+AK720)*(1+Data!$E$93)</f>
        <v>0</v>
      </c>
      <c r="AL722" s="56">
        <f>IF($C$722=$F$722,AL659*Data!$E$341*Data!AK$76,0)*(1+AL720)*(1+Data!$E$93)</f>
        <v>0</v>
      </c>
      <c r="AM722" s="56">
        <f>IF($C$722=$F$722,AM659*Data!$E$341*Data!AL$76,0)*(1+AM720)*(1+Data!$E$93)</f>
        <v>0</v>
      </c>
      <c r="AN722" s="56">
        <f>IF($C$722=$F$722,AN659*Data!$E$341*Data!AM$76,0)*(1+AN720)*(1+Data!$E$93)</f>
        <v>0</v>
      </c>
      <c r="AO722" s="56">
        <f>IF($C$722=$F$722,AO659*Data!$E$341*Data!AN$76,0)*(1+AO720)*(1+Data!$E$93)</f>
        <v>0</v>
      </c>
      <c r="AP722" s="29"/>
    </row>
    <row r="723" spans="1:42" outlineLevel="1" x14ac:dyDescent="0.25">
      <c r="A723" s="12"/>
      <c r="B723" s="13"/>
      <c r="C723" s="96" t="s">
        <v>126</v>
      </c>
      <c r="D723" s="45"/>
      <c r="E723" s="15"/>
      <c r="F723" s="158" t="str">
        <f>Dashboard!$I$63</f>
        <v>3 Axle Double Decker Bus</v>
      </c>
      <c r="G723" s="14"/>
      <c r="H723" s="28"/>
      <c r="I723" s="56">
        <f>IF($C$723=$F$723,I659*Data!$E$342*Data!H$76,0)*(1+I720)*(1+Data!$E$93)</f>
        <v>0</v>
      </c>
      <c r="J723" s="56">
        <f>IF($C$723=$F$723,J659*Data!$E$342*Data!I$76,0)*(1+J720)*(1+Data!$E$93)</f>
        <v>0</v>
      </c>
      <c r="K723" s="56">
        <f>IF($C$723=$F$723,K659*Data!$E$342*Data!J$76,0)*(1+K720)*(1+Data!$E$93)</f>
        <v>0</v>
      </c>
      <c r="L723" s="56">
        <f>IF($C$723=$F$723,L659*Data!$E$342*Data!K$76,0)*(1+L720)*(1+Data!$E$93)</f>
        <v>0</v>
      </c>
      <c r="M723" s="56">
        <f>IF($C$723=$F$723,M659*Data!$E$342*Data!L$76,0)*(1+M720)*(1+Data!$E$93)</f>
        <v>0</v>
      </c>
      <c r="N723" s="56">
        <f>IF($C$723=$F$723,N659*Data!$E$342*Data!M$76,0)*(1+N720)*(1+Data!$E$93)</f>
        <v>0</v>
      </c>
      <c r="O723" s="56">
        <f>IF($C$723=$F$723,O659*Data!$E$342*Data!N$76,0)*(1+O720)*(1+Data!$E$93)</f>
        <v>0</v>
      </c>
      <c r="P723" s="56">
        <f>IF($C$723=$F$723,P659*Data!$E$342*Data!O$76,0)*(1+P720)*(1+Data!$E$93)</f>
        <v>0</v>
      </c>
      <c r="Q723" s="56">
        <f>IF($C$723=$F$723,Q659*Data!$E$342*Data!P$76,0)*(1+Q720)*(1+Data!$E$93)</f>
        <v>0</v>
      </c>
      <c r="R723" s="56">
        <f>IF($C$723=$F$723,R659*Data!$E$342*Data!Q$76,0)*(1+R720)*(1+Data!$E$93)</f>
        <v>0</v>
      </c>
      <c r="S723" s="56">
        <f>IF($C$723=$F$723,S659*Data!$E$342*Data!R$76,0)*(1+S720)*(1+Data!$E$93)</f>
        <v>0</v>
      </c>
      <c r="T723" s="56">
        <f>IF($C$723=$F$723,T659*Data!$E$342*Data!S$76,0)*(1+T720)*(1+Data!$E$93)</f>
        <v>0</v>
      </c>
      <c r="U723" s="56">
        <f>IF($C$723=$F$723,U659*Data!$E$342*Data!T$76,0)*(1+U720)*(1+Data!$E$93)</f>
        <v>14494.079689485327</v>
      </c>
      <c r="V723" s="56">
        <f>IF($C$723=$F$723,V659*Data!$E$342*Data!U$76,0)*(1+V720)*(1+Data!$E$93)</f>
        <v>14458.141483978536</v>
      </c>
      <c r="W723" s="56">
        <f>IF($C$723=$F$723,W659*Data!$E$342*Data!V$76,0)*(1+W720)*(1+Data!$E$93)</f>
        <v>14420.655799771357</v>
      </c>
      <c r="X723" s="56">
        <f>IF($C$723=$F$723,X659*Data!$E$342*Data!W$76,0)*(1+X720)*(1+Data!$E$93)</f>
        <v>14384.345246747596</v>
      </c>
      <c r="Y723" s="56">
        <f>IF($C$723=$F$723,Y659*Data!$E$342*Data!X$76,0)*(1+Y720)*(1+Data!$E$93)</f>
        <v>14350.357941635635</v>
      </c>
      <c r="Z723" s="56">
        <f>IF($C$723=$F$723,Z659*Data!$E$342*Data!Y$76,0)*(1+Z720)*(1+Data!$E$93)</f>
        <v>14318.691816099441</v>
      </c>
      <c r="AA723" s="56">
        <f>IF($C$723=$F$723,AA659*Data!$E$342*Data!Z$76,0)*(1+AA720)*(1+Data!$E$93)</f>
        <v>14288.924995351625</v>
      </c>
      <c r="AB723" s="56">
        <f>IF($C$723=$F$723,AB659*Data!$E$342*Data!AA$76,0)*(1+AB720)*(1+Data!$E$93)</f>
        <v>14260.643605764877</v>
      </c>
      <c r="AC723" s="56">
        <f>IF($C$723=$F$723,AC659*Data!$E$342*Data!AB$76,0)*(1+AC720)*(1+Data!$E$93)</f>
        <v>14231.672490372759</v>
      </c>
      <c r="AD723" s="56">
        <f>IF($C$723=$F$723,AD659*Data!$E$342*Data!AC$76,0)*(1+AD720)*(1+Data!$E$93)</f>
        <v>14204.552239337834</v>
      </c>
      <c r="AE723" s="56">
        <f>IF($C$723=$F$723,AE659*Data!$E$342*Data!AD$76,0)*(1+AE720)*(1+Data!$E$93)</f>
        <v>14177.622926384605</v>
      </c>
      <c r="AF723" s="56">
        <f>IF($C$723=$F$723,AF659*Data!$E$342*Data!AE$76,0)*(1+AF720)*(1+Data!$E$93)</f>
        <v>14149.628904021396</v>
      </c>
      <c r="AG723" s="56">
        <f>IF($C$723=$F$723,AG659*Data!$E$342*Data!AF$76,0)*(1+AG720)*(1+Data!$E$93)</f>
        <v>14136.070335949324</v>
      </c>
      <c r="AH723" s="56">
        <f>IF($C$723=$F$723,AH659*Data!$E$342*Data!AG$76,0)*(1+AH720)*(1+Data!$E$93)</f>
        <v>14121.732449351199</v>
      </c>
      <c r="AI723" s="56">
        <f>IF($C$723=$F$723,AI659*Data!$E$342*Data!AH$76,0)*(1+AI720)*(1+Data!$E$93)</f>
        <v>14104.866585122232</v>
      </c>
      <c r="AJ723" s="56">
        <f>IF($C$723=$F$723,AJ659*Data!$E$342*Data!AI$76,0)*(1+AJ720)*(1+Data!$E$93)</f>
        <v>14086.434297139795</v>
      </c>
      <c r="AK723" s="56">
        <f>IF($C$723=$F$723,AK659*Data!$E$342*Data!AJ$76,0)*(1+AK720)*(1+Data!$E$93)</f>
        <v>14086.434297139795</v>
      </c>
      <c r="AL723" s="56">
        <f>IF($C$723=$F$723,AL659*Data!$E$342*Data!AK$76,0)*(1+AL720)*(1+Data!$E$93)</f>
        <v>14086.434297139795</v>
      </c>
      <c r="AM723" s="56">
        <f>IF($C$723=$F$723,AM659*Data!$E$342*Data!AL$76,0)*(1+AM720)*(1+Data!$E$93)</f>
        <v>14086.434297139795</v>
      </c>
      <c r="AN723" s="56">
        <f>IF($C$723=$F$723,AN659*Data!$E$342*Data!AM$76,0)*(1+AN720)*(1+Data!$E$93)</f>
        <v>14086.434297139795</v>
      </c>
      <c r="AO723" s="56">
        <f>IF($C$723=$F$723,AO659*Data!$E$342*Data!AN$76,0)*(1+AO720)*(1+Data!$E$93)</f>
        <v>0</v>
      </c>
      <c r="AP723" s="29"/>
    </row>
    <row r="724" spans="1:42" outlineLevel="1" x14ac:dyDescent="0.25">
      <c r="A724" s="12"/>
      <c r="B724" s="13"/>
      <c r="C724" s="19" t="s">
        <v>571</v>
      </c>
      <c r="D724" s="45"/>
      <c r="E724" s="15"/>
      <c r="F724" s="158"/>
      <c r="G724" s="14"/>
      <c r="H724" s="28"/>
      <c r="I724" s="182">
        <f>SUM(I710:I712)+I714+I717+I718+SUM(I721:I723)</f>
        <v>0</v>
      </c>
      <c r="J724" s="182">
        <f t="shared" ref="J724:AO724" si="184">SUM(J710:J712)+J714+J717+J718+SUM(J721:J723)</f>
        <v>0</v>
      </c>
      <c r="K724" s="182">
        <f>SUM(K710:K712)+K714+K717+K718+SUM(K721:K723)</f>
        <v>0</v>
      </c>
      <c r="L724" s="182">
        <f t="shared" si="184"/>
        <v>0</v>
      </c>
      <c r="M724" s="182">
        <f t="shared" si="184"/>
        <v>0</v>
      </c>
      <c r="N724" s="182">
        <f t="shared" si="184"/>
        <v>0</v>
      </c>
      <c r="O724" s="182">
        <f t="shared" si="184"/>
        <v>0</v>
      </c>
      <c r="P724" s="182">
        <f t="shared" si="184"/>
        <v>0</v>
      </c>
      <c r="Q724" s="182">
        <f t="shared" si="184"/>
        <v>0</v>
      </c>
      <c r="R724" s="182">
        <f t="shared" si="184"/>
        <v>0</v>
      </c>
      <c r="S724" s="182">
        <f t="shared" si="184"/>
        <v>0</v>
      </c>
      <c r="T724" s="182">
        <f t="shared" si="184"/>
        <v>0</v>
      </c>
      <c r="U724" s="182">
        <f t="shared" si="184"/>
        <v>100023.11968948531</v>
      </c>
      <c r="V724" s="182">
        <f t="shared" si="184"/>
        <v>99987.181483978522</v>
      </c>
      <c r="W724" s="182">
        <f t="shared" si="184"/>
        <v>99949.695799771333</v>
      </c>
      <c r="X724" s="182">
        <f t="shared" si="184"/>
        <v>99913.385246747581</v>
      </c>
      <c r="Y724" s="182">
        <f t="shared" si="184"/>
        <v>99879.397941635616</v>
      </c>
      <c r="Z724" s="182">
        <f t="shared" si="184"/>
        <v>99847.731816099418</v>
      </c>
      <c r="AA724" s="182">
        <f t="shared" si="184"/>
        <v>99817.964995351605</v>
      </c>
      <c r="AB724" s="182">
        <f t="shared" si="184"/>
        <v>99789.683605764862</v>
      </c>
      <c r="AC724" s="182">
        <f t="shared" si="184"/>
        <v>99760.712490372738</v>
      </c>
      <c r="AD724" s="182">
        <f t="shared" si="184"/>
        <v>99733.592239337813</v>
      </c>
      <c r="AE724" s="182">
        <f t="shared" si="184"/>
        <v>99706.662926384583</v>
      </c>
      <c r="AF724" s="182">
        <f t="shared" si="184"/>
        <v>99678.668904021382</v>
      </c>
      <c r="AG724" s="182">
        <f t="shared" si="184"/>
        <v>99665.110335949299</v>
      </c>
      <c r="AH724" s="182">
        <f t="shared" si="184"/>
        <v>99650.772449351178</v>
      </c>
      <c r="AI724" s="182">
        <f t="shared" si="184"/>
        <v>99633.906585122211</v>
      </c>
      <c r="AJ724" s="182">
        <f t="shared" si="184"/>
        <v>99615.474297139779</v>
      </c>
      <c r="AK724" s="182">
        <f t="shared" si="184"/>
        <v>99615.474297139779</v>
      </c>
      <c r="AL724" s="182">
        <f t="shared" si="184"/>
        <v>99615.474297139779</v>
      </c>
      <c r="AM724" s="182">
        <f t="shared" si="184"/>
        <v>99615.474297139779</v>
      </c>
      <c r="AN724" s="182">
        <f t="shared" si="184"/>
        <v>99615.474297139779</v>
      </c>
      <c r="AO724" s="182">
        <f t="shared" si="184"/>
        <v>0</v>
      </c>
      <c r="AP724" s="29"/>
    </row>
    <row r="725" spans="1:42" outlineLevel="1" x14ac:dyDescent="0.25">
      <c r="A725" s="12"/>
      <c r="B725" s="13"/>
      <c r="C725" s="19"/>
      <c r="D725" s="45"/>
      <c r="E725" s="15"/>
      <c r="F725" s="158"/>
      <c r="G725" s="14"/>
      <c r="H725" s="28"/>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29"/>
    </row>
    <row r="726" spans="1:42" outlineLevel="1" x14ac:dyDescent="0.25">
      <c r="A726" s="12"/>
      <c r="B726" s="13"/>
      <c r="C726" s="37" t="s">
        <v>572</v>
      </c>
      <c r="D726" s="37"/>
      <c r="E726" s="38"/>
      <c r="F726" s="39"/>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17"/>
    </row>
    <row r="727" spans="1:42" s="140" customFormat="1" outlineLevel="1" x14ac:dyDescent="0.25">
      <c r="A727" s="78"/>
      <c r="B727" s="19"/>
      <c r="C727" s="95" t="s">
        <v>249</v>
      </c>
      <c r="D727" s="44"/>
      <c r="E727" s="21" t="s">
        <v>142</v>
      </c>
      <c r="F727" s="48"/>
      <c r="G727" s="20"/>
      <c r="H727" s="49"/>
      <c r="I727" s="182">
        <f>IF(COUNT($I$3:I$3)=(Dashboard!$I$31+Data!$E$337+1),SUM($H$676:$AO$678)*Data!$E$359,0)</f>
        <v>0</v>
      </c>
      <c r="J727" s="182">
        <f>IF(COUNT($I$3:J$3)=(Dashboard!$I$31+Data!$E$337+1),SUM($H$676:$AO$678)*Data!$E$359,0)</f>
        <v>0</v>
      </c>
      <c r="K727" s="182">
        <f>IF(COUNT($I$3:K$3)=(Dashboard!$I$31+Data!$E$337+1),SUM($H$676:$AO$678)*Data!$E$359,0)</f>
        <v>0</v>
      </c>
      <c r="L727" s="182">
        <f>IF(COUNT($I$3:L$3)=(Dashboard!$I$31+Data!$E$337+1),SUM($H$676:$AO$678)*Data!$E$359,0)</f>
        <v>0</v>
      </c>
      <c r="M727" s="182">
        <f>IF(COUNT($I$3:M$3)=(Dashboard!$I$31+Data!$E$337+1),SUM($H$676:$AO$678)*Data!$E$359,0)</f>
        <v>0</v>
      </c>
      <c r="N727" s="182">
        <f>IF(COUNT($I$3:N$3)=(Dashboard!$I$31+Data!$E$337+1),SUM($H$676:$AO$678)*Data!$E$359,0)</f>
        <v>0</v>
      </c>
      <c r="O727" s="182">
        <f>IF(COUNT($I$3:O$3)=(Dashboard!$I$31+Data!$E$337+1),SUM($H$676:$AO$678)*Data!$E$359,0)</f>
        <v>0</v>
      </c>
      <c r="P727" s="182">
        <f>IF(COUNT($I$3:P$3)=(Dashboard!$I$31+Data!$E$337+1),SUM($H$676:$AO$678)*Data!$E$359,0)</f>
        <v>0</v>
      </c>
      <c r="Q727" s="182">
        <f>IF(COUNT($I$3:Q$3)=(Dashboard!$I$31+Data!$E$337+1),SUM($H$676:$AO$678)*Data!$E$359,0)</f>
        <v>0</v>
      </c>
      <c r="R727" s="182">
        <f>IF(COUNT($I$3:R$3)=(Dashboard!$I$31+Data!$E$337+1),SUM($H$676:$AO$678)*Data!$E$359,0)</f>
        <v>0</v>
      </c>
      <c r="S727" s="182">
        <f>IF(COUNT($I$3:S$3)=(Dashboard!$I$31+Data!$E$337+1),SUM($H$676:$AO$678)*Data!$E$359,0)</f>
        <v>0</v>
      </c>
      <c r="T727" s="182">
        <f>IF(COUNT($I$3:T$3)=(Dashboard!$I$31+Data!$E$337+1),SUM($H$676:$AO$678)*Data!$E$359,0)</f>
        <v>0</v>
      </c>
      <c r="U727" s="182">
        <f>IF(COUNT($I$3:U$3)=(Dashboard!$I$31+Data!$E$337+1),SUM($H$676:$AO$678)*Data!$E$359,0)</f>
        <v>0</v>
      </c>
      <c r="V727" s="182">
        <f>IF(COUNT($I$3:V$3)=(Dashboard!$I$31+Data!$E$337+1),SUM($H$676:$AO$678)*Data!$E$359,0)</f>
        <v>0</v>
      </c>
      <c r="W727" s="182">
        <f>IF(COUNT($I$3:W$3)=(Dashboard!$I$31+Data!$E$337+1),SUM($H$676:$AO$678)*Data!$E$359,0)</f>
        <v>0</v>
      </c>
      <c r="X727" s="182">
        <f>IF(COUNT($I$3:X$3)=(Dashboard!$I$31+Data!$E$337+1),SUM($H$676:$AO$678)*Data!$E$359,0)</f>
        <v>0</v>
      </c>
      <c r="Y727" s="182">
        <f>IF(COUNT($I$3:Y$3)=(Dashboard!$I$31+Data!$E$337+1),SUM($H$676:$AO$678)*Data!$E$359,0)</f>
        <v>0</v>
      </c>
      <c r="Z727" s="182">
        <f>IF(COUNT($I$3:Z$3)=(Dashboard!$I$31+Data!$E$337+1),SUM($H$676:$AO$678)*Data!$E$359,0)</f>
        <v>0</v>
      </c>
      <c r="AA727" s="182">
        <f>IF(COUNT($I$3:AA$3)=(Dashboard!$I$31+Data!$E$337+1),SUM($H$676:$AO$678)*Data!$E$359,0)</f>
        <v>0</v>
      </c>
      <c r="AB727" s="182">
        <f>IF(COUNT($I$3:AB$3)=(Dashboard!$I$31+Data!$E$337+1),SUM($H$676:$AO$678)*Data!$E$359,0)</f>
        <v>0</v>
      </c>
      <c r="AC727" s="182">
        <f>IF(COUNT($I$3:AC$3)=(Dashboard!$I$31+Data!$E$337+1),SUM($H$676:$AO$678)*Data!$E$359,0)</f>
        <v>0</v>
      </c>
      <c r="AD727" s="182">
        <f>IF(COUNT($I$3:AD$3)=(Dashboard!$I$31+Data!$E$337+1),SUM($H$676:$AO$678)*Data!$E$359,0)</f>
        <v>0</v>
      </c>
      <c r="AE727" s="182">
        <f>IF(COUNT($I$3:AE$3)=(Dashboard!$I$31+Data!$E$337+1),SUM($H$676:$AO$678)*Data!$E$359,0)</f>
        <v>0</v>
      </c>
      <c r="AF727" s="182">
        <f>IF(COUNT($I$3:AF$3)=(Dashboard!$I$31+Data!$E$337+1),SUM($H$676:$AO$678)*Data!$E$359,0)</f>
        <v>0</v>
      </c>
      <c r="AG727" s="182">
        <f>IF(COUNT($I$3:AG$3)=(Dashboard!$I$31+Data!$E$337+1),SUM($H$676:$AO$678)*Data!$E$359,0)</f>
        <v>0</v>
      </c>
      <c r="AH727" s="182">
        <f>IF(COUNT($I$3:AH$3)=(Dashboard!$I$31+Data!$E$337+1),SUM($H$676:$AO$678)*Data!$E$359,0)</f>
        <v>0</v>
      </c>
      <c r="AI727" s="182">
        <f>IF(COUNT($I$3:AI$3)=(Dashboard!$I$31+Data!$E$337+1),SUM($H$676:$AO$678)*Data!$E$359,0)</f>
        <v>0</v>
      </c>
      <c r="AJ727" s="182">
        <f>IF(COUNT($I$3:AJ$3)=(Dashboard!$I$31+Data!$E$337+1),SUM($H$676:$AO$678)*Data!$E$359,0)</f>
        <v>0</v>
      </c>
      <c r="AK727" s="182">
        <f>IF(COUNT($I$3:AK$3)=(Dashboard!$I$31+Data!$E$337+1),SUM($H$676:$AO$678)*Data!$E$359,0)</f>
        <v>0</v>
      </c>
      <c r="AL727" s="182">
        <f>IF(COUNT($I$3:AL$3)=(Dashboard!$I$31+Data!$E$337+1),SUM($H$676:$AO$678)*Data!$E$359,0)</f>
        <v>0</v>
      </c>
      <c r="AM727" s="182">
        <f>IF(COUNT($I$3:AM$3)=(Dashboard!$I$31+Data!$E$337+1),SUM($H$676:$AO$678)*Data!$E$359,0)</f>
        <v>0</v>
      </c>
      <c r="AN727" s="182">
        <f>IF(COUNT($I$3:AN$3)=(Dashboard!$I$31+Data!$E$337+1),SUM($H$676:$AO$678)*Data!$E$359,0)</f>
        <v>0</v>
      </c>
      <c r="AO727" s="182">
        <f>IF(COUNT($I$3:AO$3)=(Dashboard!$I$31+Data!$E$337+1),SUM($H$676:$AO$678)*Data!$E$359,0)</f>
        <v>143000</v>
      </c>
      <c r="AP727" s="50"/>
    </row>
    <row r="728" spans="1:42" outlineLevel="1" x14ac:dyDescent="0.25">
      <c r="A728" s="12"/>
      <c r="B728" s="13"/>
      <c r="C728" s="96"/>
      <c r="D728" s="45"/>
      <c r="E728" s="15"/>
      <c r="F728" s="158"/>
      <c r="G728" s="14"/>
      <c r="H728" s="28"/>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29"/>
    </row>
    <row r="729" spans="1:42" outlineLevel="1" x14ac:dyDescent="0.25">
      <c r="A729" s="12"/>
      <c r="B729" s="13"/>
      <c r="C729" s="19" t="s">
        <v>252</v>
      </c>
      <c r="D729" s="45"/>
      <c r="E729" s="15"/>
      <c r="F729" s="158"/>
      <c r="G729" s="14"/>
      <c r="H729" s="28"/>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29"/>
    </row>
    <row r="730" spans="1:42" outlineLevel="1" x14ac:dyDescent="0.25">
      <c r="A730" s="12"/>
      <c r="B730" s="13"/>
      <c r="C730" s="44" t="s">
        <v>258</v>
      </c>
      <c r="D730" s="44"/>
      <c r="E730" s="15"/>
      <c r="F730" s="16"/>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7"/>
    </row>
    <row r="731" spans="1:42" outlineLevel="1" x14ac:dyDescent="0.25">
      <c r="A731" s="12"/>
      <c r="B731" s="13"/>
      <c r="C731" s="45" t="s">
        <v>120</v>
      </c>
      <c r="D731" s="45"/>
      <c r="E731" s="15" t="s">
        <v>474</v>
      </c>
      <c r="F731" s="158" t="str">
        <f>Dashboard!$I$63</f>
        <v>3 Axle Double Decker Bus</v>
      </c>
      <c r="G731" s="14"/>
      <c r="H731" s="177"/>
      <c r="I731" s="177">
        <f>IF($C$731=$F$731,Data!$E$118*I657,0)</f>
        <v>0</v>
      </c>
      <c r="J731" s="177">
        <f>IF($C$731=$F$731,Data!$E$118*J657,0)</f>
        <v>0</v>
      </c>
      <c r="K731" s="177">
        <f>IF($C$731=$F$731,Data!$E$118*K657,0)</f>
        <v>0</v>
      </c>
      <c r="L731" s="177">
        <f>IF($C$731=$F$731,Data!$E$118*L657,0)</f>
        <v>0</v>
      </c>
      <c r="M731" s="177">
        <f>IF($C$731=$F$731,Data!$E$118*M657,0)</f>
        <v>0</v>
      </c>
      <c r="N731" s="177">
        <f>IF($C$731=$F$731,Data!$E$118*N657,0)</f>
        <v>0</v>
      </c>
      <c r="O731" s="177">
        <f>IF($C$731=$F$731,Data!$E$118*O657,0)</f>
        <v>0</v>
      </c>
      <c r="P731" s="177">
        <f>IF($C$731=$F$731,Data!$E$118*P657,0)</f>
        <v>0</v>
      </c>
      <c r="Q731" s="177">
        <f>IF($C$731=$F$731,Data!$E$118*Q657,0)</f>
        <v>0</v>
      </c>
      <c r="R731" s="177">
        <f>IF($C$731=$F$731,Data!$E$118*R657,0)</f>
        <v>0</v>
      </c>
      <c r="S731" s="177">
        <f>IF($C$731=$F$731,Data!$E$118*S657,0)</f>
        <v>0</v>
      </c>
      <c r="T731" s="177">
        <f>IF($C$731=$F$731,Data!$E$118*T657,0)</f>
        <v>0</v>
      </c>
      <c r="U731" s="177">
        <f>IF($C$731=$F$731,Data!$E$118*U657,0)</f>
        <v>0</v>
      </c>
      <c r="V731" s="177">
        <f>IF($C$731=$F$731,Data!$E$118*V657,0)</f>
        <v>0</v>
      </c>
      <c r="W731" s="177">
        <f>IF($C$731=$F$731,Data!$E$118*W657,0)</f>
        <v>0</v>
      </c>
      <c r="X731" s="177">
        <f>IF($C$731=$F$731,Data!$E$118*X657,0)</f>
        <v>0</v>
      </c>
      <c r="Y731" s="177">
        <f>IF($C$731=$F$731,Data!$E$118*Y657,0)</f>
        <v>0</v>
      </c>
      <c r="Z731" s="177">
        <f>IF($C$731=$F$731,Data!$E$118*Z657,0)</f>
        <v>0</v>
      </c>
      <c r="AA731" s="177">
        <f>IF($C$731=$F$731,Data!$E$118*AA657,0)</f>
        <v>0</v>
      </c>
      <c r="AB731" s="177">
        <f>IF($C$731=$F$731,Data!$E$118*AB657,0)</f>
        <v>0</v>
      </c>
      <c r="AC731" s="177">
        <f>IF($C$731=$F$731,Data!$E$118*AC657,0)</f>
        <v>0</v>
      </c>
      <c r="AD731" s="177">
        <f>IF($C$731=$F$731,Data!$E$118*AD657,0)</f>
        <v>0</v>
      </c>
      <c r="AE731" s="177">
        <f>IF($C$731=$F$731,Data!$E$118*AE657,0)</f>
        <v>0</v>
      </c>
      <c r="AF731" s="177">
        <f>IF($C$731=$F$731,Data!$E$118*AF657,0)</f>
        <v>0</v>
      </c>
      <c r="AG731" s="177">
        <f>IF($C$731=$F$731,Data!$E$118*AG657,0)</f>
        <v>0</v>
      </c>
      <c r="AH731" s="177">
        <f>IF($C$731=$F$731,Data!$E$118*AH657,0)</f>
        <v>0</v>
      </c>
      <c r="AI731" s="177">
        <f>IF($C$731=$F$731,Data!$E$118*AI657,0)</f>
        <v>0</v>
      </c>
      <c r="AJ731" s="177">
        <f>IF($C$731=$F$731,Data!$E$118*AJ657,0)</f>
        <v>0</v>
      </c>
      <c r="AK731" s="177">
        <f>IF($C$731=$F$731,Data!$E$118*AK657,0)</f>
        <v>0</v>
      </c>
      <c r="AL731" s="177">
        <f>IF($C$731=$F$731,Data!$E$118*AL657,0)</f>
        <v>0</v>
      </c>
      <c r="AM731" s="177">
        <f>IF($C$731=$F$731,Data!$E$118*AM657,0)</f>
        <v>0</v>
      </c>
      <c r="AN731" s="177">
        <f>IF($C$731=$F$731,Data!$E$118*AN657,0)</f>
        <v>0</v>
      </c>
      <c r="AO731" s="177">
        <f>IF($C$731=$F$731,Data!$E$118*AO657,0)</f>
        <v>0</v>
      </c>
      <c r="AP731" s="29"/>
    </row>
    <row r="732" spans="1:42" outlineLevel="1" x14ac:dyDescent="0.25">
      <c r="A732" s="12"/>
      <c r="B732" s="13"/>
      <c r="C732" s="45" t="s">
        <v>124</v>
      </c>
      <c r="D732" s="45"/>
      <c r="E732" s="15" t="s">
        <v>474</v>
      </c>
      <c r="F732" s="158" t="str">
        <f>Dashboard!$I$63</f>
        <v>3 Axle Double Decker Bus</v>
      </c>
      <c r="G732" s="14"/>
      <c r="H732" s="177"/>
      <c r="I732" s="177">
        <f>IF($C$732=$F$732,Data!$E$119*I657,0)</f>
        <v>0</v>
      </c>
      <c r="J732" s="177">
        <f>IF($C$732=$F$732,Data!$E$119*J657,0)</f>
        <v>0</v>
      </c>
      <c r="K732" s="177">
        <f>IF($C$732=$F$732,Data!$E$119*K657,0)</f>
        <v>0</v>
      </c>
      <c r="L732" s="177">
        <f>IF($C$732=$F$732,Data!$E$119*L657,0)</f>
        <v>0</v>
      </c>
      <c r="M732" s="177">
        <f>IF($C$732=$F$732,Data!$E$119*M657,0)</f>
        <v>0</v>
      </c>
      <c r="N732" s="177">
        <f>IF($C$732=$F$732,Data!$E$119*N657,0)</f>
        <v>0</v>
      </c>
      <c r="O732" s="177">
        <f>IF($C$732=$F$732,Data!$E$119*O657,0)</f>
        <v>0</v>
      </c>
      <c r="P732" s="177">
        <f>IF($C$732=$F$732,Data!$E$119*P657,0)</f>
        <v>0</v>
      </c>
      <c r="Q732" s="177">
        <f>IF($C$732=$F$732,Data!$E$119*Q657,0)</f>
        <v>0</v>
      </c>
      <c r="R732" s="177">
        <f>IF($C$732=$F$732,Data!$E$119*R657,0)</f>
        <v>0</v>
      </c>
      <c r="S732" s="177">
        <f>IF($C$732=$F$732,Data!$E$119*S657,0)</f>
        <v>0</v>
      </c>
      <c r="T732" s="177">
        <f>IF($C$732=$F$732,Data!$E$119*T657,0)</f>
        <v>0</v>
      </c>
      <c r="U732" s="177">
        <f>IF($C$732=$F$732,Data!$E$119*U657,0)</f>
        <v>0</v>
      </c>
      <c r="V732" s="177">
        <f>IF($C$732=$F$732,Data!$E$119*V657,0)</f>
        <v>0</v>
      </c>
      <c r="W732" s="177">
        <f>IF($C$732=$F$732,Data!$E$119*W657,0)</f>
        <v>0</v>
      </c>
      <c r="X732" s="177">
        <f>IF($C$732=$F$732,Data!$E$119*X657,0)</f>
        <v>0</v>
      </c>
      <c r="Y732" s="177">
        <f>IF($C$732=$F$732,Data!$E$119*Y657,0)</f>
        <v>0</v>
      </c>
      <c r="Z732" s="177">
        <f>IF($C$732=$F$732,Data!$E$119*Z657,0)</f>
        <v>0</v>
      </c>
      <c r="AA732" s="177">
        <f>IF($C$732=$F$732,Data!$E$119*AA657,0)</f>
        <v>0</v>
      </c>
      <c r="AB732" s="177">
        <f>IF($C$732=$F$732,Data!$E$119*AB657,0)</f>
        <v>0</v>
      </c>
      <c r="AC732" s="177">
        <f>IF($C$732=$F$732,Data!$E$119*AC657,0)</f>
        <v>0</v>
      </c>
      <c r="AD732" s="177">
        <f>IF($C$732=$F$732,Data!$E$119*AD657,0)</f>
        <v>0</v>
      </c>
      <c r="AE732" s="177">
        <f>IF($C$732=$F$732,Data!$E$119*AE657,0)</f>
        <v>0</v>
      </c>
      <c r="AF732" s="177">
        <f>IF($C$732=$F$732,Data!$E$119*AF657,0)</f>
        <v>0</v>
      </c>
      <c r="AG732" s="177">
        <f>IF($C$732=$F$732,Data!$E$119*AG657,0)</f>
        <v>0</v>
      </c>
      <c r="AH732" s="177">
        <f>IF($C$732=$F$732,Data!$E$119*AH657,0)</f>
        <v>0</v>
      </c>
      <c r="AI732" s="177">
        <f>IF($C$732=$F$732,Data!$E$119*AI657,0)</f>
        <v>0</v>
      </c>
      <c r="AJ732" s="177">
        <f>IF($C$732=$F$732,Data!$E$119*AJ657,0)</f>
        <v>0</v>
      </c>
      <c r="AK732" s="177">
        <f>IF($C$732=$F$732,Data!$E$119*AK657,0)</f>
        <v>0</v>
      </c>
      <c r="AL732" s="177">
        <f>IF($C$732=$F$732,Data!$E$119*AL657,0)</f>
        <v>0</v>
      </c>
      <c r="AM732" s="177">
        <f>IF($C$732=$F$732,Data!$E$119*AM657,0)</f>
        <v>0</v>
      </c>
      <c r="AN732" s="177">
        <f>IF($C$732=$F$732,Data!$E$119*AN657,0)</f>
        <v>0</v>
      </c>
      <c r="AO732" s="177">
        <f>IF($C$732=$F$732,Data!$E$119*AO657,0)</f>
        <v>0</v>
      </c>
      <c r="AP732" s="29"/>
    </row>
    <row r="733" spans="1:42" outlineLevel="1" x14ac:dyDescent="0.25">
      <c r="A733" s="12"/>
      <c r="B733" s="13"/>
      <c r="C733" s="45" t="s">
        <v>126</v>
      </c>
      <c r="D733" s="45"/>
      <c r="E733" s="15" t="s">
        <v>474</v>
      </c>
      <c r="F733" s="158" t="str">
        <f>Dashboard!$I$63</f>
        <v>3 Axle Double Decker Bus</v>
      </c>
      <c r="G733" s="14"/>
      <c r="H733" s="177"/>
      <c r="I733" s="177">
        <f>IF($C$733=$F$733,Data!$E$120*I657,0)</f>
        <v>160457.14285714284</v>
      </c>
      <c r="J733" s="177">
        <f>IF($C$733=$F$733,Data!$E$120*J657,0)</f>
        <v>160457.14285714284</v>
      </c>
      <c r="K733" s="177">
        <f>IF($C$733=$F$733,Data!$E$120*K657,0)</f>
        <v>160457.14285714284</v>
      </c>
      <c r="L733" s="177">
        <f>IF($C$733=$F$733,Data!$E$120*L657,0)</f>
        <v>160457.14285714284</v>
      </c>
      <c r="M733" s="177">
        <f>IF($C$733=$F$733,Data!$E$120*M657,0)</f>
        <v>160457.14285714284</v>
      </c>
      <c r="N733" s="177">
        <f>IF($C$733=$F$733,Data!$E$120*N657,0)</f>
        <v>160457.14285714284</v>
      </c>
      <c r="O733" s="177">
        <f>IF($C$733=$F$733,Data!$E$120*O657,0)</f>
        <v>160457.14285714284</v>
      </c>
      <c r="P733" s="177">
        <f>IF($C$733=$F$733,Data!$E$120*P657,0)</f>
        <v>160457.14285714284</v>
      </c>
      <c r="Q733" s="177">
        <f>IF($C$733=$F$733,Data!$E$120*Q657,0)</f>
        <v>160457.14285714284</v>
      </c>
      <c r="R733" s="177">
        <f>IF($C$733=$F$733,Data!$E$120*R657,0)</f>
        <v>160457.14285714284</v>
      </c>
      <c r="S733" s="177">
        <f>IF($C$733=$F$733,Data!$E$120*S657,0)</f>
        <v>160457.14285714284</v>
      </c>
      <c r="T733" s="177">
        <f>IF($C$733=$F$733,Data!$E$120*T657,0)</f>
        <v>160457.14285714284</v>
      </c>
      <c r="U733" s="177">
        <f>IF($C$733=$F$733,Data!$E$120*U657,0)</f>
        <v>0</v>
      </c>
      <c r="V733" s="177">
        <f>IF($C$733=$F$733,Data!$E$120*V657,0)</f>
        <v>0</v>
      </c>
      <c r="W733" s="177">
        <f>IF($C$733=$F$733,Data!$E$120*W657,0)</f>
        <v>0</v>
      </c>
      <c r="X733" s="177">
        <f>IF($C$733=$F$733,Data!$E$120*X657,0)</f>
        <v>0</v>
      </c>
      <c r="Y733" s="177">
        <f>IF($C$733=$F$733,Data!$E$120*Y657,0)</f>
        <v>0</v>
      </c>
      <c r="Z733" s="177">
        <f>IF($C$733=$F$733,Data!$E$120*Z657,0)</f>
        <v>0</v>
      </c>
      <c r="AA733" s="177">
        <f>IF($C$733=$F$733,Data!$E$120*AA657,0)</f>
        <v>0</v>
      </c>
      <c r="AB733" s="177">
        <f>IF($C$733=$F$733,Data!$E$120*AB657,0)</f>
        <v>0</v>
      </c>
      <c r="AC733" s="177">
        <f>IF($C$733=$F$733,Data!$E$120*AC657,0)</f>
        <v>0</v>
      </c>
      <c r="AD733" s="177">
        <f>IF($C$733=$F$733,Data!$E$120*AD657,0)</f>
        <v>0</v>
      </c>
      <c r="AE733" s="177">
        <f>IF($C$733=$F$733,Data!$E$120*AE657,0)</f>
        <v>0</v>
      </c>
      <c r="AF733" s="177">
        <f>IF($C$733=$F$733,Data!$E$120*AF657,0)</f>
        <v>0</v>
      </c>
      <c r="AG733" s="177">
        <f>IF($C$733=$F$733,Data!$E$120*AG657,0)</f>
        <v>0</v>
      </c>
      <c r="AH733" s="177">
        <f>IF($C$733=$F$733,Data!$E$120*AH657,0)</f>
        <v>0</v>
      </c>
      <c r="AI733" s="177">
        <f>IF($C$733=$F$733,Data!$E$120*AI657,0)</f>
        <v>0</v>
      </c>
      <c r="AJ733" s="177">
        <f>IF($C$733=$F$733,Data!$E$120*AJ657,0)</f>
        <v>0</v>
      </c>
      <c r="AK733" s="177">
        <f>IF($C$733=$F$733,Data!$E$120*AK657,0)</f>
        <v>0</v>
      </c>
      <c r="AL733" s="177">
        <f>IF($C$733=$F$733,Data!$E$120*AL657,0)</f>
        <v>0</v>
      </c>
      <c r="AM733" s="177">
        <f>IF($C$733=$F$733,Data!$E$120*AM657,0)</f>
        <v>0</v>
      </c>
      <c r="AN733" s="177">
        <f>IF($C$733=$F$733,Data!$E$120*AN657,0)</f>
        <v>0</v>
      </c>
      <c r="AO733" s="177">
        <f>IF($C$733=$F$733,Data!$E$120*AO657,0)</f>
        <v>0</v>
      </c>
      <c r="AP733" s="29"/>
    </row>
    <row r="734" spans="1:42" outlineLevel="1" x14ac:dyDescent="0.25">
      <c r="A734" s="12"/>
      <c r="B734" s="13"/>
      <c r="C734" s="45"/>
      <c r="D734" s="45"/>
      <c r="E734" s="15"/>
      <c r="F734" s="16"/>
      <c r="G734" s="14"/>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9"/>
    </row>
    <row r="735" spans="1:42" outlineLevel="1" x14ac:dyDescent="0.25">
      <c r="A735" s="12"/>
      <c r="B735" s="13"/>
      <c r="C735" s="44" t="s">
        <v>532</v>
      </c>
      <c r="D735" s="45"/>
      <c r="E735" s="15" t="s">
        <v>318</v>
      </c>
      <c r="F735" s="16"/>
      <c r="G735" s="14"/>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9"/>
    </row>
    <row r="736" spans="1:42" outlineLevel="1" x14ac:dyDescent="0.25">
      <c r="A736" s="12"/>
      <c r="B736" s="13"/>
      <c r="C736" s="44" t="s">
        <v>260</v>
      </c>
      <c r="D736" s="14"/>
      <c r="E736" s="15" t="s">
        <v>318</v>
      </c>
      <c r="F736" s="16"/>
      <c r="G736" s="14"/>
      <c r="H736" s="151"/>
      <c r="I736" s="151">
        <f>Data!$E$122*I657</f>
        <v>33733.440000000002</v>
      </c>
      <c r="J736" s="151">
        <f>Data!$E$122*J657</f>
        <v>33733.440000000002</v>
      </c>
      <c r="K736" s="151">
        <f>Data!$E$122*K657</f>
        <v>33733.440000000002</v>
      </c>
      <c r="L736" s="151">
        <f>Data!$E$122*L657</f>
        <v>33733.440000000002</v>
      </c>
      <c r="M736" s="151">
        <f>Data!$E$122*M657</f>
        <v>33733.440000000002</v>
      </c>
      <c r="N736" s="151">
        <f>Data!$E$122*N657</f>
        <v>33733.440000000002</v>
      </c>
      <c r="O736" s="151">
        <f>Data!$E$122*O657</f>
        <v>33733.440000000002</v>
      </c>
      <c r="P736" s="151">
        <f>Data!$E$122*P657</f>
        <v>33733.440000000002</v>
      </c>
      <c r="Q736" s="151">
        <f>Data!$E$122*Q657</f>
        <v>33733.440000000002</v>
      </c>
      <c r="R736" s="151">
        <f>Data!$E$122*R657</f>
        <v>33733.440000000002</v>
      </c>
      <c r="S736" s="151">
        <f>Data!$E$122*S657</f>
        <v>33733.440000000002</v>
      </c>
      <c r="T736" s="151">
        <f>Data!$E$122*T657</f>
        <v>33733.440000000002</v>
      </c>
      <c r="U736" s="151">
        <f>Data!$E$122*U657</f>
        <v>0</v>
      </c>
      <c r="V736" s="151">
        <f>Data!$E$122*V657</f>
        <v>0</v>
      </c>
      <c r="W736" s="151">
        <f>Data!$E$122*W657</f>
        <v>0</v>
      </c>
      <c r="X736" s="151">
        <f>Data!$E$122*X657</f>
        <v>0</v>
      </c>
      <c r="Y736" s="151">
        <f>Data!$E$122*Y657</f>
        <v>0</v>
      </c>
      <c r="Z736" s="151">
        <f>Data!$E$122*Z657</f>
        <v>0</v>
      </c>
      <c r="AA736" s="151">
        <f>Data!$E$122*AA657</f>
        <v>0</v>
      </c>
      <c r="AB736" s="151">
        <f>Data!$E$122*AB657</f>
        <v>0</v>
      </c>
      <c r="AC736" s="151">
        <f>Data!$E$122*AC657</f>
        <v>0</v>
      </c>
      <c r="AD736" s="151">
        <f>Data!$E$122*AD657</f>
        <v>0</v>
      </c>
      <c r="AE736" s="151">
        <f>Data!$E$122*AE657</f>
        <v>0</v>
      </c>
      <c r="AF736" s="151">
        <f>Data!$E$122*AF657</f>
        <v>0</v>
      </c>
      <c r="AG736" s="151">
        <f>Data!$E$122*AG657</f>
        <v>0</v>
      </c>
      <c r="AH736" s="151">
        <f>Data!$E$122*AH657</f>
        <v>0</v>
      </c>
      <c r="AI736" s="151">
        <f>Data!$E$122*AI657</f>
        <v>0</v>
      </c>
      <c r="AJ736" s="151">
        <f>Data!$E$122*AJ657</f>
        <v>0</v>
      </c>
      <c r="AK736" s="151">
        <f>Data!$E$122*AK657</f>
        <v>0</v>
      </c>
      <c r="AL736" s="151">
        <f>Data!$E$122*AL657</f>
        <v>0</v>
      </c>
      <c r="AM736" s="151">
        <f>Data!$E$122*AM657</f>
        <v>0</v>
      </c>
      <c r="AN736" s="151">
        <f>Data!$E$122*AN657</f>
        <v>0</v>
      </c>
      <c r="AO736" s="151">
        <f>Data!$E$122*AO657</f>
        <v>0</v>
      </c>
      <c r="AP736" s="17"/>
    </row>
    <row r="737" spans="1:42" outlineLevel="1" x14ac:dyDescent="0.25">
      <c r="A737" s="12"/>
      <c r="B737" s="13"/>
      <c r="C737" s="44"/>
      <c r="D737" s="44"/>
      <c r="E737" s="15"/>
      <c r="F737" s="16"/>
      <c r="G737" s="14"/>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17"/>
    </row>
    <row r="738" spans="1:42" outlineLevel="1" x14ac:dyDescent="0.25">
      <c r="A738" s="12"/>
      <c r="B738" s="13"/>
      <c r="C738" s="44" t="s">
        <v>398</v>
      </c>
      <c r="D738" s="45"/>
      <c r="E738" s="15"/>
      <c r="F738" s="16"/>
      <c r="G738" s="14"/>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9"/>
    </row>
    <row r="739" spans="1:42" outlineLevel="1" x14ac:dyDescent="0.25">
      <c r="A739" s="12"/>
      <c r="B739" s="13"/>
      <c r="C739" s="45" t="s">
        <v>127</v>
      </c>
      <c r="D739" s="45"/>
      <c r="E739" s="15" t="s">
        <v>475</v>
      </c>
      <c r="F739" s="158" t="str">
        <f>Dashboard!$I$62</f>
        <v>Hilly (Gradient  6%)</v>
      </c>
      <c r="G739" s="14"/>
      <c r="H739" s="62"/>
      <c r="I739" s="181" cm="1">
        <f t="array" ref="I739">INDEX('Control panel'!$E$17:$E$19,MATCH(BEB!$F$739,'Control panel'!$C$17:$C$19,0),0)</f>
        <v>2.0035308778415004</v>
      </c>
      <c r="J739" s="181" cm="1">
        <f t="array" ref="J739">INDEX('Control panel'!$E$17:$E$19,MATCH(BEB!$F$739,'Control panel'!$C$17:$C$19,0),0)</f>
        <v>2.0035308778415004</v>
      </c>
      <c r="K739" s="181" cm="1">
        <f t="array" ref="K739">INDEX('Control panel'!$E$17:$E$19,MATCH(BEB!$F$739,'Control panel'!$C$17:$C$19,0),0)</f>
        <v>2.0035308778415004</v>
      </c>
      <c r="L739" s="181" cm="1">
        <f t="array" ref="L739">INDEX('Control panel'!$E$17:$E$19,MATCH(BEB!$F$739,'Control panel'!$C$17:$C$19,0),0)</f>
        <v>2.0035308778415004</v>
      </c>
      <c r="M739" s="181" cm="1">
        <f t="array" ref="M739">INDEX('Control panel'!$E$17:$E$19,MATCH(BEB!$F$739,'Control panel'!$C$17:$C$19,0),0)</f>
        <v>2.0035308778415004</v>
      </c>
      <c r="N739" s="181" cm="1">
        <f t="array" ref="N739">INDEX('Control panel'!$E$17:$E$19,MATCH(BEB!$F$739,'Control panel'!$C$17:$C$19,0),0)</f>
        <v>2.0035308778415004</v>
      </c>
      <c r="O739" s="181" cm="1">
        <f t="array" ref="O739">INDEX('Control panel'!$E$17:$E$19,MATCH(BEB!$F$739,'Control panel'!$C$17:$C$19,0),0)</f>
        <v>2.0035308778415004</v>
      </c>
      <c r="P739" s="181" cm="1">
        <f t="array" ref="P739">INDEX('Control panel'!$E$17:$E$19,MATCH(BEB!$F$739,'Control panel'!$C$17:$C$19,0),0)</f>
        <v>2.0035308778415004</v>
      </c>
      <c r="Q739" s="181" cm="1">
        <f t="array" ref="Q739">INDEX('Control panel'!$E$17:$E$19,MATCH(BEB!$F$739,'Control panel'!$C$17:$C$19,0),0)</f>
        <v>2.0035308778415004</v>
      </c>
      <c r="R739" s="181" cm="1">
        <f t="array" ref="R739">INDEX('Control panel'!$E$17:$E$19,MATCH(BEB!$F$739,'Control panel'!$C$17:$C$19,0),0)</f>
        <v>2.0035308778415004</v>
      </c>
      <c r="S739" s="181" cm="1">
        <f t="array" ref="S739">INDEX('Control panel'!$E$17:$E$19,MATCH(BEB!$F$739,'Control panel'!$C$17:$C$19,0),0)</f>
        <v>2.0035308778415004</v>
      </c>
      <c r="T739" s="181" cm="1">
        <f t="array" ref="T739">INDEX('Control panel'!$E$17:$E$19,MATCH(BEB!$F$739,'Control panel'!$C$17:$C$19,0),0)</f>
        <v>2.0035308778415004</v>
      </c>
      <c r="U739" s="181" cm="1">
        <f t="array" ref="U739">INDEX('Control panel'!$E$17:$E$19,MATCH(BEB!$F$739,'Control panel'!$C$17:$C$19,0),0)</f>
        <v>2.0035308778415004</v>
      </c>
      <c r="V739" s="181" cm="1">
        <f t="array" ref="V739">INDEX('Control panel'!$E$17:$E$19,MATCH(BEB!$F$739,'Control panel'!$C$17:$C$19,0),0)</f>
        <v>2.0035308778415004</v>
      </c>
      <c r="W739" s="181" cm="1">
        <f t="array" ref="W739">INDEX('Control panel'!$E$17:$E$19,MATCH(BEB!$F$739,'Control panel'!$C$17:$C$19,0),0)</f>
        <v>2.0035308778415004</v>
      </c>
      <c r="X739" s="181" cm="1">
        <f t="array" ref="X739">INDEX('Control panel'!$E$17:$E$19,MATCH(BEB!$F$739,'Control panel'!$C$17:$C$19,0),0)</f>
        <v>2.0035308778415004</v>
      </c>
      <c r="Y739" s="181" cm="1">
        <f t="array" ref="Y739">INDEX('Control panel'!$E$17:$E$19,MATCH(BEB!$F$739,'Control panel'!$C$17:$C$19,0),0)</f>
        <v>2.0035308778415004</v>
      </c>
      <c r="Z739" s="181" cm="1">
        <f t="array" ref="Z739">INDEX('Control panel'!$E$17:$E$19,MATCH(BEB!$F$739,'Control panel'!$C$17:$C$19,0),0)</f>
        <v>2.0035308778415004</v>
      </c>
      <c r="AA739" s="181" cm="1">
        <f t="array" ref="AA739">INDEX('Control panel'!$E$17:$E$19,MATCH(BEB!$F$739,'Control panel'!$C$17:$C$19,0),0)</f>
        <v>2.0035308778415004</v>
      </c>
      <c r="AB739" s="181" cm="1">
        <f t="array" ref="AB739">INDEX('Control panel'!$E$17:$E$19,MATCH(BEB!$F$739,'Control panel'!$C$17:$C$19,0),0)</f>
        <v>2.0035308778415004</v>
      </c>
      <c r="AC739" s="181" cm="1">
        <f t="array" ref="AC739">INDEX('Control panel'!$E$17:$E$19,MATCH(BEB!$F$739,'Control panel'!$C$17:$C$19,0),0)</f>
        <v>2.0035308778415004</v>
      </c>
      <c r="AD739" s="181" cm="1">
        <f t="array" ref="AD739">INDEX('Control panel'!$E$17:$E$19,MATCH(BEB!$F$739,'Control panel'!$C$17:$C$19,0),0)</f>
        <v>2.0035308778415004</v>
      </c>
      <c r="AE739" s="181" cm="1">
        <f t="array" ref="AE739">INDEX('Control panel'!$E$17:$E$19,MATCH(BEB!$F$739,'Control panel'!$C$17:$C$19,0),0)</f>
        <v>2.0035308778415004</v>
      </c>
      <c r="AF739" s="181" cm="1">
        <f t="array" ref="AF739">INDEX('Control panel'!$E$17:$E$19,MATCH(BEB!$F$739,'Control panel'!$C$17:$C$19,0),0)</f>
        <v>2.0035308778415004</v>
      </c>
      <c r="AG739" s="181" cm="1">
        <f t="array" ref="AG739">INDEX('Control panel'!$E$17:$E$19,MATCH(BEB!$F$739,'Control panel'!$C$17:$C$19,0),0)</f>
        <v>2.0035308778415004</v>
      </c>
      <c r="AH739" s="181" cm="1">
        <f t="array" ref="AH739">INDEX('Control panel'!$E$17:$E$19,MATCH(BEB!$F$739,'Control panel'!$C$17:$C$19,0),0)</f>
        <v>2.0035308778415004</v>
      </c>
      <c r="AI739" s="181" cm="1">
        <f t="array" ref="AI739">INDEX('Control panel'!$E$17:$E$19,MATCH(BEB!$F$739,'Control panel'!$C$17:$C$19,0),0)</f>
        <v>2.0035308778415004</v>
      </c>
      <c r="AJ739" s="181" cm="1">
        <f t="array" ref="AJ739">INDEX('Control panel'!$E$17:$E$19,MATCH(BEB!$F$739,'Control panel'!$C$17:$C$19,0),0)</f>
        <v>2.0035308778415004</v>
      </c>
      <c r="AK739" s="181" cm="1">
        <f t="array" ref="AK739">INDEX('Control panel'!$E$17:$E$19,MATCH(BEB!$F$739,'Control panel'!$C$17:$C$19,0),0)</f>
        <v>2.0035308778415004</v>
      </c>
      <c r="AL739" s="181" cm="1">
        <f t="array" ref="AL739">INDEX('Control panel'!$E$17:$E$19,MATCH(BEB!$F$739,'Control panel'!$C$17:$C$19,0),0)</f>
        <v>2.0035308778415004</v>
      </c>
      <c r="AM739" s="181" cm="1">
        <f t="array" ref="AM739">INDEX('Control panel'!$E$17:$E$19,MATCH(BEB!$F$739,'Control panel'!$C$17:$C$19,0),0)</f>
        <v>2.0035308778415004</v>
      </c>
      <c r="AN739" s="181" cm="1">
        <f t="array" ref="AN739">INDEX('Control panel'!$E$17:$E$19,MATCH(BEB!$F$739,'Control panel'!$C$17:$C$19,0),0)</f>
        <v>2.0035308778415004</v>
      </c>
      <c r="AO739" s="181" cm="1">
        <f t="array" ref="AO739">INDEX('Control panel'!$E$17:$E$19,MATCH(BEB!$F$739,'Control panel'!$C$17:$C$19,0),0)</f>
        <v>2.0035308778415004</v>
      </c>
      <c r="AP739" s="29"/>
    </row>
    <row r="740" spans="1:42" outlineLevel="1" x14ac:dyDescent="0.25">
      <c r="A740" s="12"/>
      <c r="B740" s="13"/>
      <c r="C740" s="45" t="s">
        <v>120</v>
      </c>
      <c r="D740" s="45"/>
      <c r="E740" s="15" t="s">
        <v>318</v>
      </c>
      <c r="F740" s="158" t="str">
        <f>Dashboard!$I$63</f>
        <v>3 Axle Double Decker Bus</v>
      </c>
      <c r="G740" s="14"/>
      <c r="H740" s="62"/>
      <c r="I740" s="177">
        <f>IF($C$740=$F$740,I657*Data!$E$129*Data!H$61,0)*(1+I739)*(1+Data!$E$93)</f>
        <v>0</v>
      </c>
      <c r="J740" s="177">
        <f>IF($C$740=$F$740,J657*Data!$E$129*Data!I$61,0)*(1+J739)*(1+Data!$E$93)</f>
        <v>0</v>
      </c>
      <c r="K740" s="177">
        <f>IF($C$740=$F$740,K657*Data!$E$129*Data!J$61,0)*(1+K739)*(1+Data!$E$93)</f>
        <v>0</v>
      </c>
      <c r="L740" s="177">
        <f>IF($C$740=$F$740,L657*Data!$E$129*Data!K$61,0)*(1+L739)*(1+Data!$E$93)</f>
        <v>0</v>
      </c>
      <c r="M740" s="177">
        <f>IF($C$740=$F$740,M657*Data!$E$129*Data!L$61,0)*(1+M739)*(1+Data!$E$93)</f>
        <v>0</v>
      </c>
      <c r="N740" s="177">
        <f>IF($C$740=$F$740,N657*Data!$E$129*Data!M$61,0)*(1+N739)*(1+Data!$E$93)</f>
        <v>0</v>
      </c>
      <c r="O740" s="177">
        <f>IF($C$740=$F$740,O657*Data!$E$129*Data!N$61,0)*(1+O739)*(1+Data!$E$93)</f>
        <v>0</v>
      </c>
      <c r="P740" s="177">
        <f>IF($C$740=$F$740,P657*Data!$E$129*Data!O$61,0)*(1+P739)*(1+Data!$E$93)</f>
        <v>0</v>
      </c>
      <c r="Q740" s="177">
        <f>IF($C$740=$F$740,Q657*Data!$E$129*Data!P$61,0)*(1+Q739)*(1+Data!$E$93)</f>
        <v>0</v>
      </c>
      <c r="R740" s="177">
        <f>IF($C$740=$F$740,R657*Data!$E$129*Data!Q$61,0)*(1+R739)*(1+Data!$E$93)</f>
        <v>0</v>
      </c>
      <c r="S740" s="177">
        <f>IF($C$740=$F$740,S657*Data!$E$129*Data!R$61,0)*(1+S739)*(1+Data!$E$93)</f>
        <v>0</v>
      </c>
      <c r="T740" s="177">
        <f>IF($C$740=$F$740,T657*Data!$E$129*Data!S$61,0)*(1+T739)*(1+Data!$E$93)</f>
        <v>0</v>
      </c>
      <c r="U740" s="177">
        <f>IF($C$740=$F$740,U657*Data!$E$129*Data!T$61,0)*(1+U739)*(1+Data!$E$93)</f>
        <v>0</v>
      </c>
      <c r="V740" s="177">
        <f>IF($C$740=$F$740,V657*Data!$E$129*Data!U$61,0)*(1+V739)*(1+Data!$E$93)</f>
        <v>0</v>
      </c>
      <c r="W740" s="177">
        <f>IF($C$740=$F$740,W657*Data!$E$129*Data!V$61,0)*(1+W739)*(1+Data!$E$93)</f>
        <v>0</v>
      </c>
      <c r="X740" s="177">
        <f>IF($C$740=$F$740,X657*Data!$E$129*Data!W$61,0)*(1+X739)*(1+Data!$E$93)</f>
        <v>0</v>
      </c>
      <c r="Y740" s="177">
        <f>IF($C$740=$F$740,Y657*Data!$E$129*Data!X$61,0)*(1+Y739)*(1+Data!$E$93)</f>
        <v>0</v>
      </c>
      <c r="Z740" s="177">
        <f>IF($C$740=$F$740,Z657*Data!$E$129*Data!Y$61,0)*(1+Z739)*(1+Data!$E$93)</f>
        <v>0</v>
      </c>
      <c r="AA740" s="177">
        <f>IF($C$740=$F$740,AA657*Data!$E$129*Data!Z$61,0)*(1+AA739)*(1+Data!$E$93)</f>
        <v>0</v>
      </c>
      <c r="AB740" s="177">
        <f>IF($C$740=$F$740,AB657*Data!$E$129*Data!AA$61,0)*(1+AB739)*(1+Data!$E$93)</f>
        <v>0</v>
      </c>
      <c r="AC740" s="177">
        <f>IF($C$740=$F$740,AC657*Data!$E$129*Data!AB$61,0)*(1+AC739)*(1+Data!$E$93)</f>
        <v>0</v>
      </c>
      <c r="AD740" s="177">
        <f>IF($C$740=$F$740,AD657*Data!$E$129*Data!AC$61,0)*(1+AD739)*(1+Data!$E$93)</f>
        <v>0</v>
      </c>
      <c r="AE740" s="177">
        <f>IF($C$740=$F$740,AE657*Data!$E$129*Data!AD$61,0)*(1+AE739)*(1+Data!$E$93)</f>
        <v>0</v>
      </c>
      <c r="AF740" s="177">
        <f>IF($C$740=$F$740,AF657*Data!$E$129*Data!AE$61,0)*(1+AF739)*(1+Data!$E$93)</f>
        <v>0</v>
      </c>
      <c r="AG740" s="177">
        <f>IF($C$740=$F$740,AG657*Data!$E$129*Data!AF$61,0)*(1+AG739)*(1+Data!$E$93)</f>
        <v>0</v>
      </c>
      <c r="AH740" s="177">
        <f>IF($C$740=$F$740,AH657*Data!$E$129*Data!AG$61,0)*(1+AH739)*(1+Data!$E$93)</f>
        <v>0</v>
      </c>
      <c r="AI740" s="177">
        <f>IF($C$740=$F$740,AI657*Data!$E$129*Data!AH$61,0)*(1+AI739)*(1+Data!$E$93)</f>
        <v>0</v>
      </c>
      <c r="AJ740" s="177">
        <f>IF($C$740=$F$740,AJ657*Data!$E$129*Data!AI$61,0)*(1+AJ739)*(1+Data!$E$93)</f>
        <v>0</v>
      </c>
      <c r="AK740" s="177">
        <f>IF($C$740=$F$740,AK657*Data!$E$129*Data!AJ$61,0)*(1+AK739)*(1+Data!$E$93)</f>
        <v>0</v>
      </c>
      <c r="AL740" s="177">
        <f>IF($C$740=$F$740,AL657*Data!$E$129*Data!AK$61,0)*(1+AL739)*(1+Data!$E$93)</f>
        <v>0</v>
      </c>
      <c r="AM740" s="177">
        <f>IF($C$740=$F$740,AM657*Data!$E$129*Data!AL$61,0)*(1+AM739)*(1+Data!$E$93)</f>
        <v>0</v>
      </c>
      <c r="AN740" s="177">
        <f>IF($C$740=$F$740,AN657*Data!$E$129*Data!AM$61,0)*(1+AN739)*(1+Data!$E$93)</f>
        <v>0</v>
      </c>
      <c r="AO740" s="177">
        <f>IF($C$740=$F$740,AO657*Data!$E$129*Data!AN$61,0)*(1+AO739)*(1+Data!$E$93)</f>
        <v>0</v>
      </c>
      <c r="AP740" s="29"/>
    </row>
    <row r="741" spans="1:42" outlineLevel="1" x14ac:dyDescent="0.25">
      <c r="A741" s="12"/>
      <c r="B741" s="13"/>
      <c r="C741" s="45" t="s">
        <v>124</v>
      </c>
      <c r="D741" s="45"/>
      <c r="E741" s="15" t="s">
        <v>318</v>
      </c>
      <c r="F741" s="158" t="str">
        <f>Dashboard!$I$63</f>
        <v>3 Axle Double Decker Bus</v>
      </c>
      <c r="G741" s="14"/>
      <c r="H741" s="62"/>
      <c r="I741" s="177">
        <f>IF($C$741=$F$741,I657*Data!$E$130*Data!H$61,0)*(1+I739)*(1+Data!$E$93)</f>
        <v>0</v>
      </c>
      <c r="J741" s="177">
        <f>IF($C$741=$F$741,J657*Data!$E$130*Data!I$61,0)*(1+J739)*(1+Data!$E$93)</f>
        <v>0</v>
      </c>
      <c r="K741" s="177">
        <f>IF($C$741=$F$741,K657*Data!$E$130*Data!J$61,0)*(1+K739)*(1+Data!$E$93)</f>
        <v>0</v>
      </c>
      <c r="L741" s="177">
        <f>IF($C$741=$F$741,L657*Data!$E$130*Data!K$61,0)*(1+L739)*(1+Data!$E$93)</f>
        <v>0</v>
      </c>
      <c r="M741" s="177">
        <f>IF($C$741=$F$741,M657*Data!$E$130*Data!L$61,0)*(1+M739)*(1+Data!$E$93)</f>
        <v>0</v>
      </c>
      <c r="N741" s="177">
        <f>IF($C$741=$F$741,N657*Data!$E$130*Data!M$61,0)*(1+N739)*(1+Data!$E$93)</f>
        <v>0</v>
      </c>
      <c r="O741" s="177">
        <f>IF($C$741=$F$741,O657*Data!$E$130*Data!N$61,0)*(1+O739)*(1+Data!$E$93)</f>
        <v>0</v>
      </c>
      <c r="P741" s="177">
        <f>IF($C$741=$F$741,P657*Data!$E$130*Data!O$61,0)*(1+P739)*(1+Data!$E$93)</f>
        <v>0</v>
      </c>
      <c r="Q741" s="177">
        <f>IF($C$741=$F$741,Q657*Data!$E$130*Data!P$61,0)*(1+Q739)*(1+Data!$E$93)</f>
        <v>0</v>
      </c>
      <c r="R741" s="177">
        <f>IF($C$741=$F$741,R657*Data!$E$130*Data!Q$61,0)*(1+R739)*(1+Data!$E$93)</f>
        <v>0</v>
      </c>
      <c r="S741" s="177">
        <f>IF($C$741=$F$741,S657*Data!$E$130*Data!R$61,0)*(1+S739)*(1+Data!$E$93)</f>
        <v>0</v>
      </c>
      <c r="T741" s="177">
        <f>IF($C$741=$F$741,T657*Data!$E$130*Data!S$61,0)*(1+T739)*(1+Data!$E$93)</f>
        <v>0</v>
      </c>
      <c r="U741" s="177">
        <f>IF($C$741=$F$741,U657*Data!$E$130*Data!T$61,0)*(1+U739)*(1+Data!$E$93)</f>
        <v>0</v>
      </c>
      <c r="V741" s="177">
        <f>IF($C$741=$F$741,V657*Data!$E$130*Data!U$61,0)*(1+V739)*(1+Data!$E$93)</f>
        <v>0</v>
      </c>
      <c r="W741" s="177">
        <f>IF($C$741=$F$741,W657*Data!$E$130*Data!V$61,0)*(1+W739)*(1+Data!$E$93)</f>
        <v>0</v>
      </c>
      <c r="X741" s="177">
        <f>IF($C$741=$F$741,X657*Data!$E$130*Data!W$61,0)*(1+X739)*(1+Data!$E$93)</f>
        <v>0</v>
      </c>
      <c r="Y741" s="177">
        <f>IF($C$741=$F$741,Y657*Data!$E$130*Data!X$61,0)*(1+Y739)*(1+Data!$E$93)</f>
        <v>0</v>
      </c>
      <c r="Z741" s="177">
        <f>IF($C$741=$F$741,Z657*Data!$E$130*Data!Y$61,0)*(1+Z739)*(1+Data!$E$93)</f>
        <v>0</v>
      </c>
      <c r="AA741" s="177">
        <f>IF($C$741=$F$741,AA657*Data!$E$130*Data!Z$61,0)*(1+AA739)*(1+Data!$E$93)</f>
        <v>0</v>
      </c>
      <c r="AB741" s="177">
        <f>IF($C$741=$F$741,AB657*Data!$E$130*Data!AA$61,0)*(1+AB739)*(1+Data!$E$93)</f>
        <v>0</v>
      </c>
      <c r="AC741" s="177">
        <f>IF($C$741=$F$741,AC657*Data!$E$130*Data!AB$61,0)*(1+AC739)*(1+Data!$E$93)</f>
        <v>0</v>
      </c>
      <c r="AD741" s="177">
        <f>IF($C$741=$F$741,AD657*Data!$E$130*Data!AC$61,0)*(1+AD739)*(1+Data!$E$93)</f>
        <v>0</v>
      </c>
      <c r="AE741" s="177">
        <f>IF($C$741=$F$741,AE657*Data!$E$130*Data!AD$61,0)*(1+AE739)*(1+Data!$E$93)</f>
        <v>0</v>
      </c>
      <c r="AF741" s="177">
        <f>IF($C$741=$F$741,AF657*Data!$E$130*Data!AE$61,0)*(1+AF739)*(1+Data!$E$93)</f>
        <v>0</v>
      </c>
      <c r="AG741" s="177">
        <f>IF($C$741=$F$741,AG657*Data!$E$130*Data!AF$61,0)*(1+AG739)*(1+Data!$E$93)</f>
        <v>0</v>
      </c>
      <c r="AH741" s="177">
        <f>IF($C$741=$F$741,AH657*Data!$E$130*Data!AG$61,0)*(1+AH739)*(1+Data!$E$93)</f>
        <v>0</v>
      </c>
      <c r="AI741" s="177">
        <f>IF($C$741=$F$741,AI657*Data!$E$130*Data!AH$61,0)*(1+AI739)*(1+Data!$E$93)</f>
        <v>0</v>
      </c>
      <c r="AJ741" s="177">
        <f>IF($C$741=$F$741,AJ657*Data!$E$130*Data!AI$61,0)*(1+AJ739)*(1+Data!$E$93)</f>
        <v>0</v>
      </c>
      <c r="AK741" s="177">
        <f>IF($C$741=$F$741,AK657*Data!$E$130*Data!AJ$61,0)*(1+AK739)*(1+Data!$E$93)</f>
        <v>0</v>
      </c>
      <c r="AL741" s="177">
        <f>IF($C$741=$F$741,AL657*Data!$E$130*Data!AK$61,0)*(1+AL739)*(1+Data!$E$93)</f>
        <v>0</v>
      </c>
      <c r="AM741" s="177">
        <f>IF($C$741=$F$741,AM657*Data!$E$130*Data!AL$61,0)*(1+AM739)*(1+Data!$E$93)</f>
        <v>0</v>
      </c>
      <c r="AN741" s="177">
        <f>IF($C$741=$F$741,AN657*Data!$E$130*Data!AM$61,0)*(1+AN739)*(1+Data!$E$93)</f>
        <v>0</v>
      </c>
      <c r="AO741" s="177">
        <f>IF($C$741=$F$741,AO657*Data!$E$130*Data!AN$61,0)*(1+AO739)*(1+Data!$E$93)</f>
        <v>0</v>
      </c>
      <c r="AP741" s="29"/>
    </row>
    <row r="742" spans="1:42" outlineLevel="1" x14ac:dyDescent="0.25">
      <c r="A742" s="12"/>
      <c r="B742" s="13"/>
      <c r="C742" s="45" t="s">
        <v>126</v>
      </c>
      <c r="D742" s="45"/>
      <c r="E742" s="15" t="s">
        <v>318</v>
      </c>
      <c r="F742" s="158" t="str">
        <f>Dashboard!$I$63</f>
        <v>3 Axle Double Decker Bus</v>
      </c>
      <c r="G742" s="14"/>
      <c r="H742" s="62"/>
      <c r="I742" s="177">
        <f>IF($C$742=$F$742,I657*Data!$E$131*Data!H$61,0)*(1+I739)*(1+Data!$E$93)</f>
        <v>311318.20722393208</v>
      </c>
      <c r="J742" s="177">
        <f>IF($C$742=$F$742,J657*Data!$E$131*Data!I$61,0)*(1+J739)*(1+Data!$E$93)</f>
        <v>248699.82419059781</v>
      </c>
      <c r="K742" s="177">
        <f>IF($C$742=$F$742,K657*Data!$E$131*Data!J$61,0)*(1+K739)*(1+Data!$E$93)</f>
        <v>248699.82419059781</v>
      </c>
      <c r="L742" s="177">
        <f>IF($C$742=$F$742,L657*Data!$E$131*Data!K$61,0)*(1+L739)*(1+Data!$E$93)</f>
        <v>248699.82419059781</v>
      </c>
      <c r="M742" s="177">
        <f>IF($C$742=$F$742,M657*Data!$E$131*Data!L$61,0)*(1+M739)*(1+Data!$E$93)</f>
        <v>248699.82419059781</v>
      </c>
      <c r="N742" s="177">
        <f>IF($C$742=$F$742,N657*Data!$E$131*Data!M$61,0)*(1+N739)*(1+Data!$E$93)</f>
        <v>248699.82419059781</v>
      </c>
      <c r="O742" s="177">
        <f>IF($C$742=$F$742,O657*Data!$E$131*Data!N$61,0)*(1+O739)*(1+Data!$E$93)</f>
        <v>248699.82419059781</v>
      </c>
      <c r="P742" s="177">
        <f>IF($C$742=$F$742,P657*Data!$E$131*Data!O$61,0)*(1+P739)*(1+Data!$E$93)</f>
        <v>248699.82419059781</v>
      </c>
      <c r="Q742" s="177">
        <f>IF($C$742=$F$742,Q657*Data!$E$131*Data!P$61,0)*(1+Q739)*(1+Data!$E$93)</f>
        <v>248699.82419059781</v>
      </c>
      <c r="R742" s="177">
        <f>IF($C$742=$F$742,R657*Data!$E$131*Data!Q$61,0)*(1+R739)*(1+Data!$E$93)</f>
        <v>248699.82419059781</v>
      </c>
      <c r="S742" s="177">
        <f>IF($C$742=$F$742,S657*Data!$E$131*Data!R$61,0)*(1+S739)*(1+Data!$E$93)</f>
        <v>248699.82419059781</v>
      </c>
      <c r="T742" s="177">
        <f>IF($C$742=$F$742,T657*Data!$E$131*Data!S$61,0)*(1+T739)*(1+Data!$E$93)</f>
        <v>248699.82419059781</v>
      </c>
      <c r="U742" s="177">
        <f>IF($C$742=$F$742,U657*Data!$E$131*Data!T$61,0)*(1+U739)*(1+Data!$E$93)</f>
        <v>0</v>
      </c>
      <c r="V742" s="177">
        <f>IF($C$742=$F$742,V657*Data!$E$131*Data!U$61,0)*(1+V739)*(1+Data!$E$93)</f>
        <v>0</v>
      </c>
      <c r="W742" s="177">
        <f>IF($C$742=$F$742,W657*Data!$E$131*Data!V$61,0)*(1+W739)*(1+Data!$E$93)</f>
        <v>0</v>
      </c>
      <c r="X742" s="177">
        <f>IF($C$742=$F$742,X657*Data!$E$131*Data!W$61,0)*(1+X739)*(1+Data!$E$93)</f>
        <v>0</v>
      </c>
      <c r="Y742" s="177">
        <f>IF($C$742=$F$742,Y657*Data!$E$131*Data!X$61,0)*(1+Y739)*(1+Data!$E$93)</f>
        <v>0</v>
      </c>
      <c r="Z742" s="177">
        <f>IF($C$742=$F$742,Z657*Data!$E$131*Data!Y$61,0)*(1+Z739)*(1+Data!$E$93)</f>
        <v>0</v>
      </c>
      <c r="AA742" s="177">
        <f>IF($C$742=$F$742,AA657*Data!$E$131*Data!Z$61,0)*(1+AA739)*(1+Data!$E$93)</f>
        <v>0</v>
      </c>
      <c r="AB742" s="177">
        <f>IF($C$742=$F$742,AB657*Data!$E$131*Data!AA$61,0)*(1+AB739)*(1+Data!$E$93)</f>
        <v>0</v>
      </c>
      <c r="AC742" s="177">
        <f>IF($C$742=$F$742,AC657*Data!$E$131*Data!AB$61,0)*(1+AC739)*(1+Data!$E$93)</f>
        <v>0</v>
      </c>
      <c r="AD742" s="177">
        <f>IF($C$742=$F$742,AD657*Data!$E$131*Data!AC$61,0)*(1+AD739)*(1+Data!$E$93)</f>
        <v>0</v>
      </c>
      <c r="AE742" s="177">
        <f>IF($C$742=$F$742,AE657*Data!$E$131*Data!AD$61,0)*(1+AE739)*(1+Data!$E$93)</f>
        <v>0</v>
      </c>
      <c r="AF742" s="177">
        <f>IF($C$742=$F$742,AF657*Data!$E$131*Data!AE$61,0)*(1+AF739)*(1+Data!$E$93)</f>
        <v>0</v>
      </c>
      <c r="AG742" s="177">
        <f>IF($C$742=$F$742,AG657*Data!$E$131*Data!AF$61,0)*(1+AG739)*(1+Data!$E$93)</f>
        <v>0</v>
      </c>
      <c r="AH742" s="177">
        <f>IF($C$742=$F$742,AH657*Data!$E$131*Data!AG$61,0)*(1+AH739)*(1+Data!$E$93)</f>
        <v>0</v>
      </c>
      <c r="AI742" s="177">
        <f>IF($C$742=$F$742,AI657*Data!$E$131*Data!AH$61,0)*(1+AI739)*(1+Data!$E$93)</f>
        <v>0</v>
      </c>
      <c r="AJ742" s="177">
        <f>IF($C$742=$F$742,AJ657*Data!$E$131*Data!AI$61,0)*(1+AJ739)*(1+Data!$E$93)</f>
        <v>0</v>
      </c>
      <c r="AK742" s="177">
        <f>IF($C$742=$F$742,AK657*Data!$E$131*Data!AJ$61,0)*(1+AK739)*(1+Data!$E$93)</f>
        <v>0</v>
      </c>
      <c r="AL742" s="177">
        <f>IF($C$742=$F$742,AL657*Data!$E$131*Data!AK$61,0)*(1+AL739)*(1+Data!$E$93)</f>
        <v>0</v>
      </c>
      <c r="AM742" s="177">
        <f>IF($C$742=$F$742,AM657*Data!$E$131*Data!AL$61,0)*(1+AM739)*(1+Data!$E$93)</f>
        <v>0</v>
      </c>
      <c r="AN742" s="177">
        <f>IF($C$742=$F$742,AN657*Data!$E$131*Data!AM$61,0)*(1+AN739)*(1+Data!$E$93)</f>
        <v>0</v>
      </c>
      <c r="AO742" s="177">
        <f>IF($C$742=$F$742,AO657*Data!$E$131*Data!AN$61,0)*(1+AO739)*(1+Data!$E$93)</f>
        <v>0</v>
      </c>
      <c r="AP742" s="17"/>
    </row>
    <row r="743" spans="1:42" outlineLevel="1" x14ac:dyDescent="0.25">
      <c r="A743" s="12"/>
      <c r="B743" s="13"/>
      <c r="C743" s="19" t="s">
        <v>476</v>
      </c>
      <c r="D743" s="45"/>
      <c r="E743" s="15"/>
      <c r="F743" s="158"/>
      <c r="G743" s="14"/>
      <c r="H743" s="28"/>
      <c r="I743" s="182">
        <f>SUM(I731:I733)+I736+I735+SUM(I740:I742)</f>
        <v>505508.79008107493</v>
      </c>
      <c r="J743" s="182">
        <f t="shared" ref="J743:AN743" si="185">SUM(J731:J733)+J736+J735+SUM(J740:J742)</f>
        <v>442890.40704774065</v>
      </c>
      <c r="K743" s="182">
        <f t="shared" si="185"/>
        <v>442890.40704774065</v>
      </c>
      <c r="L743" s="182">
        <f t="shared" si="185"/>
        <v>442890.40704774065</v>
      </c>
      <c r="M743" s="182">
        <f t="shared" si="185"/>
        <v>442890.40704774065</v>
      </c>
      <c r="N743" s="182">
        <f t="shared" si="185"/>
        <v>442890.40704774065</v>
      </c>
      <c r="O743" s="182">
        <f t="shared" si="185"/>
        <v>442890.40704774065</v>
      </c>
      <c r="P743" s="182">
        <f t="shared" si="185"/>
        <v>442890.40704774065</v>
      </c>
      <c r="Q743" s="182">
        <f t="shared" si="185"/>
        <v>442890.40704774065</v>
      </c>
      <c r="R743" s="182">
        <f t="shared" si="185"/>
        <v>442890.40704774065</v>
      </c>
      <c r="S743" s="182">
        <f t="shared" si="185"/>
        <v>442890.40704774065</v>
      </c>
      <c r="T743" s="182">
        <f t="shared" si="185"/>
        <v>442890.40704774065</v>
      </c>
      <c r="U743" s="182">
        <f t="shared" si="185"/>
        <v>0</v>
      </c>
      <c r="V743" s="182">
        <f t="shared" si="185"/>
        <v>0</v>
      </c>
      <c r="W743" s="182">
        <f t="shared" si="185"/>
        <v>0</v>
      </c>
      <c r="X743" s="182">
        <f t="shared" si="185"/>
        <v>0</v>
      </c>
      <c r="Y743" s="182">
        <f t="shared" si="185"/>
        <v>0</v>
      </c>
      <c r="Z743" s="182">
        <f t="shared" si="185"/>
        <v>0</v>
      </c>
      <c r="AA743" s="182">
        <f t="shared" si="185"/>
        <v>0</v>
      </c>
      <c r="AB743" s="182">
        <f t="shared" si="185"/>
        <v>0</v>
      </c>
      <c r="AC743" s="182">
        <f t="shared" si="185"/>
        <v>0</v>
      </c>
      <c r="AD743" s="182">
        <f t="shared" si="185"/>
        <v>0</v>
      </c>
      <c r="AE743" s="182">
        <f t="shared" si="185"/>
        <v>0</v>
      </c>
      <c r="AF743" s="182">
        <f t="shared" si="185"/>
        <v>0</v>
      </c>
      <c r="AG743" s="182">
        <f t="shared" si="185"/>
        <v>0</v>
      </c>
      <c r="AH743" s="182">
        <f t="shared" si="185"/>
        <v>0</v>
      </c>
      <c r="AI743" s="182">
        <f t="shared" si="185"/>
        <v>0</v>
      </c>
      <c r="AJ743" s="182">
        <f t="shared" si="185"/>
        <v>0</v>
      </c>
      <c r="AK743" s="182">
        <f t="shared" si="185"/>
        <v>0</v>
      </c>
      <c r="AL743" s="182">
        <f t="shared" si="185"/>
        <v>0</v>
      </c>
      <c r="AM743" s="182">
        <f t="shared" si="185"/>
        <v>0</v>
      </c>
      <c r="AN743" s="182">
        <f t="shared" si="185"/>
        <v>0</v>
      </c>
      <c r="AO743" s="182">
        <f>SUM(AO731:AO733)+AO736+AO735+SUM(AO740:AO742)</f>
        <v>0</v>
      </c>
      <c r="AP743" s="29"/>
    </row>
    <row r="744" spans="1:42" outlineLevel="1" x14ac:dyDescent="0.25">
      <c r="A744" s="12"/>
      <c r="B744" s="13"/>
      <c r="C744" s="96"/>
      <c r="D744" s="45"/>
      <c r="E744" s="15"/>
      <c r="F744" s="158"/>
      <c r="G744" s="14"/>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9"/>
    </row>
    <row r="745" spans="1:42" outlineLevel="1" x14ac:dyDescent="0.25">
      <c r="A745" s="12"/>
      <c r="B745" s="13"/>
      <c r="C745" s="37" t="s">
        <v>477</v>
      </c>
      <c r="D745" s="37"/>
      <c r="E745" s="38"/>
      <c r="F745" s="39"/>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17"/>
    </row>
    <row r="746" spans="1:42" s="140" customFormat="1" x14ac:dyDescent="0.25">
      <c r="A746" s="78"/>
      <c r="B746" s="19"/>
      <c r="C746" s="44" t="s">
        <v>249</v>
      </c>
      <c r="D746" s="44"/>
      <c r="E746" s="21" t="s">
        <v>142</v>
      </c>
      <c r="F746" s="375" t="str">
        <f>Dashboard!I63</f>
        <v>3 Axle Double Decker Bus</v>
      </c>
      <c r="G746" s="20"/>
      <c r="H746" s="49"/>
      <c r="I746" s="182">
        <f>-IF(COUNT($I$3:I$3)=(Dashboard!$I$31+1),INDEX(Data!$E$99:$E$101,MATCH($F$746,Data!$B$99:$B$101,0)),0)</f>
        <v>0</v>
      </c>
      <c r="J746" s="182">
        <f>-IF(COUNT($I$3:J$3)=(Dashboard!$I$31+1),INDEX(Data!$E$99:$E$101,MATCH($F$746,Data!$B$99:$B$101,0)),0)</f>
        <v>0</v>
      </c>
      <c r="K746" s="182">
        <f>-IF(COUNT($I$3:K$3)=(Dashboard!$I$31+1),INDEX(Data!$E$99:$E$101,MATCH($F$746,Data!$B$99:$B$101,0)),0)</f>
        <v>0</v>
      </c>
      <c r="L746" s="182">
        <f>-IF(COUNT($I$3:L$3)=(Dashboard!$I$31+1),INDEX(Data!$E$99:$E$101,MATCH($F$746,Data!$B$99:$B$101,0)),0)</f>
        <v>0</v>
      </c>
      <c r="M746" s="182">
        <f>-IF(COUNT($I$3:M$3)=(Dashboard!$I$31+1),INDEX(Data!$E$99:$E$101,MATCH($F$746,Data!$B$99:$B$101,0)),0)</f>
        <v>0</v>
      </c>
      <c r="N746" s="182">
        <f>-IF(COUNT($I$3:N$3)=(Dashboard!$I$31+1),INDEX(Data!$E$99:$E$101,MATCH($F$746,Data!$B$99:$B$101,0)),0)</f>
        <v>0</v>
      </c>
      <c r="O746" s="182">
        <f>-IF(COUNT($I$3:O$3)=(Dashboard!$I$31+1),INDEX(Data!$E$99:$E$101,MATCH($F$746,Data!$B$99:$B$101,0)),0)</f>
        <v>0</v>
      </c>
      <c r="P746" s="182">
        <f>-IF(COUNT($I$3:P$3)=(Dashboard!$I$31+1),INDEX(Data!$E$99:$E$101,MATCH($F$746,Data!$B$99:$B$101,0)),0)</f>
        <v>0</v>
      </c>
      <c r="Q746" s="182">
        <f>-IF(COUNT($I$3:Q$3)=(Dashboard!$I$31+1),INDEX(Data!$E$99:$E$101,MATCH($F$746,Data!$B$99:$B$101,0)),0)</f>
        <v>0</v>
      </c>
      <c r="R746" s="182">
        <f>-IF(COUNT($I$3:R$3)=(Dashboard!$I$31+1),INDEX(Data!$E$99:$E$101,MATCH($F$746,Data!$B$99:$B$101,0)),0)</f>
        <v>0</v>
      </c>
      <c r="S746" s="182">
        <f>-IF(COUNT($I$3:S$3)=(Dashboard!$I$31+1),INDEX(Data!$E$99:$E$101,MATCH($F$746,Data!$B$99:$B$101,0)),0)</f>
        <v>0</v>
      </c>
      <c r="T746" s="182">
        <f>-IF(COUNT($I$3:T$3)=(Dashboard!$I$31+1),INDEX(Data!$E$99:$E$101,MATCH($F$746,Data!$B$99:$B$101,0)),0)</f>
        <v>0</v>
      </c>
      <c r="U746" s="182">
        <f>-IF(COUNT($I$3:U$3)=(Dashboard!$I$31+1),INDEX(Data!$E$99:$E$101,MATCH($F$746,Data!$B$99:$B$101,0)),0)</f>
        <v>-105000</v>
      </c>
      <c r="V746" s="182">
        <f>-IF(COUNT($I$3:V$3)=(Dashboard!$I$31+1),INDEX(Data!$E$99:$E$101,MATCH($F$746,Data!$B$99:$B$101,0)),0)</f>
        <v>0</v>
      </c>
      <c r="W746" s="182">
        <f>-IF(COUNT($I$3:W$3)=(Dashboard!$I$31+1),INDEX(Data!$E$99:$E$101,MATCH($F$746,Data!$B$99:$B$101,0)),0)</f>
        <v>0</v>
      </c>
      <c r="X746" s="182">
        <f>-IF(COUNT($I$3:X$3)=(Dashboard!$I$31+1),INDEX(Data!$E$99:$E$101,MATCH($F$746,Data!$B$99:$B$101,0)),0)</f>
        <v>0</v>
      </c>
      <c r="Y746" s="182">
        <f>-IF(COUNT($I$3:Y$3)=(Dashboard!$I$31+1),INDEX(Data!$E$99:$E$101,MATCH($F$746,Data!$B$99:$B$101,0)),0)</f>
        <v>0</v>
      </c>
      <c r="Z746" s="182">
        <f>-IF(COUNT($I$3:Z$3)=(Dashboard!$I$31+1),INDEX(Data!$E$99:$E$101,MATCH($F$746,Data!$B$99:$B$101,0)),0)</f>
        <v>0</v>
      </c>
      <c r="AA746" s="182">
        <f>-IF(COUNT($I$3:AA$3)=(Dashboard!$I$31+1),INDEX(Data!$E$99:$E$101,MATCH($F$746,Data!$B$99:$B$101,0)),0)</f>
        <v>0</v>
      </c>
      <c r="AB746" s="182">
        <f>-IF(COUNT($I$3:AB$3)=(Dashboard!$I$31+1),INDEX(Data!$E$99:$E$101,MATCH($F$746,Data!$B$99:$B$101,0)),0)</f>
        <v>0</v>
      </c>
      <c r="AC746" s="182">
        <f>-IF(COUNT($I$3:AC$3)=(Dashboard!$I$31+1),INDEX(Data!$E$99:$E$101,MATCH($F$746,Data!$B$99:$B$101,0)),0)</f>
        <v>0</v>
      </c>
      <c r="AD746" s="182">
        <f>-IF(COUNT($I$3:AD$3)=(Dashboard!$I$31+1),INDEX(Data!$E$99:$E$101,MATCH($F$746,Data!$B$99:$B$101,0)),0)</f>
        <v>0</v>
      </c>
      <c r="AE746" s="182">
        <f>-IF(COUNT($I$3:AE$3)=(Dashboard!$I$31+1),INDEX(Data!$E$99:$E$101,MATCH($F$746,Data!$B$99:$B$101,0)),0)</f>
        <v>0</v>
      </c>
      <c r="AF746" s="182">
        <f>-IF(COUNT($I$3:AF$3)=(Dashboard!$I$31+1),INDEX(Data!$E$99:$E$101,MATCH($F$746,Data!$B$99:$B$101,0)),0)</f>
        <v>0</v>
      </c>
      <c r="AG746" s="182">
        <f>-IF(COUNT($I$3:AG$3)=(Dashboard!$I$31+1),INDEX(Data!$E$99:$E$101,MATCH($F$746,Data!$B$99:$B$101,0)),0)</f>
        <v>0</v>
      </c>
      <c r="AH746" s="182">
        <f>-IF(COUNT($I$3:AH$3)=(Dashboard!$I$31+1),INDEX(Data!$E$99:$E$101,MATCH($F$746,Data!$B$99:$B$101,0)),0)</f>
        <v>0</v>
      </c>
      <c r="AI746" s="182">
        <f>-IF(COUNT($I$3:AI$3)=(Dashboard!$I$31+1),INDEX(Data!$E$99:$E$101,MATCH($F$746,Data!$B$99:$B$101,0)),0)</f>
        <v>0</v>
      </c>
      <c r="AJ746" s="182">
        <f>-IF(COUNT($I$3:AJ$3)=(Dashboard!$I$31+1),INDEX(Data!$E$99:$E$101,MATCH($F$746,Data!$B$99:$B$101,0)),0)</f>
        <v>0</v>
      </c>
      <c r="AK746" s="182">
        <f>-IF(COUNT($I$3:AK$3)=(Dashboard!$I$31+1),INDEX(Data!$E$99:$E$101,MATCH($F$746,Data!$B$99:$B$101,0)),0)</f>
        <v>0</v>
      </c>
      <c r="AL746" s="182">
        <f>-IF(COUNT($I$3:AL$3)=(Dashboard!$I$31+1),INDEX(Data!$E$99:$E$101,MATCH($F$746,Data!$B$99:$B$101,0)),0)</f>
        <v>0</v>
      </c>
      <c r="AM746" s="182">
        <f>-IF(COUNT($I$3:AM$3)=(Dashboard!$I$31+1),INDEX(Data!$E$99:$E$101,MATCH($F$746,Data!$B$99:$B$101,0)),0)</f>
        <v>0</v>
      </c>
      <c r="AN746" s="182">
        <f>-IF(COUNT($I$3:AN$3)=(Dashboard!$I$31+1),INDEX(Data!$E$99:$E$101,MATCH($F$746,Data!$B$99:$B$101,0)),0)</f>
        <v>0</v>
      </c>
      <c r="AO746" s="182">
        <f>-IF(COUNT($I$3:AO$3)=(Dashboard!$I$31+1),INDEX(Data!$E$99:$E$101,MATCH($F$746,Data!$B$99:$B$101,0)),0)</f>
        <v>0</v>
      </c>
      <c r="AP746" s="182">
        <f>-IF(COUNT($I$3:AP$3)=(Dashboard!$I$31+1),INDEX(Data!$E$99:$E$101,MATCH($F$746,Data!$B$99:$B$101,0)),0)</f>
        <v>0</v>
      </c>
    </row>
    <row r="747" spans="1:42" outlineLevel="1" x14ac:dyDescent="0.25">
      <c r="A747" s="12"/>
      <c r="B747" s="13"/>
      <c r="C747" s="96"/>
      <c r="D747" s="45"/>
      <c r="E747" s="15"/>
      <c r="F747" s="16"/>
      <c r="G747" s="14"/>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9"/>
    </row>
    <row r="748" spans="1:42" outlineLevel="1" x14ac:dyDescent="0.25">
      <c r="A748" s="12"/>
      <c r="B748" s="13"/>
      <c r="C748" s="37" t="s">
        <v>479</v>
      </c>
      <c r="D748" s="37"/>
      <c r="E748" s="38"/>
      <c r="F748" s="39"/>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17"/>
    </row>
    <row r="749" spans="1:42" outlineLevel="1" x14ac:dyDescent="0.25">
      <c r="A749" s="12"/>
      <c r="B749" s="13"/>
      <c r="C749" s="14" t="s">
        <v>479</v>
      </c>
      <c r="D749" s="14"/>
      <c r="E749" s="15" t="s">
        <v>318</v>
      </c>
      <c r="F749" s="16"/>
      <c r="G749" s="14"/>
      <c r="H749" s="165"/>
      <c r="I749" s="165">
        <f>I705+I724+I743-I727+I746</f>
        <v>505508.79008107493</v>
      </c>
      <c r="J749" s="165">
        <f t="shared" ref="J749:AO749" si="186">J705+J724+J743-J727+J746</f>
        <v>442890.40704774065</v>
      </c>
      <c r="K749" s="165">
        <f t="shared" si="186"/>
        <v>442890.40704774065</v>
      </c>
      <c r="L749" s="165">
        <f t="shared" si="186"/>
        <v>442890.40704774065</v>
      </c>
      <c r="M749" s="165">
        <f t="shared" si="186"/>
        <v>442890.40704774065</v>
      </c>
      <c r="N749" s="165">
        <f t="shared" si="186"/>
        <v>442890.40704774065</v>
      </c>
      <c r="O749" s="165">
        <f t="shared" si="186"/>
        <v>442890.40704774065</v>
      </c>
      <c r="P749" s="165">
        <f t="shared" si="186"/>
        <v>442890.40704774065</v>
      </c>
      <c r="Q749" s="165">
        <f t="shared" si="186"/>
        <v>442890.40704774065</v>
      </c>
      <c r="R749" s="165">
        <f t="shared" si="186"/>
        <v>442890.40704774065</v>
      </c>
      <c r="S749" s="165">
        <f t="shared" si="186"/>
        <v>442890.40704774065</v>
      </c>
      <c r="T749" s="165">
        <f t="shared" si="186"/>
        <v>527030.48309261957</v>
      </c>
      <c r="U749" s="165">
        <f>U705+U724+U743-U727+U746</f>
        <v>79163.195734364213</v>
      </c>
      <c r="V749" s="165">
        <f t="shared" si="186"/>
        <v>184127.25752885744</v>
      </c>
      <c r="W749" s="165">
        <f t="shared" si="186"/>
        <v>184089.77184465027</v>
      </c>
      <c r="X749" s="165">
        <f t="shared" si="186"/>
        <v>184053.4612916265</v>
      </c>
      <c r="Y749" s="165">
        <f t="shared" si="186"/>
        <v>184019.47398651455</v>
      </c>
      <c r="Z749" s="165">
        <f t="shared" si="186"/>
        <v>183987.80786097836</v>
      </c>
      <c r="AA749" s="165">
        <f t="shared" si="186"/>
        <v>183958.04104023054</v>
      </c>
      <c r="AB749" s="165">
        <f t="shared" si="186"/>
        <v>183929.7596506438</v>
      </c>
      <c r="AC749" s="165">
        <f t="shared" si="186"/>
        <v>195714.11102413226</v>
      </c>
      <c r="AD749" s="165">
        <f t="shared" si="186"/>
        <v>195686.99077309732</v>
      </c>
      <c r="AE749" s="165">
        <f t="shared" si="186"/>
        <v>195660.06146014412</v>
      </c>
      <c r="AF749" s="165">
        <f t="shared" si="186"/>
        <v>195632.0674377809</v>
      </c>
      <c r="AG749" s="165">
        <f t="shared" si="186"/>
        <v>195618.50886970881</v>
      </c>
      <c r="AH749" s="165">
        <f t="shared" si="186"/>
        <v>195604.1709831107</v>
      </c>
      <c r="AI749" s="165">
        <f t="shared" si="186"/>
        <v>195587.30511888175</v>
      </c>
      <c r="AJ749" s="165">
        <f t="shared" si="186"/>
        <v>195568.87283089932</v>
      </c>
      <c r="AK749" s="165">
        <f t="shared" si="186"/>
        <v>195568.87283089932</v>
      </c>
      <c r="AL749" s="165">
        <f t="shared" si="186"/>
        <v>195568.87283089932</v>
      </c>
      <c r="AM749" s="165">
        <f t="shared" si="186"/>
        <v>195568.87283089932</v>
      </c>
      <c r="AN749" s="165">
        <f t="shared" si="186"/>
        <v>99615.474297139779</v>
      </c>
      <c r="AO749" s="165">
        <f t="shared" si="186"/>
        <v>-143000</v>
      </c>
      <c r="AP749" s="29"/>
    </row>
    <row r="750" spans="1:42" s="140" customFormat="1" outlineLevel="1" x14ac:dyDescent="0.25">
      <c r="A750" s="78"/>
      <c r="B750" s="19"/>
      <c r="C750" s="20" t="s">
        <v>480</v>
      </c>
      <c r="D750" s="20"/>
      <c r="E750" s="21" t="s">
        <v>318</v>
      </c>
      <c r="F750" s="48"/>
      <c r="G750" s="20"/>
      <c r="H750" s="182"/>
      <c r="I750" s="182">
        <f>I749*Data!H$9</f>
        <v>486066.14430872584</v>
      </c>
      <c r="J750" s="182">
        <f>J749*Data!I$9</f>
        <v>409477.07752194954</v>
      </c>
      <c r="K750" s="182">
        <f>K749*Data!J$9</f>
        <v>393727.95915572072</v>
      </c>
      <c r="L750" s="182">
        <f>L749*Data!K$9</f>
        <v>378584.57611126988</v>
      </c>
      <c r="M750" s="182">
        <f>M749*Data!L$9</f>
        <v>364023.630876221</v>
      </c>
      <c r="N750" s="182">
        <f>N749*Data!M$9</f>
        <v>350022.72199636634</v>
      </c>
      <c r="O750" s="182">
        <f>O749*Data!N$9</f>
        <v>336560.30961189076</v>
      </c>
      <c r="P750" s="182">
        <f>P749*Data!O$9</f>
        <v>323615.68231912568</v>
      </c>
      <c r="Q750" s="182">
        <f>Q749*Data!P$9</f>
        <v>311168.92530685157</v>
      </c>
      <c r="R750" s="182">
        <f>R749*Data!Q$9</f>
        <v>299200.88971812651</v>
      </c>
      <c r="S750" s="182">
        <f>S749*Data!R$9</f>
        <v>287693.16319050628</v>
      </c>
      <c r="T750" s="182">
        <f>T749*Data!S$9</f>
        <v>329181.68477840658</v>
      </c>
      <c r="U750" s="182">
        <f>U749*Data!T$9</f>
        <v>47543.363933666427</v>
      </c>
      <c r="V750" s="182">
        <f>V749*Data!U$9</f>
        <v>106328.90329122893</v>
      </c>
      <c r="W750" s="182">
        <f>W749*Data!V$9</f>
        <v>102218.51561791994</v>
      </c>
      <c r="X750" s="182">
        <f>X749*Data!W$9</f>
        <v>98267.647746876872</v>
      </c>
      <c r="Y750" s="182">
        <f>Y749*Data!X$9</f>
        <v>94470.674660392368</v>
      </c>
      <c r="Z750" s="182">
        <f>Z749*Data!Y$9</f>
        <v>90821.55588340605</v>
      </c>
      <c r="AA750" s="182">
        <f>AA749*Data!Z$9</f>
        <v>87314.290522703683</v>
      </c>
      <c r="AB750" s="182">
        <f>AB749*Data!AA$9</f>
        <v>83943.14132249495</v>
      </c>
      <c r="AC750" s="182">
        <f>AC749*Data!AB$9</f>
        <v>85885.928325773391</v>
      </c>
      <c r="AD750" s="182">
        <f>AD749*Data!AC$9</f>
        <v>82571.179854155213</v>
      </c>
      <c r="AE750" s="182">
        <f>AE749*Data!AD$9</f>
        <v>79384.439312976756</v>
      </c>
      <c r="AF750" s="182">
        <f>AF749*Data!AE$9</f>
        <v>76320.270577815871</v>
      </c>
      <c r="AG750" s="182">
        <f>AG749*Data!AF$9</f>
        <v>73379.789508893809</v>
      </c>
      <c r="AH750" s="182">
        <f>AH749*Data!AG$9</f>
        <v>70552.318391078908</v>
      </c>
      <c r="AI750" s="182">
        <f>AI749*Data!AH$9</f>
        <v>67832.918322545534</v>
      </c>
      <c r="AJ750" s="182">
        <f>AJ749*Data!AI$9</f>
        <v>65217.81317273825</v>
      </c>
      <c r="AK750" s="182">
        <f>AK749*Data!AJ$9</f>
        <v>62709.435743017544</v>
      </c>
      <c r="AL750" s="182">
        <f>AL749*Data!AK$9</f>
        <v>60297.534368286113</v>
      </c>
      <c r="AM750" s="182">
        <f>AM749*Data!AL$9</f>
        <v>57978.398431044327</v>
      </c>
      <c r="AN750" s="182">
        <f>AN749*Data!AM$9</f>
        <v>28396.181901659227</v>
      </c>
      <c r="AO750" s="182">
        <f>AO749*Data!AN$9</f>
        <v>-39195.466758825154</v>
      </c>
      <c r="AP750" s="50"/>
    </row>
    <row r="751" spans="1:42" outlineLevel="1" x14ac:dyDescent="0.25">
      <c r="A751" s="12"/>
      <c r="B751" s="13"/>
      <c r="C751" s="14" t="s">
        <v>479</v>
      </c>
      <c r="D751" s="14"/>
      <c r="E751" s="15" t="s">
        <v>54</v>
      </c>
      <c r="F751" s="16"/>
      <c r="G751" s="159">
        <f>SUM(H750:AO750)</f>
        <v>5751561.5990250092</v>
      </c>
      <c r="H751" s="165"/>
      <c r="I751" s="165"/>
      <c r="J751" s="165"/>
      <c r="K751" s="165"/>
      <c r="L751" s="165"/>
      <c r="M751" s="165"/>
      <c r="N751" s="165"/>
      <c r="O751" s="165"/>
      <c r="P751" s="165"/>
      <c r="Q751" s="165"/>
      <c r="R751" s="165"/>
      <c r="S751" s="165"/>
      <c r="T751" s="165"/>
      <c r="U751" s="165"/>
      <c r="V751" s="165"/>
      <c r="W751" s="28"/>
      <c r="X751" s="28"/>
      <c r="Y751" s="28"/>
      <c r="Z751" s="28"/>
      <c r="AA751" s="28"/>
      <c r="AB751" s="28"/>
      <c r="AC751" s="28"/>
      <c r="AD751" s="28"/>
      <c r="AE751" s="28"/>
      <c r="AF751" s="28"/>
      <c r="AG751" s="28"/>
      <c r="AH751" s="28"/>
      <c r="AI751" s="28"/>
      <c r="AJ751" s="28"/>
      <c r="AK751" s="28"/>
      <c r="AL751" s="28"/>
      <c r="AM751" s="28"/>
      <c r="AN751" s="28"/>
      <c r="AO751" s="28"/>
      <c r="AP751" s="29"/>
    </row>
    <row r="752" spans="1:42" outlineLevel="1" x14ac:dyDescent="0.25">
      <c r="A752" s="12"/>
      <c r="B752" s="13"/>
      <c r="C752" s="44" t="s">
        <v>481</v>
      </c>
      <c r="D752" s="45"/>
      <c r="E752" s="15" t="s">
        <v>261</v>
      </c>
      <c r="F752" s="16"/>
      <c r="G752" s="183">
        <f>G751/((SUM(H657:AO657)+SUM(H659:AO659)))</f>
        <v>1.9202596150590976</v>
      </c>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9"/>
    </row>
    <row r="753" spans="1:42" outlineLevel="1" x14ac:dyDescent="0.25">
      <c r="A753" s="12"/>
      <c r="B753" s="13"/>
      <c r="C753" s="41"/>
      <c r="D753" s="41"/>
      <c r="E753" s="15"/>
      <c r="F753" s="16"/>
      <c r="G753" s="14"/>
      <c r="I753" s="141"/>
      <c r="J753" s="141"/>
      <c r="K753" s="141"/>
      <c r="L753" s="141"/>
      <c r="M753" s="141"/>
      <c r="N753" s="141"/>
      <c r="O753" s="141"/>
      <c r="P753" s="141"/>
      <c r="Q753" s="141"/>
      <c r="R753" s="141"/>
      <c r="S753" s="141"/>
      <c r="T753" s="141"/>
      <c r="U753" s="141"/>
      <c r="V753" s="141"/>
      <c r="W753" s="141"/>
      <c r="X753" s="141"/>
      <c r="Y753" s="141"/>
      <c r="Z753" s="141"/>
      <c r="AA753" s="141"/>
      <c r="AB753" s="141"/>
      <c r="AC753" s="14"/>
      <c r="AD753" s="14"/>
      <c r="AE753" s="14"/>
      <c r="AF753" s="14"/>
      <c r="AG753" s="14"/>
      <c r="AH753" s="14"/>
      <c r="AI753" s="14"/>
      <c r="AJ753" s="14"/>
      <c r="AK753" s="14"/>
      <c r="AL753" s="14"/>
      <c r="AM753" s="14"/>
      <c r="AN753" s="14"/>
      <c r="AO753" s="14"/>
      <c r="AP753" s="17"/>
    </row>
    <row r="754" spans="1:42" outlineLevel="1" x14ac:dyDescent="0.25">
      <c r="A754" s="12"/>
      <c r="B754" s="13"/>
      <c r="C754" s="37" t="s">
        <v>515</v>
      </c>
      <c r="D754" s="37"/>
      <c r="E754" s="38"/>
      <c r="F754" s="39"/>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17"/>
    </row>
    <row r="755" spans="1:42" outlineLevel="1" x14ac:dyDescent="0.25">
      <c r="A755" s="12"/>
      <c r="B755" s="13"/>
      <c r="C755" s="14"/>
      <c r="D755" s="14"/>
      <c r="E755" s="15"/>
      <c r="F755" s="16"/>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row>
    <row r="756" spans="1:42" outlineLevel="1" x14ac:dyDescent="0.25">
      <c r="A756" s="12"/>
      <c r="B756" s="13"/>
      <c r="C756" s="20" t="s">
        <v>573</v>
      </c>
      <c r="D756" s="45"/>
      <c r="E756" s="15"/>
      <c r="F756" s="16"/>
      <c r="G756" s="165"/>
      <c r="H756" s="165"/>
      <c r="I756" s="165"/>
      <c r="J756" s="165"/>
      <c r="K756" s="165"/>
      <c r="L756" s="165"/>
      <c r="M756" s="165"/>
      <c r="N756" s="165"/>
      <c r="O756" s="165"/>
      <c r="P756" s="165"/>
      <c r="Q756" s="165"/>
      <c r="R756" s="165"/>
      <c r="S756" s="165"/>
      <c r="T756" s="165"/>
      <c r="U756" s="28"/>
      <c r="V756" s="28"/>
      <c r="W756" s="28"/>
      <c r="X756" s="28"/>
      <c r="Y756" s="28"/>
      <c r="Z756" s="28"/>
      <c r="AA756" s="28"/>
      <c r="AB756" s="28"/>
      <c r="AC756" s="28"/>
      <c r="AD756" s="28"/>
      <c r="AE756" s="28"/>
      <c r="AF756" s="28"/>
      <c r="AG756" s="28"/>
      <c r="AH756" s="28"/>
      <c r="AI756" s="28"/>
      <c r="AJ756" s="28"/>
      <c r="AK756" s="28"/>
      <c r="AL756" s="28"/>
      <c r="AM756" s="28"/>
      <c r="AN756" s="28"/>
      <c r="AO756" s="28"/>
      <c r="AP756" s="29"/>
    </row>
    <row r="757" spans="1:42" outlineLevel="1" x14ac:dyDescent="0.25">
      <c r="A757" s="12"/>
      <c r="B757" s="13"/>
      <c r="C757" s="45" t="s">
        <v>517</v>
      </c>
      <c r="D757" s="45"/>
      <c r="E757" s="15" t="s">
        <v>342</v>
      </c>
      <c r="F757" s="179">
        <f>Data!$E$354</f>
        <v>147000</v>
      </c>
      <c r="G757" s="165"/>
      <c r="H757" s="165"/>
      <c r="I757" s="165"/>
      <c r="J757" s="165"/>
      <c r="K757" s="165"/>
      <c r="L757" s="165"/>
      <c r="M757" s="165"/>
      <c r="N757" s="165"/>
      <c r="O757" s="165"/>
      <c r="P757" s="165"/>
      <c r="Q757" s="165"/>
      <c r="R757" s="165"/>
      <c r="S757" s="165"/>
      <c r="T757" s="165"/>
      <c r="U757" s="28"/>
      <c r="V757" s="28"/>
      <c r="W757" s="28"/>
      <c r="X757" s="28"/>
      <c r="Y757" s="28"/>
      <c r="Z757" s="28"/>
      <c r="AA757" s="28"/>
      <c r="AB757" s="28"/>
      <c r="AC757" s="28"/>
      <c r="AD757" s="28"/>
      <c r="AE757" s="28"/>
      <c r="AF757" s="28"/>
      <c r="AG757" s="28"/>
      <c r="AH757" s="28"/>
      <c r="AI757" s="28"/>
      <c r="AJ757" s="28"/>
      <c r="AK757" s="28"/>
      <c r="AL757" s="28"/>
      <c r="AM757" s="28"/>
      <c r="AN757" s="28"/>
      <c r="AO757" s="28"/>
      <c r="AP757" s="29"/>
    </row>
    <row r="758" spans="1:42" outlineLevel="1" x14ac:dyDescent="0.25">
      <c r="A758" s="12"/>
      <c r="B758" s="13"/>
      <c r="C758" s="45" t="s">
        <v>574</v>
      </c>
      <c r="D758" s="45"/>
      <c r="E758" s="15" t="s">
        <v>342</v>
      </c>
      <c r="F758" s="179">
        <f>Data!$E$355</f>
        <v>47000</v>
      </c>
      <c r="G758" s="165"/>
      <c r="H758" s="165"/>
      <c r="I758" s="165"/>
      <c r="J758" s="165"/>
      <c r="K758" s="165"/>
      <c r="L758" s="165"/>
      <c r="M758" s="165"/>
      <c r="N758" s="165"/>
      <c r="O758" s="165"/>
      <c r="P758" s="165"/>
      <c r="Q758" s="165"/>
      <c r="R758" s="165"/>
      <c r="S758" s="165"/>
      <c r="T758" s="165"/>
      <c r="U758" s="28"/>
      <c r="V758" s="28"/>
      <c r="W758" s="28"/>
      <c r="X758" s="28"/>
      <c r="Y758" s="28"/>
      <c r="Z758" s="28"/>
      <c r="AA758" s="28"/>
      <c r="AB758" s="28"/>
      <c r="AC758" s="28"/>
      <c r="AD758" s="28"/>
      <c r="AE758" s="28"/>
      <c r="AF758" s="28"/>
      <c r="AG758" s="28"/>
      <c r="AH758" s="28"/>
      <c r="AI758" s="28"/>
      <c r="AJ758" s="28"/>
      <c r="AK758" s="28"/>
      <c r="AL758" s="28"/>
      <c r="AM758" s="28"/>
      <c r="AN758" s="28"/>
      <c r="AO758" s="28"/>
      <c r="AP758" s="29"/>
    </row>
    <row r="759" spans="1:42" outlineLevel="1" x14ac:dyDescent="0.25">
      <c r="A759" s="12"/>
      <c r="B759" s="13"/>
      <c r="C759" s="45" t="s">
        <v>518</v>
      </c>
      <c r="D759" s="45"/>
      <c r="E759" s="15" t="s">
        <v>142</v>
      </c>
      <c r="F759" s="179"/>
      <c r="G759" s="186">
        <f>F757*Data!$G$16/1000</f>
        <v>12789</v>
      </c>
      <c r="H759" s="165"/>
      <c r="I759" s="165"/>
      <c r="J759" s="165"/>
      <c r="K759" s="165"/>
      <c r="L759" s="165"/>
      <c r="M759" s="165"/>
      <c r="N759" s="165"/>
      <c r="O759" s="165"/>
      <c r="P759" s="165"/>
      <c r="Q759" s="165"/>
      <c r="R759" s="165"/>
      <c r="S759" s="165"/>
      <c r="T759" s="165"/>
      <c r="U759" s="28"/>
      <c r="V759" s="28"/>
      <c r="W759" s="28"/>
      <c r="X759" s="28"/>
      <c r="Y759" s="28"/>
      <c r="Z759" s="28"/>
      <c r="AA759" s="28"/>
      <c r="AB759" s="28"/>
      <c r="AC759" s="28"/>
      <c r="AD759" s="28"/>
      <c r="AE759" s="28"/>
      <c r="AF759" s="28"/>
      <c r="AG759" s="28"/>
      <c r="AH759" s="28"/>
      <c r="AI759" s="28"/>
      <c r="AJ759" s="28"/>
      <c r="AK759" s="28"/>
      <c r="AL759" s="28"/>
      <c r="AM759" s="28"/>
      <c r="AN759" s="28"/>
      <c r="AO759" s="28"/>
      <c r="AP759" s="29"/>
    </row>
    <row r="760" spans="1:42" outlineLevel="1" x14ac:dyDescent="0.25">
      <c r="A760" s="12"/>
      <c r="B760" s="13"/>
      <c r="C760" s="45" t="s">
        <v>575</v>
      </c>
      <c r="D760" s="45"/>
      <c r="E760" s="15" t="s">
        <v>142</v>
      </c>
      <c r="F760" s="179"/>
      <c r="G760" s="186"/>
      <c r="H760" s="165">
        <f>IF(SUM(H681:H683)&gt;0,($F$758*Data!G$16*Data!G$9)/1000,0)</f>
        <v>0</v>
      </c>
      <c r="I760" s="165">
        <f>IF(SUM(I681:I683)&gt;0,($F$758*Data!H$16*Data!H$9)/1000,0)</f>
        <v>0</v>
      </c>
      <c r="J760" s="165">
        <f>IF(SUM(J681:J683)&gt;0,($F$758*Data!I$16*Data!I$9)/1000,0)</f>
        <v>0</v>
      </c>
      <c r="K760" s="165">
        <f>IF(SUM(K681:K683)&gt;0,($F$758*Data!J$16*Data!J$9)/1000,0)</f>
        <v>0</v>
      </c>
      <c r="L760" s="165">
        <f>IF(SUM(L681:L683)&gt;0,($F$758*Data!K$16*Data!K$9)/1000,0)</f>
        <v>0</v>
      </c>
      <c r="M760" s="165">
        <f>IF(SUM(M681:M683)&gt;0,($F$758*Data!L$16*Data!L$9)/1000,0)</f>
        <v>0</v>
      </c>
      <c r="N760" s="165">
        <f>IF(SUM(N681:N683)&gt;0,($F$758*Data!M$16*Data!M$9)/1000,0)</f>
        <v>0</v>
      </c>
      <c r="O760" s="165">
        <f>IF(SUM(O681:O683)&gt;0,($F$758*Data!N$16*Data!N$9)/1000,0)</f>
        <v>0</v>
      </c>
      <c r="P760" s="165">
        <f>IF(SUM(P681:P683)&gt;0,($F$758*Data!O$16*Data!O$9)/1000,0)</f>
        <v>0</v>
      </c>
      <c r="Q760" s="165">
        <f>IF(SUM(Q681:Q683)&gt;0,($F$758*Data!P$16*Data!P$9)/1000,0)</f>
        <v>0</v>
      </c>
      <c r="R760" s="165">
        <f>IF(SUM(R681:R683)&gt;0,($F$758*Data!Q$16*Data!Q$9)/1000,0)</f>
        <v>0</v>
      </c>
      <c r="S760" s="165">
        <f>IF(SUM(S681:S683)&gt;0,($F$758*Data!R$16*Data!R$9)/1000,0)</f>
        <v>0</v>
      </c>
      <c r="T760" s="165">
        <f>IF(SUM(T681:T683)&gt;0,($F$758*Data!S$16*Data!S$9)/1000,0)</f>
        <v>0</v>
      </c>
      <c r="U760" s="165">
        <f>IF(SUM(U681:U683)&gt;0,($F$758*Data!T$16*Data!T$9)/1000,0)</f>
        <v>0</v>
      </c>
      <c r="V760" s="165">
        <f>IF(SUM(V681:V683)&gt;0,($F$758*Data!U$16*Data!U$9)/1000,0)</f>
        <v>0</v>
      </c>
      <c r="W760" s="165">
        <f>IF(SUM(W681:W683)&gt;0,($F$758*Data!V$16*Data!V$9)/1000,0)</f>
        <v>0</v>
      </c>
      <c r="X760" s="165">
        <f>IF(SUM(X681:X683)&gt;0,($F$758*Data!W$16*Data!W$9)/1000,0)</f>
        <v>0</v>
      </c>
      <c r="Y760" s="165">
        <f>IF(SUM(Y681:Y683)&gt;0,($F$758*Data!X$16*Data!X$9)/1000,0)</f>
        <v>0</v>
      </c>
      <c r="Z760" s="165">
        <f>IF(SUM(Z681:Z683)&gt;0,($F$758*Data!Y$16*Data!Y$9)/1000,0)</f>
        <v>0</v>
      </c>
      <c r="AA760" s="165">
        <f>IF(SUM(AA681:AA683)&gt;0,($F$758*Data!Z$16*Data!Z$9)/1000,0)</f>
        <v>0</v>
      </c>
      <c r="AB760" s="165">
        <f>IF(SUM(AB681:AB683)&gt;0,($F$758*Data!AA$16*Data!AA$9)/1000,0)</f>
        <v>0</v>
      </c>
      <c r="AC760" s="165">
        <f>IF(SUM(AC681:AC683)&gt;0,($F$758*Data!AB$16*Data!AB$9)/1000,0)</f>
        <v>4970.6682111750333</v>
      </c>
      <c r="AD760" s="165">
        <f>IF(SUM(AD681:AD683)&gt;0,($F$758*Data!AC$16*Data!AC$9)/1000,0)</f>
        <v>0</v>
      </c>
      <c r="AE760" s="165">
        <f>IF(SUM(AE681:AE683)&gt;0,($F$758*Data!AD$16*Data!AD$9)/1000,0)</f>
        <v>0</v>
      </c>
      <c r="AF760" s="165">
        <f>IF(SUM(AF681:AF683)&gt;0,($F$758*Data!AE$16*Data!AE$9)/1000,0)</f>
        <v>0</v>
      </c>
      <c r="AG760" s="165">
        <f>IF(SUM(AG681:AG683)&gt;0,($F$758*Data!AF$16*Data!AF$9)/1000,0)</f>
        <v>0</v>
      </c>
      <c r="AH760" s="165">
        <f>IF(SUM(AH681:AH683)&gt;0,($F$758*Data!AG$16*Data!AG$9)/1000,0)</f>
        <v>0</v>
      </c>
      <c r="AI760" s="165">
        <f>IF(SUM(AI681:AI683)&gt;0,($F$758*Data!AH$16*Data!AH$9)/1000,0)</f>
        <v>0</v>
      </c>
      <c r="AJ760" s="165">
        <f>IF(SUM(AJ681:AJ683)&gt;0,($F$758*Data!AI$16*Data!AI$9)/1000,0)</f>
        <v>0</v>
      </c>
      <c r="AK760" s="165">
        <f>IF(SUM(AK681:AK683)&gt;0,($F$758*Data!AJ$16*Data!AJ$9)/1000,0)</f>
        <v>0</v>
      </c>
      <c r="AL760" s="165">
        <f>IF(SUM(AL681:AL683)&gt;0,($F$758*Data!AK$16*Data!AK$9)/1000,0)</f>
        <v>0</v>
      </c>
      <c r="AM760" s="165">
        <f>IF(SUM(AM681:AM683)&gt;0,($F$758*Data!AL$16*Data!AL$9)/1000,0)</f>
        <v>0</v>
      </c>
      <c r="AN760" s="165">
        <f>IF(SUM(AN681:AN683)&gt;0,($F$758*Data!AM$16*Data!AM$9)/1000,0)</f>
        <v>0</v>
      </c>
      <c r="AO760" s="165">
        <f>IF(SUM(AO681:AO683)&gt;0,($F$758*Data!AN$16*Data!AN$9)/1000,0)</f>
        <v>0</v>
      </c>
      <c r="AP760" s="29"/>
    </row>
    <row r="761" spans="1:42" outlineLevel="1" x14ac:dyDescent="0.25">
      <c r="A761" s="12"/>
      <c r="B761" s="13"/>
      <c r="C761" s="45" t="s">
        <v>518</v>
      </c>
      <c r="D761" s="45"/>
      <c r="E761" s="15" t="s">
        <v>261</v>
      </c>
      <c r="F761" s="179"/>
      <c r="G761" s="184">
        <f>(G759+SUM(H760:AO760))/SUM(H659:AN659)</f>
        <v>9.4870022495593138E-3</v>
      </c>
      <c r="H761" s="165"/>
      <c r="I761" s="165"/>
      <c r="J761" s="165"/>
      <c r="K761" s="165"/>
      <c r="L761" s="165"/>
      <c r="M761" s="165"/>
      <c r="N761" s="165"/>
      <c r="O761" s="165"/>
      <c r="P761" s="165"/>
      <c r="Q761" s="165"/>
      <c r="R761" s="165"/>
      <c r="S761" s="165"/>
      <c r="T761" s="165"/>
      <c r="U761" s="28"/>
      <c r="V761" s="28"/>
      <c r="W761" s="28"/>
      <c r="X761" s="28"/>
      <c r="Y761" s="28"/>
      <c r="Z761" s="28"/>
      <c r="AA761" s="28"/>
      <c r="AB761" s="28"/>
      <c r="AC761" s="28"/>
      <c r="AD761" s="28"/>
      <c r="AE761" s="28"/>
      <c r="AF761" s="28"/>
      <c r="AG761" s="28"/>
      <c r="AH761" s="28"/>
      <c r="AI761" s="28"/>
      <c r="AJ761" s="28"/>
      <c r="AK761" s="28"/>
      <c r="AL761" s="28"/>
      <c r="AM761" s="28"/>
      <c r="AN761" s="28"/>
      <c r="AO761" s="28"/>
      <c r="AP761" s="29"/>
    </row>
    <row r="762" spans="1:42" outlineLevel="1" x14ac:dyDescent="0.25">
      <c r="A762" s="12"/>
      <c r="B762" s="13"/>
      <c r="C762" s="45"/>
      <c r="D762" s="45"/>
      <c r="E762" s="15"/>
      <c r="F762" s="179"/>
      <c r="G762" s="165"/>
      <c r="H762" s="165"/>
      <c r="I762" s="165"/>
      <c r="J762" s="165"/>
      <c r="K762" s="165"/>
      <c r="L762" s="165"/>
      <c r="M762" s="165"/>
      <c r="N762" s="165"/>
      <c r="O762" s="165"/>
      <c r="P762" s="165"/>
      <c r="Q762" s="165"/>
      <c r="R762" s="165"/>
      <c r="S762" s="165"/>
      <c r="T762" s="165"/>
      <c r="U762" s="28"/>
      <c r="V762" s="28"/>
      <c r="W762" s="28"/>
      <c r="X762" s="28"/>
      <c r="Y762" s="28"/>
      <c r="Z762" s="28"/>
      <c r="AA762" s="28"/>
      <c r="AB762" s="28"/>
      <c r="AC762" s="28"/>
      <c r="AD762" s="28"/>
      <c r="AE762" s="28"/>
      <c r="AF762" s="28"/>
      <c r="AG762" s="28"/>
      <c r="AH762" s="28"/>
      <c r="AI762" s="28"/>
      <c r="AJ762" s="28"/>
      <c r="AK762" s="28"/>
      <c r="AL762" s="28"/>
      <c r="AM762" s="28"/>
      <c r="AN762" s="28"/>
      <c r="AO762" s="28"/>
      <c r="AP762" s="29"/>
    </row>
    <row r="763" spans="1:42" outlineLevel="1" x14ac:dyDescent="0.25">
      <c r="A763" s="12"/>
      <c r="B763" s="13"/>
      <c r="C763" s="20" t="s">
        <v>483</v>
      </c>
      <c r="D763" s="19"/>
      <c r="E763" s="15"/>
      <c r="F763" s="16"/>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7"/>
    </row>
    <row r="764" spans="1:42" outlineLevel="1" x14ac:dyDescent="0.25">
      <c r="A764" s="12"/>
      <c r="B764" s="13"/>
      <c r="C764" s="19" t="s">
        <v>28</v>
      </c>
      <c r="D764" s="19"/>
      <c r="E764" s="15"/>
      <c r="F764" s="16"/>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7"/>
    </row>
    <row r="765" spans="1:42" outlineLevel="1" x14ac:dyDescent="0.25">
      <c r="A765" s="12"/>
      <c r="B765" s="13"/>
      <c r="C765" s="45" t="s">
        <v>520</v>
      </c>
      <c r="D765" s="14"/>
      <c r="E765" s="15" t="s">
        <v>521</v>
      </c>
      <c r="F765" s="16"/>
      <c r="G765" s="14"/>
      <c r="H765" s="141"/>
      <c r="I765" s="141">
        <f t="shared" ref="I765:AO765" si="187">I659</f>
        <v>0</v>
      </c>
      <c r="J765" s="141">
        <f t="shared" si="187"/>
        <v>0</v>
      </c>
      <c r="K765" s="141">
        <f t="shared" si="187"/>
        <v>0</v>
      </c>
      <c r="L765" s="141">
        <f t="shared" si="187"/>
        <v>0</v>
      </c>
      <c r="M765" s="141">
        <f t="shared" si="187"/>
        <v>0</v>
      </c>
      <c r="N765" s="141">
        <f t="shared" si="187"/>
        <v>0</v>
      </c>
      <c r="O765" s="141">
        <f t="shared" si="187"/>
        <v>0</v>
      </c>
      <c r="P765" s="141">
        <f t="shared" si="187"/>
        <v>0</v>
      </c>
      <c r="Q765" s="141">
        <f t="shared" si="187"/>
        <v>0</v>
      </c>
      <c r="R765" s="141">
        <f t="shared" si="187"/>
        <v>0</v>
      </c>
      <c r="S765" s="141">
        <f t="shared" si="187"/>
        <v>0</v>
      </c>
      <c r="T765" s="141">
        <f t="shared" si="187"/>
        <v>0</v>
      </c>
      <c r="U765" s="141">
        <f t="shared" si="187"/>
        <v>93600</v>
      </c>
      <c r="V765" s="141">
        <f t="shared" si="187"/>
        <v>93600</v>
      </c>
      <c r="W765" s="141">
        <f t="shared" si="187"/>
        <v>93600</v>
      </c>
      <c r="X765" s="141">
        <f t="shared" si="187"/>
        <v>93600</v>
      </c>
      <c r="Y765" s="141">
        <f t="shared" si="187"/>
        <v>93600</v>
      </c>
      <c r="Z765" s="141">
        <f t="shared" si="187"/>
        <v>93600</v>
      </c>
      <c r="AA765" s="141">
        <f t="shared" si="187"/>
        <v>93600</v>
      </c>
      <c r="AB765" s="141">
        <f t="shared" si="187"/>
        <v>93600</v>
      </c>
      <c r="AC765" s="141">
        <f t="shared" si="187"/>
        <v>93600</v>
      </c>
      <c r="AD765" s="141">
        <f t="shared" si="187"/>
        <v>93600</v>
      </c>
      <c r="AE765" s="141">
        <f t="shared" si="187"/>
        <v>93600</v>
      </c>
      <c r="AF765" s="141">
        <f t="shared" si="187"/>
        <v>93600</v>
      </c>
      <c r="AG765" s="141">
        <f t="shared" si="187"/>
        <v>93600</v>
      </c>
      <c r="AH765" s="141">
        <f t="shared" si="187"/>
        <v>93600</v>
      </c>
      <c r="AI765" s="141">
        <f t="shared" si="187"/>
        <v>93600</v>
      </c>
      <c r="AJ765" s="141">
        <f t="shared" si="187"/>
        <v>93600</v>
      </c>
      <c r="AK765" s="141">
        <f t="shared" si="187"/>
        <v>93600</v>
      </c>
      <c r="AL765" s="141">
        <f t="shared" si="187"/>
        <v>93600</v>
      </c>
      <c r="AM765" s="141">
        <f t="shared" si="187"/>
        <v>93600</v>
      </c>
      <c r="AN765" s="141">
        <f t="shared" si="187"/>
        <v>93600</v>
      </c>
      <c r="AO765" s="141">
        <f t="shared" si="187"/>
        <v>0</v>
      </c>
      <c r="AP765" s="14"/>
    </row>
    <row r="766" spans="1:42" outlineLevel="1" x14ac:dyDescent="0.25">
      <c r="A766" s="12"/>
      <c r="B766" s="13"/>
      <c r="C766" s="20" t="s">
        <v>483</v>
      </c>
      <c r="D766" s="14"/>
      <c r="E766" s="15"/>
      <c r="F766" s="16"/>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159"/>
      <c r="AG766" s="14"/>
      <c r="AH766" s="14"/>
      <c r="AI766" s="14"/>
      <c r="AJ766" s="14"/>
      <c r="AK766" s="14"/>
      <c r="AL766" s="14"/>
      <c r="AM766" s="14"/>
      <c r="AN766" s="14"/>
      <c r="AO766" s="14"/>
      <c r="AP766" s="14"/>
    </row>
    <row r="767" spans="1:42" ht="14.25" customHeight="1" outlineLevel="1" x14ac:dyDescent="0.25">
      <c r="A767" s="54"/>
      <c r="B767" s="13"/>
      <c r="C767" s="45" t="s">
        <v>205</v>
      </c>
      <c r="D767" s="14"/>
      <c r="E767" s="70" t="s">
        <v>352</v>
      </c>
      <c r="F767" s="201">
        <f>Data!E596/1000</f>
        <v>0</v>
      </c>
      <c r="G767" s="56"/>
      <c r="H767" s="56"/>
      <c r="I767" s="56">
        <f>I$765*$F$767</f>
        <v>0</v>
      </c>
      <c r="J767" s="56">
        <f t="shared" ref="J767:AO767" si="188">J$765*$F$767</f>
        <v>0</v>
      </c>
      <c r="K767" s="56">
        <f t="shared" si="188"/>
        <v>0</v>
      </c>
      <c r="L767" s="56">
        <f t="shared" si="188"/>
        <v>0</v>
      </c>
      <c r="M767" s="56">
        <f t="shared" si="188"/>
        <v>0</v>
      </c>
      <c r="N767" s="56">
        <f t="shared" si="188"/>
        <v>0</v>
      </c>
      <c r="O767" s="56">
        <f t="shared" si="188"/>
        <v>0</v>
      </c>
      <c r="P767" s="56">
        <f t="shared" si="188"/>
        <v>0</v>
      </c>
      <c r="Q767" s="56">
        <f t="shared" si="188"/>
        <v>0</v>
      </c>
      <c r="R767" s="56">
        <f t="shared" si="188"/>
        <v>0</v>
      </c>
      <c r="S767" s="56">
        <f t="shared" si="188"/>
        <v>0</v>
      </c>
      <c r="T767" s="56">
        <f t="shared" si="188"/>
        <v>0</v>
      </c>
      <c r="U767" s="56">
        <f t="shared" si="188"/>
        <v>0</v>
      </c>
      <c r="V767" s="56">
        <f t="shared" si="188"/>
        <v>0</v>
      </c>
      <c r="W767" s="56">
        <f t="shared" si="188"/>
        <v>0</v>
      </c>
      <c r="X767" s="56">
        <f t="shared" si="188"/>
        <v>0</v>
      </c>
      <c r="Y767" s="56">
        <f t="shared" si="188"/>
        <v>0</v>
      </c>
      <c r="Z767" s="56">
        <f t="shared" si="188"/>
        <v>0</v>
      </c>
      <c r="AA767" s="56">
        <f t="shared" si="188"/>
        <v>0</v>
      </c>
      <c r="AB767" s="56">
        <f t="shared" si="188"/>
        <v>0</v>
      </c>
      <c r="AC767" s="56">
        <f t="shared" si="188"/>
        <v>0</v>
      </c>
      <c r="AD767" s="56">
        <f t="shared" si="188"/>
        <v>0</v>
      </c>
      <c r="AE767" s="56">
        <f t="shared" si="188"/>
        <v>0</v>
      </c>
      <c r="AF767" s="56">
        <f t="shared" si="188"/>
        <v>0</v>
      </c>
      <c r="AG767" s="56">
        <f t="shared" si="188"/>
        <v>0</v>
      </c>
      <c r="AH767" s="56">
        <f t="shared" si="188"/>
        <v>0</v>
      </c>
      <c r="AI767" s="56">
        <f t="shared" si="188"/>
        <v>0</v>
      </c>
      <c r="AJ767" s="56">
        <f t="shared" si="188"/>
        <v>0</v>
      </c>
      <c r="AK767" s="56">
        <f t="shared" si="188"/>
        <v>0</v>
      </c>
      <c r="AL767" s="56">
        <f t="shared" si="188"/>
        <v>0</v>
      </c>
      <c r="AM767" s="56">
        <f t="shared" si="188"/>
        <v>0</v>
      </c>
      <c r="AN767" s="56">
        <f t="shared" si="188"/>
        <v>0</v>
      </c>
      <c r="AO767" s="56">
        <f t="shared" si="188"/>
        <v>0</v>
      </c>
      <c r="AP767" s="29"/>
    </row>
    <row r="768" spans="1:42" outlineLevel="1" x14ac:dyDescent="0.25">
      <c r="A768" s="54"/>
      <c r="B768" s="13"/>
      <c r="C768" s="45" t="s">
        <v>484</v>
      </c>
      <c r="D768" s="14"/>
      <c r="E768" s="70" t="s">
        <v>352</v>
      </c>
      <c r="F768" s="201">
        <f>Data!E597</f>
        <v>0.14558901827984225</v>
      </c>
      <c r="G768" s="56"/>
      <c r="H768" s="56"/>
      <c r="I768" s="56">
        <f>I$765*$F$768</f>
        <v>0</v>
      </c>
      <c r="J768" s="56">
        <f t="shared" ref="J768:AO768" si="189">J$765*$F$768</f>
        <v>0</v>
      </c>
      <c r="K768" s="56">
        <f t="shared" si="189"/>
        <v>0</v>
      </c>
      <c r="L768" s="56">
        <f t="shared" si="189"/>
        <v>0</v>
      </c>
      <c r="M768" s="56">
        <f t="shared" si="189"/>
        <v>0</v>
      </c>
      <c r="N768" s="56">
        <f t="shared" si="189"/>
        <v>0</v>
      </c>
      <c r="O768" s="56">
        <f t="shared" si="189"/>
        <v>0</v>
      </c>
      <c r="P768" s="56">
        <f t="shared" si="189"/>
        <v>0</v>
      </c>
      <c r="Q768" s="56">
        <f t="shared" si="189"/>
        <v>0</v>
      </c>
      <c r="R768" s="56">
        <f t="shared" si="189"/>
        <v>0</v>
      </c>
      <c r="S768" s="56">
        <f t="shared" si="189"/>
        <v>0</v>
      </c>
      <c r="T768" s="56">
        <f t="shared" si="189"/>
        <v>0</v>
      </c>
      <c r="U768" s="56">
        <f t="shared" si="189"/>
        <v>13627.132110993234</v>
      </c>
      <c r="V768" s="56">
        <f t="shared" si="189"/>
        <v>13627.132110993234</v>
      </c>
      <c r="W768" s="56">
        <f t="shared" si="189"/>
        <v>13627.132110993234</v>
      </c>
      <c r="X768" s="56">
        <f t="shared" si="189"/>
        <v>13627.132110993234</v>
      </c>
      <c r="Y768" s="56">
        <f t="shared" si="189"/>
        <v>13627.132110993234</v>
      </c>
      <c r="Z768" s="56">
        <f t="shared" si="189"/>
        <v>13627.132110993234</v>
      </c>
      <c r="AA768" s="56">
        <f t="shared" si="189"/>
        <v>13627.132110993234</v>
      </c>
      <c r="AB768" s="56">
        <f t="shared" si="189"/>
        <v>13627.132110993234</v>
      </c>
      <c r="AC768" s="56">
        <f t="shared" si="189"/>
        <v>13627.132110993234</v>
      </c>
      <c r="AD768" s="56">
        <f t="shared" si="189"/>
        <v>13627.132110993234</v>
      </c>
      <c r="AE768" s="56">
        <f t="shared" si="189"/>
        <v>13627.132110993234</v>
      </c>
      <c r="AF768" s="56">
        <f t="shared" si="189"/>
        <v>13627.132110993234</v>
      </c>
      <c r="AG768" s="56">
        <f t="shared" si="189"/>
        <v>13627.132110993234</v>
      </c>
      <c r="AH768" s="56">
        <f t="shared" si="189"/>
        <v>13627.132110993234</v>
      </c>
      <c r="AI768" s="56">
        <f t="shared" si="189"/>
        <v>13627.132110993234</v>
      </c>
      <c r="AJ768" s="56">
        <f t="shared" si="189"/>
        <v>13627.132110993234</v>
      </c>
      <c r="AK768" s="56">
        <f t="shared" si="189"/>
        <v>13627.132110993234</v>
      </c>
      <c r="AL768" s="56">
        <f t="shared" si="189"/>
        <v>13627.132110993234</v>
      </c>
      <c r="AM768" s="56">
        <f t="shared" si="189"/>
        <v>13627.132110993234</v>
      </c>
      <c r="AN768" s="56">
        <f t="shared" si="189"/>
        <v>13627.132110993234</v>
      </c>
      <c r="AO768" s="56">
        <f t="shared" si="189"/>
        <v>0</v>
      </c>
      <c r="AP768" s="29"/>
    </row>
    <row r="769" spans="1:42" outlineLevel="1" x14ac:dyDescent="0.25">
      <c r="A769" s="54"/>
      <c r="B769" s="13"/>
      <c r="C769" s="45" t="s">
        <v>285</v>
      </c>
      <c r="D769" s="14"/>
      <c r="E769" s="70" t="s">
        <v>352</v>
      </c>
      <c r="F769" s="201">
        <f>Data!E598/1000</f>
        <v>0</v>
      </c>
      <c r="G769" s="56"/>
      <c r="H769" s="56"/>
      <c r="I769" s="56">
        <f>I$765*$F$769</f>
        <v>0</v>
      </c>
      <c r="J769" s="56">
        <f t="shared" ref="J769:AO769" si="190">J$765*$F$769</f>
        <v>0</v>
      </c>
      <c r="K769" s="56">
        <f t="shared" si="190"/>
        <v>0</v>
      </c>
      <c r="L769" s="56">
        <f t="shared" si="190"/>
        <v>0</v>
      </c>
      <c r="M769" s="56">
        <f t="shared" si="190"/>
        <v>0</v>
      </c>
      <c r="N769" s="56">
        <f t="shared" si="190"/>
        <v>0</v>
      </c>
      <c r="O769" s="56">
        <f t="shared" si="190"/>
        <v>0</v>
      </c>
      <c r="P769" s="56">
        <f t="shared" si="190"/>
        <v>0</v>
      </c>
      <c r="Q769" s="56">
        <f t="shared" si="190"/>
        <v>0</v>
      </c>
      <c r="R769" s="56">
        <f t="shared" si="190"/>
        <v>0</v>
      </c>
      <c r="S769" s="56">
        <f t="shared" si="190"/>
        <v>0</v>
      </c>
      <c r="T769" s="56">
        <f t="shared" si="190"/>
        <v>0</v>
      </c>
      <c r="U769" s="56">
        <f t="shared" si="190"/>
        <v>0</v>
      </c>
      <c r="V769" s="56">
        <f t="shared" si="190"/>
        <v>0</v>
      </c>
      <c r="W769" s="56">
        <f t="shared" si="190"/>
        <v>0</v>
      </c>
      <c r="X769" s="56">
        <f t="shared" si="190"/>
        <v>0</v>
      </c>
      <c r="Y769" s="56">
        <f t="shared" si="190"/>
        <v>0</v>
      </c>
      <c r="Z769" s="56">
        <f t="shared" si="190"/>
        <v>0</v>
      </c>
      <c r="AA769" s="56">
        <f t="shared" si="190"/>
        <v>0</v>
      </c>
      <c r="AB769" s="56">
        <f t="shared" si="190"/>
        <v>0</v>
      </c>
      <c r="AC769" s="56">
        <f t="shared" si="190"/>
        <v>0</v>
      </c>
      <c r="AD769" s="56">
        <f t="shared" si="190"/>
        <v>0</v>
      </c>
      <c r="AE769" s="56">
        <f t="shared" si="190"/>
        <v>0</v>
      </c>
      <c r="AF769" s="56">
        <f t="shared" si="190"/>
        <v>0</v>
      </c>
      <c r="AG769" s="56">
        <f t="shared" si="190"/>
        <v>0</v>
      </c>
      <c r="AH769" s="56">
        <f t="shared" si="190"/>
        <v>0</v>
      </c>
      <c r="AI769" s="56">
        <f t="shared" si="190"/>
        <v>0</v>
      </c>
      <c r="AJ769" s="56">
        <f t="shared" si="190"/>
        <v>0</v>
      </c>
      <c r="AK769" s="56">
        <f t="shared" si="190"/>
        <v>0</v>
      </c>
      <c r="AL769" s="56">
        <f t="shared" si="190"/>
        <v>0</v>
      </c>
      <c r="AM769" s="56">
        <f t="shared" si="190"/>
        <v>0</v>
      </c>
      <c r="AN769" s="56">
        <f t="shared" si="190"/>
        <v>0</v>
      </c>
      <c r="AO769" s="56">
        <f t="shared" si="190"/>
        <v>0</v>
      </c>
      <c r="AP769" s="29"/>
    </row>
    <row r="770" spans="1:42" outlineLevel="1" x14ac:dyDescent="0.25">
      <c r="A770" s="54"/>
      <c r="B770" s="13"/>
      <c r="C770" s="45" t="s">
        <v>220</v>
      </c>
      <c r="D770" s="14"/>
      <c r="E770" s="70" t="s">
        <v>352</v>
      </c>
      <c r="F770" s="201">
        <f>Data!E599/1000</f>
        <v>0</v>
      </c>
      <c r="G770" s="56"/>
      <c r="H770" s="56"/>
      <c r="I770" s="56">
        <f>I$765*$F$770</f>
        <v>0</v>
      </c>
      <c r="J770" s="56">
        <f t="shared" ref="J770:AO770" si="191">J$765*$F$770</f>
        <v>0</v>
      </c>
      <c r="K770" s="56">
        <f t="shared" si="191"/>
        <v>0</v>
      </c>
      <c r="L770" s="56">
        <f t="shared" si="191"/>
        <v>0</v>
      </c>
      <c r="M770" s="56">
        <f t="shared" si="191"/>
        <v>0</v>
      </c>
      <c r="N770" s="56">
        <f t="shared" si="191"/>
        <v>0</v>
      </c>
      <c r="O770" s="56">
        <f t="shared" si="191"/>
        <v>0</v>
      </c>
      <c r="P770" s="56">
        <f t="shared" si="191"/>
        <v>0</v>
      </c>
      <c r="Q770" s="56">
        <f t="shared" si="191"/>
        <v>0</v>
      </c>
      <c r="R770" s="56">
        <f t="shared" si="191"/>
        <v>0</v>
      </c>
      <c r="S770" s="56">
        <f t="shared" si="191"/>
        <v>0</v>
      </c>
      <c r="T770" s="56">
        <f t="shared" si="191"/>
        <v>0</v>
      </c>
      <c r="U770" s="56">
        <f t="shared" si="191"/>
        <v>0</v>
      </c>
      <c r="V770" s="56">
        <f t="shared" si="191"/>
        <v>0</v>
      </c>
      <c r="W770" s="56">
        <f t="shared" si="191"/>
        <v>0</v>
      </c>
      <c r="X770" s="56">
        <f t="shared" si="191"/>
        <v>0</v>
      </c>
      <c r="Y770" s="56">
        <f t="shared" si="191"/>
        <v>0</v>
      </c>
      <c r="Z770" s="56">
        <f t="shared" si="191"/>
        <v>0</v>
      </c>
      <c r="AA770" s="56">
        <f t="shared" si="191"/>
        <v>0</v>
      </c>
      <c r="AB770" s="56">
        <f t="shared" si="191"/>
        <v>0</v>
      </c>
      <c r="AC770" s="56">
        <f t="shared" si="191"/>
        <v>0</v>
      </c>
      <c r="AD770" s="56">
        <f t="shared" si="191"/>
        <v>0</v>
      </c>
      <c r="AE770" s="56">
        <f t="shared" si="191"/>
        <v>0</v>
      </c>
      <c r="AF770" s="56">
        <f t="shared" si="191"/>
        <v>0</v>
      </c>
      <c r="AG770" s="56">
        <f t="shared" si="191"/>
        <v>0</v>
      </c>
      <c r="AH770" s="56">
        <f t="shared" si="191"/>
        <v>0</v>
      </c>
      <c r="AI770" s="56">
        <f t="shared" si="191"/>
        <v>0</v>
      </c>
      <c r="AJ770" s="56">
        <f t="shared" si="191"/>
        <v>0</v>
      </c>
      <c r="AK770" s="56">
        <f t="shared" si="191"/>
        <v>0</v>
      </c>
      <c r="AL770" s="56">
        <f t="shared" si="191"/>
        <v>0</v>
      </c>
      <c r="AM770" s="56">
        <f t="shared" si="191"/>
        <v>0</v>
      </c>
      <c r="AN770" s="56">
        <f t="shared" si="191"/>
        <v>0</v>
      </c>
      <c r="AO770" s="56">
        <f t="shared" si="191"/>
        <v>0</v>
      </c>
      <c r="AP770" s="29"/>
    </row>
    <row r="771" spans="1:42" outlineLevel="1" x14ac:dyDescent="0.25">
      <c r="A771" s="54"/>
      <c r="B771" s="13"/>
      <c r="C771" s="45" t="s">
        <v>212</v>
      </c>
      <c r="D771" s="14"/>
      <c r="E771" s="70" t="s">
        <v>352</v>
      </c>
      <c r="F771" s="201">
        <f>Data!E600/1000</f>
        <v>0</v>
      </c>
      <c r="G771" s="56"/>
      <c r="H771" s="56"/>
      <c r="I771" s="56">
        <f>I$765*$F$771</f>
        <v>0</v>
      </c>
      <c r="J771" s="56">
        <f t="shared" ref="J771:AO771" si="192">J$765*$F$771</f>
        <v>0</v>
      </c>
      <c r="K771" s="56">
        <f t="shared" si="192"/>
        <v>0</v>
      </c>
      <c r="L771" s="56">
        <f t="shared" si="192"/>
        <v>0</v>
      </c>
      <c r="M771" s="56">
        <f t="shared" si="192"/>
        <v>0</v>
      </c>
      <c r="N771" s="56">
        <f t="shared" si="192"/>
        <v>0</v>
      </c>
      <c r="O771" s="56">
        <f t="shared" si="192"/>
        <v>0</v>
      </c>
      <c r="P771" s="56">
        <f t="shared" si="192"/>
        <v>0</v>
      </c>
      <c r="Q771" s="56">
        <f t="shared" si="192"/>
        <v>0</v>
      </c>
      <c r="R771" s="56">
        <f t="shared" si="192"/>
        <v>0</v>
      </c>
      <c r="S771" s="56">
        <f t="shared" si="192"/>
        <v>0</v>
      </c>
      <c r="T771" s="56">
        <f t="shared" si="192"/>
        <v>0</v>
      </c>
      <c r="U771" s="56">
        <f t="shared" si="192"/>
        <v>0</v>
      </c>
      <c r="V771" s="56">
        <f t="shared" si="192"/>
        <v>0</v>
      </c>
      <c r="W771" s="56">
        <f t="shared" si="192"/>
        <v>0</v>
      </c>
      <c r="X771" s="56">
        <f t="shared" si="192"/>
        <v>0</v>
      </c>
      <c r="Y771" s="56">
        <f t="shared" si="192"/>
        <v>0</v>
      </c>
      <c r="Z771" s="56">
        <f t="shared" si="192"/>
        <v>0</v>
      </c>
      <c r="AA771" s="56">
        <f t="shared" si="192"/>
        <v>0</v>
      </c>
      <c r="AB771" s="56">
        <f t="shared" si="192"/>
        <v>0</v>
      </c>
      <c r="AC771" s="56">
        <f t="shared" si="192"/>
        <v>0</v>
      </c>
      <c r="AD771" s="56">
        <f t="shared" si="192"/>
        <v>0</v>
      </c>
      <c r="AE771" s="56">
        <f t="shared" si="192"/>
        <v>0</v>
      </c>
      <c r="AF771" s="56">
        <f t="shared" si="192"/>
        <v>0</v>
      </c>
      <c r="AG771" s="56">
        <f t="shared" si="192"/>
        <v>0</v>
      </c>
      <c r="AH771" s="56">
        <f t="shared" si="192"/>
        <v>0</v>
      </c>
      <c r="AI771" s="56">
        <f t="shared" si="192"/>
        <v>0</v>
      </c>
      <c r="AJ771" s="56">
        <f t="shared" si="192"/>
        <v>0</v>
      </c>
      <c r="AK771" s="56">
        <f t="shared" si="192"/>
        <v>0</v>
      </c>
      <c r="AL771" s="56">
        <f t="shared" si="192"/>
        <v>0</v>
      </c>
      <c r="AM771" s="56">
        <f t="shared" si="192"/>
        <v>0</v>
      </c>
      <c r="AN771" s="56">
        <f t="shared" si="192"/>
        <v>0</v>
      </c>
      <c r="AO771" s="56">
        <f t="shared" si="192"/>
        <v>0</v>
      </c>
      <c r="AP771" s="29"/>
    </row>
    <row r="772" spans="1:42" outlineLevel="1" x14ac:dyDescent="0.25">
      <c r="A772" s="54"/>
      <c r="B772" s="13"/>
      <c r="C772" s="45" t="s">
        <v>485</v>
      </c>
      <c r="D772" s="14"/>
      <c r="E772" s="70" t="s">
        <v>352</v>
      </c>
      <c r="F772" s="201">
        <f>Data!E601/1000</f>
        <v>0</v>
      </c>
      <c r="G772" s="56"/>
      <c r="H772" s="56"/>
      <c r="I772" s="56">
        <f>I$765*$F$772</f>
        <v>0</v>
      </c>
      <c r="J772" s="56">
        <f t="shared" ref="J772:AO772" si="193">J$765*$F$772</f>
        <v>0</v>
      </c>
      <c r="K772" s="56">
        <f t="shared" si="193"/>
        <v>0</v>
      </c>
      <c r="L772" s="56">
        <f t="shared" si="193"/>
        <v>0</v>
      </c>
      <c r="M772" s="56">
        <f t="shared" si="193"/>
        <v>0</v>
      </c>
      <c r="N772" s="56">
        <f t="shared" si="193"/>
        <v>0</v>
      </c>
      <c r="O772" s="56">
        <f t="shared" si="193"/>
        <v>0</v>
      </c>
      <c r="P772" s="56">
        <f t="shared" si="193"/>
        <v>0</v>
      </c>
      <c r="Q772" s="56">
        <f t="shared" si="193"/>
        <v>0</v>
      </c>
      <c r="R772" s="56">
        <f t="shared" si="193"/>
        <v>0</v>
      </c>
      <c r="S772" s="56">
        <f t="shared" si="193"/>
        <v>0</v>
      </c>
      <c r="T772" s="56">
        <f t="shared" si="193"/>
        <v>0</v>
      </c>
      <c r="U772" s="56">
        <f t="shared" si="193"/>
        <v>0</v>
      </c>
      <c r="V772" s="56">
        <f t="shared" si="193"/>
        <v>0</v>
      </c>
      <c r="W772" s="56">
        <f t="shared" si="193"/>
        <v>0</v>
      </c>
      <c r="X772" s="56">
        <f t="shared" si="193"/>
        <v>0</v>
      </c>
      <c r="Y772" s="56">
        <f t="shared" si="193"/>
        <v>0</v>
      </c>
      <c r="Z772" s="56">
        <f t="shared" si="193"/>
        <v>0</v>
      </c>
      <c r="AA772" s="56">
        <f t="shared" si="193"/>
        <v>0</v>
      </c>
      <c r="AB772" s="56">
        <f t="shared" si="193"/>
        <v>0</v>
      </c>
      <c r="AC772" s="56">
        <f t="shared" si="193"/>
        <v>0</v>
      </c>
      <c r="AD772" s="56">
        <f t="shared" si="193"/>
        <v>0</v>
      </c>
      <c r="AE772" s="56">
        <f t="shared" si="193"/>
        <v>0</v>
      </c>
      <c r="AF772" s="56">
        <f t="shared" si="193"/>
        <v>0</v>
      </c>
      <c r="AG772" s="56">
        <f t="shared" si="193"/>
        <v>0</v>
      </c>
      <c r="AH772" s="56">
        <f t="shared" si="193"/>
        <v>0</v>
      </c>
      <c r="AI772" s="56">
        <f t="shared" si="193"/>
        <v>0</v>
      </c>
      <c r="AJ772" s="56">
        <f t="shared" si="193"/>
        <v>0</v>
      </c>
      <c r="AK772" s="56">
        <f t="shared" si="193"/>
        <v>0</v>
      </c>
      <c r="AL772" s="56">
        <f t="shared" si="193"/>
        <v>0</v>
      </c>
      <c r="AM772" s="56">
        <f t="shared" si="193"/>
        <v>0</v>
      </c>
      <c r="AN772" s="56">
        <f t="shared" si="193"/>
        <v>0</v>
      </c>
      <c r="AO772" s="56">
        <f t="shared" si="193"/>
        <v>0</v>
      </c>
      <c r="AP772" s="29"/>
    </row>
    <row r="773" spans="1:42" outlineLevel="1" x14ac:dyDescent="0.25">
      <c r="A773" s="54"/>
      <c r="B773" s="13"/>
      <c r="C773" s="45" t="s">
        <v>214</v>
      </c>
      <c r="D773" s="14"/>
      <c r="E773" s="70" t="s">
        <v>352</v>
      </c>
      <c r="F773" s="201">
        <f>Data!E602/1000</f>
        <v>7.7953456755433772E-5</v>
      </c>
      <c r="G773" s="56"/>
      <c r="H773" s="56"/>
      <c r="I773" s="56">
        <f>I$765*$F$773</f>
        <v>0</v>
      </c>
      <c r="J773" s="56">
        <f t="shared" ref="J773:AO773" si="194">J$765*$F$773</f>
        <v>0</v>
      </c>
      <c r="K773" s="56">
        <f t="shared" si="194"/>
        <v>0</v>
      </c>
      <c r="L773" s="56">
        <f t="shared" si="194"/>
        <v>0</v>
      </c>
      <c r="M773" s="56">
        <f t="shared" si="194"/>
        <v>0</v>
      </c>
      <c r="N773" s="56">
        <f t="shared" si="194"/>
        <v>0</v>
      </c>
      <c r="O773" s="56">
        <f t="shared" si="194"/>
        <v>0</v>
      </c>
      <c r="P773" s="56">
        <f t="shared" si="194"/>
        <v>0</v>
      </c>
      <c r="Q773" s="56">
        <f t="shared" si="194"/>
        <v>0</v>
      </c>
      <c r="R773" s="56">
        <f t="shared" si="194"/>
        <v>0</v>
      </c>
      <c r="S773" s="56">
        <f t="shared" si="194"/>
        <v>0</v>
      </c>
      <c r="T773" s="56">
        <f t="shared" si="194"/>
        <v>0</v>
      </c>
      <c r="U773" s="56">
        <f t="shared" si="194"/>
        <v>7.2964435523086006</v>
      </c>
      <c r="V773" s="56">
        <f t="shared" si="194"/>
        <v>7.2964435523086006</v>
      </c>
      <c r="W773" s="56">
        <f t="shared" si="194"/>
        <v>7.2964435523086006</v>
      </c>
      <c r="X773" s="56">
        <f t="shared" si="194"/>
        <v>7.2964435523086006</v>
      </c>
      <c r="Y773" s="56">
        <f t="shared" si="194"/>
        <v>7.2964435523086006</v>
      </c>
      <c r="Z773" s="56">
        <f t="shared" si="194"/>
        <v>7.2964435523086006</v>
      </c>
      <c r="AA773" s="56">
        <f t="shared" si="194"/>
        <v>7.2964435523086006</v>
      </c>
      <c r="AB773" s="56">
        <f t="shared" si="194"/>
        <v>7.2964435523086006</v>
      </c>
      <c r="AC773" s="56">
        <f t="shared" si="194"/>
        <v>7.2964435523086006</v>
      </c>
      <c r="AD773" s="56">
        <f t="shared" si="194"/>
        <v>7.2964435523086006</v>
      </c>
      <c r="AE773" s="56">
        <f t="shared" si="194"/>
        <v>7.2964435523086006</v>
      </c>
      <c r="AF773" s="56">
        <f t="shared" si="194"/>
        <v>7.2964435523086006</v>
      </c>
      <c r="AG773" s="56">
        <f t="shared" si="194"/>
        <v>7.2964435523086006</v>
      </c>
      <c r="AH773" s="56">
        <f t="shared" si="194"/>
        <v>7.2964435523086006</v>
      </c>
      <c r="AI773" s="56">
        <f t="shared" si="194"/>
        <v>7.2964435523086006</v>
      </c>
      <c r="AJ773" s="56">
        <f t="shared" si="194"/>
        <v>7.2964435523086006</v>
      </c>
      <c r="AK773" s="56">
        <f t="shared" si="194"/>
        <v>7.2964435523086006</v>
      </c>
      <c r="AL773" s="56">
        <f t="shared" si="194"/>
        <v>7.2964435523086006</v>
      </c>
      <c r="AM773" s="56">
        <f t="shared" si="194"/>
        <v>7.2964435523086006</v>
      </c>
      <c r="AN773" s="56">
        <f t="shared" si="194"/>
        <v>7.2964435523086006</v>
      </c>
      <c r="AO773" s="56">
        <f t="shared" si="194"/>
        <v>0</v>
      </c>
      <c r="AP773" s="29"/>
    </row>
    <row r="774" spans="1:42" outlineLevel="1" x14ac:dyDescent="0.25">
      <c r="A774" s="12"/>
      <c r="B774" s="13"/>
      <c r="C774" s="14"/>
      <c r="D774" s="14"/>
      <c r="E774" s="15"/>
      <c r="F774" s="16"/>
      <c r="G774" s="159"/>
      <c r="H774" s="159"/>
      <c r="I774" s="56"/>
      <c r="J774" s="56"/>
      <c r="K774" s="56"/>
      <c r="L774" s="56"/>
      <c r="M774" s="56"/>
      <c r="N774" s="56"/>
      <c r="O774" s="56"/>
      <c r="P774" s="56"/>
      <c r="Q774" s="56"/>
      <c r="R774" s="56"/>
      <c r="S774" s="56"/>
      <c r="T774" s="56"/>
      <c r="U774" s="56"/>
      <c r="V774" s="56"/>
      <c r="W774" s="56"/>
      <c r="X774" s="56"/>
      <c r="Y774" s="56"/>
      <c r="Z774" s="56"/>
      <c r="AA774" s="56"/>
      <c r="AB774" s="56"/>
      <c r="AC774" s="14"/>
      <c r="AD774" s="14"/>
      <c r="AE774" s="14"/>
      <c r="AF774" s="14"/>
      <c r="AG774" s="14"/>
      <c r="AH774" s="14"/>
      <c r="AI774" s="14"/>
      <c r="AJ774" s="14"/>
      <c r="AK774" s="14"/>
      <c r="AL774" s="14"/>
      <c r="AM774" s="14"/>
      <c r="AN774" s="14"/>
      <c r="AO774" s="14"/>
      <c r="AP774" s="14"/>
    </row>
    <row r="775" spans="1:42" outlineLevel="1" x14ac:dyDescent="0.25">
      <c r="A775" s="54"/>
      <c r="B775" s="13"/>
      <c r="C775" s="45" t="s">
        <v>205</v>
      </c>
      <c r="D775" s="14"/>
      <c r="E775" s="70" t="s">
        <v>474</v>
      </c>
      <c r="F775" s="200">
        <f>Data!$E$35/1000</f>
        <v>3.4099438202247192E-3</v>
      </c>
      <c r="G775" s="56"/>
      <c r="H775" s="56"/>
      <c r="I775" s="56">
        <f>I767*$F$775</f>
        <v>0</v>
      </c>
      <c r="J775" s="56">
        <f t="shared" ref="J775:AO775" si="195">J767*$F$775</f>
        <v>0</v>
      </c>
      <c r="K775" s="56">
        <f t="shared" si="195"/>
        <v>0</v>
      </c>
      <c r="L775" s="56">
        <f t="shared" si="195"/>
        <v>0</v>
      </c>
      <c r="M775" s="56">
        <f t="shared" si="195"/>
        <v>0</v>
      </c>
      <c r="N775" s="56">
        <f t="shared" si="195"/>
        <v>0</v>
      </c>
      <c r="O775" s="56">
        <f t="shared" si="195"/>
        <v>0</v>
      </c>
      <c r="P775" s="56">
        <f t="shared" si="195"/>
        <v>0</v>
      </c>
      <c r="Q775" s="56">
        <f t="shared" si="195"/>
        <v>0</v>
      </c>
      <c r="R775" s="56">
        <f t="shared" si="195"/>
        <v>0</v>
      </c>
      <c r="S775" s="56">
        <f t="shared" si="195"/>
        <v>0</v>
      </c>
      <c r="T775" s="56">
        <f t="shared" si="195"/>
        <v>0</v>
      </c>
      <c r="U775" s="56">
        <f t="shared" si="195"/>
        <v>0</v>
      </c>
      <c r="V775" s="56">
        <f t="shared" si="195"/>
        <v>0</v>
      </c>
      <c r="W775" s="56">
        <f t="shared" si="195"/>
        <v>0</v>
      </c>
      <c r="X775" s="56">
        <f t="shared" si="195"/>
        <v>0</v>
      </c>
      <c r="Y775" s="56">
        <f t="shared" si="195"/>
        <v>0</v>
      </c>
      <c r="Z775" s="56">
        <f t="shared" si="195"/>
        <v>0</v>
      </c>
      <c r="AA775" s="56">
        <f t="shared" si="195"/>
        <v>0</v>
      </c>
      <c r="AB775" s="56">
        <f t="shared" si="195"/>
        <v>0</v>
      </c>
      <c r="AC775" s="56">
        <f t="shared" si="195"/>
        <v>0</v>
      </c>
      <c r="AD775" s="56">
        <f t="shared" si="195"/>
        <v>0</v>
      </c>
      <c r="AE775" s="56">
        <f t="shared" si="195"/>
        <v>0</v>
      </c>
      <c r="AF775" s="56">
        <f t="shared" si="195"/>
        <v>0</v>
      </c>
      <c r="AG775" s="56">
        <f t="shared" si="195"/>
        <v>0</v>
      </c>
      <c r="AH775" s="56">
        <f t="shared" si="195"/>
        <v>0</v>
      </c>
      <c r="AI775" s="56">
        <f t="shared" si="195"/>
        <v>0</v>
      </c>
      <c r="AJ775" s="56">
        <f t="shared" si="195"/>
        <v>0</v>
      </c>
      <c r="AK775" s="56">
        <f t="shared" si="195"/>
        <v>0</v>
      </c>
      <c r="AL775" s="56">
        <f t="shared" si="195"/>
        <v>0</v>
      </c>
      <c r="AM775" s="56">
        <f t="shared" si="195"/>
        <v>0</v>
      </c>
      <c r="AN775" s="56">
        <f t="shared" si="195"/>
        <v>0</v>
      </c>
      <c r="AO775" s="56">
        <f t="shared" si="195"/>
        <v>0</v>
      </c>
      <c r="AP775" s="29"/>
    </row>
    <row r="776" spans="1:42" outlineLevel="1" x14ac:dyDescent="0.25">
      <c r="A776" s="54"/>
      <c r="B776" s="13"/>
      <c r="C776" s="45" t="s">
        <v>484</v>
      </c>
      <c r="D776" s="14"/>
      <c r="E776" s="70" t="s">
        <v>474</v>
      </c>
      <c r="F776" s="200"/>
      <c r="G776" s="56"/>
      <c r="H776" s="56"/>
      <c r="I776" s="56">
        <f>I768*Data!H$16/1000</f>
        <v>0</v>
      </c>
      <c r="J776" s="56">
        <f>J768*Data!I$16/1000</f>
        <v>0</v>
      </c>
      <c r="K776" s="56">
        <f>K768*Data!J$16/1000</f>
        <v>0</v>
      </c>
      <c r="L776" s="56">
        <f>L768*Data!K$16/1000</f>
        <v>0</v>
      </c>
      <c r="M776" s="56">
        <f>M768*Data!L$16/1000</f>
        <v>0</v>
      </c>
      <c r="N776" s="56">
        <f>N768*Data!M$16/1000</f>
        <v>0</v>
      </c>
      <c r="O776" s="56">
        <f>O768*Data!N$16/1000</f>
        <v>0</v>
      </c>
      <c r="P776" s="56">
        <f>P768*Data!O$16/1000</f>
        <v>0</v>
      </c>
      <c r="Q776" s="56">
        <f>Q768*Data!P$16/1000</f>
        <v>0</v>
      </c>
      <c r="R776" s="56">
        <f>R768*Data!Q$16/1000</f>
        <v>0</v>
      </c>
      <c r="S776" s="56">
        <f>S768*Data!R$16/1000</f>
        <v>0</v>
      </c>
      <c r="T776" s="56">
        <f>T768*Data!S$16/1000</f>
        <v>0</v>
      </c>
      <c r="U776" s="56">
        <f>U768*Data!T$16/1000</f>
        <v>2616.4093653107011</v>
      </c>
      <c r="V776" s="56">
        <f>V768*Data!U$16/1000</f>
        <v>2698.1721579766604</v>
      </c>
      <c r="W776" s="56">
        <f>W768*Data!V$16/1000</f>
        <v>2779.9349506426197</v>
      </c>
      <c r="X776" s="56">
        <f>X768*Data!W$16/1000</f>
        <v>2861.697743308579</v>
      </c>
      <c r="Y776" s="56">
        <f>Y768*Data!X$16/1000</f>
        <v>2943.4605359745383</v>
      </c>
      <c r="Z776" s="56">
        <f>Z768*Data!Y$16/1000</f>
        <v>3025.2233286404976</v>
      </c>
      <c r="AA776" s="56">
        <f>AA768*Data!Z$16/1000</f>
        <v>3106.9861213064573</v>
      </c>
      <c r="AB776" s="56">
        <f>AB768*Data!AA$16/1000</f>
        <v>3202.3760460834096</v>
      </c>
      <c r="AC776" s="56">
        <f>AC768*Data!AB$16/1000</f>
        <v>3284.1388387493698</v>
      </c>
      <c r="AD776" s="56">
        <f>AD768*Data!AC$16/1000</f>
        <v>3365.9016314153291</v>
      </c>
      <c r="AE776" s="56">
        <f>AE768*Data!AD$16/1000</f>
        <v>3447.6644240812884</v>
      </c>
      <c r="AF776" s="56">
        <f>AF768*Data!AE$16/1000</f>
        <v>3529.4272167472477</v>
      </c>
      <c r="AG776" s="56">
        <f>AG768*Data!AF$16/1000</f>
        <v>3611.190009413207</v>
      </c>
      <c r="AH776" s="56">
        <f>AH768*Data!AG$16/1000</f>
        <v>3692.9528020791663</v>
      </c>
      <c r="AI776" s="56">
        <f>AI768*Data!AH$16/1000</f>
        <v>3774.7155947451261</v>
      </c>
      <c r="AJ776" s="56">
        <f>AJ768*Data!AI$16/1000</f>
        <v>3897.3597837440652</v>
      </c>
      <c r="AK776" s="56">
        <f>AK768*Data!AJ$16/1000</f>
        <v>4006.3768406320105</v>
      </c>
      <c r="AL776" s="56">
        <f>AL768*Data!AK$16/1000</f>
        <v>4129.0210296309497</v>
      </c>
      <c r="AM776" s="56">
        <f>AM768*Data!AL$16/1000</f>
        <v>4251.6652186298888</v>
      </c>
      <c r="AN776" s="56">
        <f>AN768*Data!AM$16/1000</f>
        <v>4374.309407628828</v>
      </c>
      <c r="AO776" s="56">
        <f>AO768*Data!AN$16/1000</f>
        <v>0</v>
      </c>
      <c r="AP776" s="29"/>
    </row>
    <row r="777" spans="1:42" outlineLevel="1" x14ac:dyDescent="0.25">
      <c r="A777" s="54"/>
      <c r="B777" s="13"/>
      <c r="C777" s="45" t="s">
        <v>285</v>
      </c>
      <c r="D777" s="14"/>
      <c r="E777" s="70" t="s">
        <v>474</v>
      </c>
      <c r="F777" s="200">
        <f>Data!$E$36/1000</f>
        <v>1.0822865168539326</v>
      </c>
      <c r="G777" s="56"/>
      <c r="H777" s="56"/>
      <c r="I777" s="56">
        <f>I769*$F$777</f>
        <v>0</v>
      </c>
      <c r="J777" s="56">
        <f t="shared" ref="J777:AO777" si="196">J769*$F$777</f>
        <v>0</v>
      </c>
      <c r="K777" s="56">
        <f t="shared" si="196"/>
        <v>0</v>
      </c>
      <c r="L777" s="56">
        <f t="shared" si="196"/>
        <v>0</v>
      </c>
      <c r="M777" s="56">
        <f t="shared" si="196"/>
        <v>0</v>
      </c>
      <c r="N777" s="56">
        <f t="shared" si="196"/>
        <v>0</v>
      </c>
      <c r="O777" s="56">
        <f t="shared" si="196"/>
        <v>0</v>
      </c>
      <c r="P777" s="56">
        <f t="shared" si="196"/>
        <v>0</v>
      </c>
      <c r="Q777" s="56">
        <f t="shared" si="196"/>
        <v>0</v>
      </c>
      <c r="R777" s="56">
        <f t="shared" si="196"/>
        <v>0</v>
      </c>
      <c r="S777" s="56">
        <f t="shared" si="196"/>
        <v>0</v>
      </c>
      <c r="T777" s="56">
        <f t="shared" si="196"/>
        <v>0</v>
      </c>
      <c r="U777" s="56">
        <f t="shared" si="196"/>
        <v>0</v>
      </c>
      <c r="V777" s="56">
        <f t="shared" si="196"/>
        <v>0</v>
      </c>
      <c r="W777" s="56">
        <f t="shared" si="196"/>
        <v>0</v>
      </c>
      <c r="X777" s="56">
        <f t="shared" si="196"/>
        <v>0</v>
      </c>
      <c r="Y777" s="56">
        <f t="shared" si="196"/>
        <v>0</v>
      </c>
      <c r="Z777" s="56">
        <f t="shared" si="196"/>
        <v>0</v>
      </c>
      <c r="AA777" s="56">
        <f t="shared" si="196"/>
        <v>0</v>
      </c>
      <c r="AB777" s="56">
        <f t="shared" si="196"/>
        <v>0</v>
      </c>
      <c r="AC777" s="56">
        <f t="shared" si="196"/>
        <v>0</v>
      </c>
      <c r="AD777" s="56">
        <f t="shared" si="196"/>
        <v>0</v>
      </c>
      <c r="AE777" s="56">
        <f t="shared" si="196"/>
        <v>0</v>
      </c>
      <c r="AF777" s="56">
        <f t="shared" si="196"/>
        <v>0</v>
      </c>
      <c r="AG777" s="56">
        <f t="shared" si="196"/>
        <v>0</v>
      </c>
      <c r="AH777" s="56">
        <f t="shared" si="196"/>
        <v>0</v>
      </c>
      <c r="AI777" s="56">
        <f t="shared" si="196"/>
        <v>0</v>
      </c>
      <c r="AJ777" s="56">
        <f t="shared" si="196"/>
        <v>0</v>
      </c>
      <c r="AK777" s="56">
        <f t="shared" si="196"/>
        <v>0</v>
      </c>
      <c r="AL777" s="56">
        <f t="shared" si="196"/>
        <v>0</v>
      </c>
      <c r="AM777" s="56">
        <f t="shared" si="196"/>
        <v>0</v>
      </c>
      <c r="AN777" s="56">
        <f t="shared" si="196"/>
        <v>0</v>
      </c>
      <c r="AO777" s="56">
        <f t="shared" si="196"/>
        <v>0</v>
      </c>
      <c r="AP777" s="29"/>
    </row>
    <row r="778" spans="1:42" outlineLevel="1" x14ac:dyDescent="0.25">
      <c r="A778" s="54"/>
      <c r="B778" s="13"/>
      <c r="C778" s="45" t="s">
        <v>220</v>
      </c>
      <c r="D778" s="14"/>
      <c r="E778" s="70" t="s">
        <v>474</v>
      </c>
      <c r="F778" s="200">
        <f>Data!$E$37/1000</f>
        <v>371.00188764044947</v>
      </c>
      <c r="G778" s="56"/>
      <c r="H778" s="56"/>
      <c r="I778" s="56">
        <f>I770*$F$778</f>
        <v>0</v>
      </c>
      <c r="J778" s="56">
        <f t="shared" ref="J778:AO778" si="197">J770*$F$778</f>
        <v>0</v>
      </c>
      <c r="K778" s="56">
        <f t="shared" si="197"/>
        <v>0</v>
      </c>
      <c r="L778" s="56">
        <f t="shared" si="197"/>
        <v>0</v>
      </c>
      <c r="M778" s="56">
        <f t="shared" si="197"/>
        <v>0</v>
      </c>
      <c r="N778" s="56">
        <f t="shared" si="197"/>
        <v>0</v>
      </c>
      <c r="O778" s="56">
        <f t="shared" si="197"/>
        <v>0</v>
      </c>
      <c r="P778" s="56">
        <f t="shared" si="197"/>
        <v>0</v>
      </c>
      <c r="Q778" s="56">
        <f t="shared" si="197"/>
        <v>0</v>
      </c>
      <c r="R778" s="56">
        <f t="shared" si="197"/>
        <v>0</v>
      </c>
      <c r="S778" s="56">
        <f t="shared" si="197"/>
        <v>0</v>
      </c>
      <c r="T778" s="56">
        <f t="shared" si="197"/>
        <v>0</v>
      </c>
      <c r="U778" s="56">
        <f t="shared" si="197"/>
        <v>0</v>
      </c>
      <c r="V778" s="56">
        <f t="shared" si="197"/>
        <v>0</v>
      </c>
      <c r="W778" s="56">
        <f t="shared" si="197"/>
        <v>0</v>
      </c>
      <c r="X778" s="56">
        <f t="shared" si="197"/>
        <v>0</v>
      </c>
      <c r="Y778" s="56">
        <f t="shared" si="197"/>
        <v>0</v>
      </c>
      <c r="Z778" s="56">
        <f t="shared" si="197"/>
        <v>0</v>
      </c>
      <c r="AA778" s="56">
        <f t="shared" si="197"/>
        <v>0</v>
      </c>
      <c r="AB778" s="56">
        <f t="shared" si="197"/>
        <v>0</v>
      </c>
      <c r="AC778" s="56">
        <f t="shared" si="197"/>
        <v>0</v>
      </c>
      <c r="AD778" s="56">
        <f t="shared" si="197"/>
        <v>0</v>
      </c>
      <c r="AE778" s="56">
        <f t="shared" si="197"/>
        <v>0</v>
      </c>
      <c r="AF778" s="56">
        <f t="shared" si="197"/>
        <v>0</v>
      </c>
      <c r="AG778" s="56">
        <f t="shared" si="197"/>
        <v>0</v>
      </c>
      <c r="AH778" s="56">
        <f t="shared" si="197"/>
        <v>0</v>
      </c>
      <c r="AI778" s="56">
        <f t="shared" si="197"/>
        <v>0</v>
      </c>
      <c r="AJ778" s="56">
        <f t="shared" si="197"/>
        <v>0</v>
      </c>
      <c r="AK778" s="56">
        <f t="shared" si="197"/>
        <v>0</v>
      </c>
      <c r="AL778" s="56">
        <f t="shared" si="197"/>
        <v>0</v>
      </c>
      <c r="AM778" s="56">
        <f t="shared" si="197"/>
        <v>0</v>
      </c>
      <c r="AN778" s="56">
        <f t="shared" si="197"/>
        <v>0</v>
      </c>
      <c r="AO778" s="56">
        <f t="shared" si="197"/>
        <v>0</v>
      </c>
      <c r="AP778" s="29"/>
    </row>
    <row r="779" spans="1:42" outlineLevel="1" x14ac:dyDescent="0.25">
      <c r="A779" s="54"/>
      <c r="B779" s="13"/>
      <c r="C779" s="45" t="s">
        <v>212</v>
      </c>
      <c r="D779" s="14"/>
      <c r="E779" s="70" t="s">
        <v>474</v>
      </c>
      <c r="F779" s="200">
        <f>Data!$E$39/1000</f>
        <v>0</v>
      </c>
      <c r="G779" s="56"/>
      <c r="H779" s="56"/>
      <c r="I779" s="56">
        <f>I771*$F$779</f>
        <v>0</v>
      </c>
      <c r="J779" s="56">
        <f t="shared" ref="J779:AO779" si="198">J771*$F$779</f>
        <v>0</v>
      </c>
      <c r="K779" s="56">
        <f t="shared" si="198"/>
        <v>0</v>
      </c>
      <c r="L779" s="56">
        <f t="shared" si="198"/>
        <v>0</v>
      </c>
      <c r="M779" s="56">
        <f t="shared" si="198"/>
        <v>0</v>
      </c>
      <c r="N779" s="56">
        <f t="shared" si="198"/>
        <v>0</v>
      </c>
      <c r="O779" s="56">
        <f t="shared" si="198"/>
        <v>0</v>
      </c>
      <c r="P779" s="56">
        <f t="shared" si="198"/>
        <v>0</v>
      </c>
      <c r="Q779" s="56">
        <f t="shared" si="198"/>
        <v>0</v>
      </c>
      <c r="R779" s="56">
        <f t="shared" si="198"/>
        <v>0</v>
      </c>
      <c r="S779" s="56">
        <f t="shared" si="198"/>
        <v>0</v>
      </c>
      <c r="T779" s="56">
        <f t="shared" si="198"/>
        <v>0</v>
      </c>
      <c r="U779" s="56">
        <f t="shared" si="198"/>
        <v>0</v>
      </c>
      <c r="V779" s="56">
        <f t="shared" si="198"/>
        <v>0</v>
      </c>
      <c r="W779" s="56">
        <f t="shared" si="198"/>
        <v>0</v>
      </c>
      <c r="X779" s="56">
        <f t="shared" si="198"/>
        <v>0</v>
      </c>
      <c r="Y779" s="56">
        <f t="shared" si="198"/>
        <v>0</v>
      </c>
      <c r="Z779" s="56">
        <f t="shared" si="198"/>
        <v>0</v>
      </c>
      <c r="AA779" s="56">
        <f t="shared" si="198"/>
        <v>0</v>
      </c>
      <c r="AB779" s="56">
        <f t="shared" si="198"/>
        <v>0</v>
      </c>
      <c r="AC779" s="56">
        <f t="shared" si="198"/>
        <v>0</v>
      </c>
      <c r="AD779" s="56">
        <f t="shared" si="198"/>
        <v>0</v>
      </c>
      <c r="AE779" s="56">
        <f t="shared" si="198"/>
        <v>0</v>
      </c>
      <c r="AF779" s="56">
        <f t="shared" si="198"/>
        <v>0</v>
      </c>
      <c r="AG779" s="56">
        <f t="shared" si="198"/>
        <v>0</v>
      </c>
      <c r="AH779" s="56">
        <f t="shared" si="198"/>
        <v>0</v>
      </c>
      <c r="AI779" s="56">
        <f t="shared" si="198"/>
        <v>0</v>
      </c>
      <c r="AJ779" s="56">
        <f t="shared" si="198"/>
        <v>0</v>
      </c>
      <c r="AK779" s="56">
        <f t="shared" si="198"/>
        <v>0</v>
      </c>
      <c r="AL779" s="56">
        <f t="shared" si="198"/>
        <v>0</v>
      </c>
      <c r="AM779" s="56">
        <f t="shared" si="198"/>
        <v>0</v>
      </c>
      <c r="AN779" s="56">
        <f t="shared" si="198"/>
        <v>0</v>
      </c>
      <c r="AO779" s="56">
        <f t="shared" si="198"/>
        <v>0</v>
      </c>
      <c r="AP779" s="29"/>
    </row>
    <row r="780" spans="1:42" outlineLevel="1" x14ac:dyDescent="0.25">
      <c r="A780" s="54"/>
      <c r="B780" s="13"/>
      <c r="C780" s="45" t="s">
        <v>485</v>
      </c>
      <c r="D780" s="14"/>
      <c r="E780" s="70" t="s">
        <v>474</v>
      </c>
      <c r="F780" s="200">
        <f>Data!$E$40/1000</f>
        <v>605.20914606741576</v>
      </c>
      <c r="G780" s="56"/>
      <c r="H780" s="56"/>
      <c r="I780" s="56">
        <f>I772*$F$780</f>
        <v>0</v>
      </c>
      <c r="J780" s="56">
        <f t="shared" ref="J780:AO780" si="199">J772*$F$780</f>
        <v>0</v>
      </c>
      <c r="K780" s="56">
        <f t="shared" si="199"/>
        <v>0</v>
      </c>
      <c r="L780" s="56">
        <f t="shared" si="199"/>
        <v>0</v>
      </c>
      <c r="M780" s="56">
        <f t="shared" si="199"/>
        <v>0</v>
      </c>
      <c r="N780" s="56">
        <f t="shared" si="199"/>
        <v>0</v>
      </c>
      <c r="O780" s="56">
        <f t="shared" si="199"/>
        <v>0</v>
      </c>
      <c r="P780" s="56">
        <f t="shared" si="199"/>
        <v>0</v>
      </c>
      <c r="Q780" s="56">
        <f t="shared" si="199"/>
        <v>0</v>
      </c>
      <c r="R780" s="56">
        <f t="shared" si="199"/>
        <v>0</v>
      </c>
      <c r="S780" s="56">
        <f t="shared" si="199"/>
        <v>0</v>
      </c>
      <c r="T780" s="56">
        <f t="shared" si="199"/>
        <v>0</v>
      </c>
      <c r="U780" s="56">
        <f t="shared" si="199"/>
        <v>0</v>
      </c>
      <c r="V780" s="56">
        <f t="shared" si="199"/>
        <v>0</v>
      </c>
      <c r="W780" s="56">
        <f t="shared" si="199"/>
        <v>0</v>
      </c>
      <c r="X780" s="56">
        <f t="shared" si="199"/>
        <v>0</v>
      </c>
      <c r="Y780" s="56">
        <f t="shared" si="199"/>
        <v>0</v>
      </c>
      <c r="Z780" s="56">
        <f t="shared" si="199"/>
        <v>0</v>
      </c>
      <c r="AA780" s="56">
        <f t="shared" si="199"/>
        <v>0</v>
      </c>
      <c r="AB780" s="56">
        <f t="shared" si="199"/>
        <v>0</v>
      </c>
      <c r="AC780" s="56">
        <f t="shared" si="199"/>
        <v>0</v>
      </c>
      <c r="AD780" s="56">
        <f t="shared" si="199"/>
        <v>0</v>
      </c>
      <c r="AE780" s="56">
        <f t="shared" si="199"/>
        <v>0</v>
      </c>
      <c r="AF780" s="56">
        <f t="shared" si="199"/>
        <v>0</v>
      </c>
      <c r="AG780" s="56">
        <f t="shared" si="199"/>
        <v>0</v>
      </c>
      <c r="AH780" s="56">
        <f t="shared" si="199"/>
        <v>0</v>
      </c>
      <c r="AI780" s="56">
        <f t="shared" si="199"/>
        <v>0</v>
      </c>
      <c r="AJ780" s="56">
        <f t="shared" si="199"/>
        <v>0</v>
      </c>
      <c r="AK780" s="56">
        <f t="shared" si="199"/>
        <v>0</v>
      </c>
      <c r="AL780" s="56">
        <f t="shared" si="199"/>
        <v>0</v>
      </c>
      <c r="AM780" s="56">
        <f t="shared" si="199"/>
        <v>0</v>
      </c>
      <c r="AN780" s="56">
        <f t="shared" si="199"/>
        <v>0</v>
      </c>
      <c r="AO780" s="56">
        <f t="shared" si="199"/>
        <v>0</v>
      </c>
      <c r="AP780" s="29"/>
    </row>
    <row r="781" spans="1:42" outlineLevel="1" x14ac:dyDescent="0.25">
      <c r="A781" s="54"/>
      <c r="B781" s="13"/>
      <c r="C781" s="45" t="s">
        <v>214</v>
      </c>
      <c r="D781" s="14"/>
      <c r="E781" s="70" t="s">
        <v>474</v>
      </c>
      <c r="F781" s="200">
        <f>Data!$E$41/1000</f>
        <v>0</v>
      </c>
      <c r="G781" s="56"/>
      <c r="H781" s="56"/>
      <c r="I781" s="56">
        <f>I773*$F$781</f>
        <v>0</v>
      </c>
      <c r="J781" s="56">
        <f t="shared" ref="J781:AO781" si="200">J773*$F$781</f>
        <v>0</v>
      </c>
      <c r="K781" s="56">
        <f t="shared" si="200"/>
        <v>0</v>
      </c>
      <c r="L781" s="56">
        <f t="shared" si="200"/>
        <v>0</v>
      </c>
      <c r="M781" s="56">
        <f t="shared" si="200"/>
        <v>0</v>
      </c>
      <c r="N781" s="56">
        <f t="shared" si="200"/>
        <v>0</v>
      </c>
      <c r="O781" s="56">
        <f t="shared" si="200"/>
        <v>0</v>
      </c>
      <c r="P781" s="56">
        <f t="shared" si="200"/>
        <v>0</v>
      </c>
      <c r="Q781" s="56">
        <f t="shared" si="200"/>
        <v>0</v>
      </c>
      <c r="R781" s="56">
        <f t="shared" si="200"/>
        <v>0</v>
      </c>
      <c r="S781" s="56">
        <f t="shared" si="200"/>
        <v>0</v>
      </c>
      <c r="T781" s="56">
        <f t="shared" si="200"/>
        <v>0</v>
      </c>
      <c r="U781" s="56">
        <f t="shared" si="200"/>
        <v>0</v>
      </c>
      <c r="V781" s="56">
        <f t="shared" si="200"/>
        <v>0</v>
      </c>
      <c r="W781" s="56">
        <f t="shared" si="200"/>
        <v>0</v>
      </c>
      <c r="X781" s="56">
        <f t="shared" si="200"/>
        <v>0</v>
      </c>
      <c r="Y781" s="56">
        <f t="shared" si="200"/>
        <v>0</v>
      </c>
      <c r="Z781" s="56">
        <f t="shared" si="200"/>
        <v>0</v>
      </c>
      <c r="AA781" s="56">
        <f t="shared" si="200"/>
        <v>0</v>
      </c>
      <c r="AB781" s="56">
        <f t="shared" si="200"/>
        <v>0</v>
      </c>
      <c r="AC781" s="56">
        <f t="shared" si="200"/>
        <v>0</v>
      </c>
      <c r="AD781" s="56">
        <f t="shared" si="200"/>
        <v>0</v>
      </c>
      <c r="AE781" s="56">
        <f t="shared" si="200"/>
        <v>0</v>
      </c>
      <c r="AF781" s="56">
        <f t="shared" si="200"/>
        <v>0</v>
      </c>
      <c r="AG781" s="56">
        <f t="shared" si="200"/>
        <v>0</v>
      </c>
      <c r="AH781" s="56">
        <f t="shared" si="200"/>
        <v>0</v>
      </c>
      <c r="AI781" s="56">
        <f t="shared" si="200"/>
        <v>0</v>
      </c>
      <c r="AJ781" s="56">
        <f t="shared" si="200"/>
        <v>0</v>
      </c>
      <c r="AK781" s="56">
        <f t="shared" si="200"/>
        <v>0</v>
      </c>
      <c r="AL781" s="56">
        <f t="shared" si="200"/>
        <v>0</v>
      </c>
      <c r="AM781" s="56">
        <f t="shared" si="200"/>
        <v>0</v>
      </c>
      <c r="AN781" s="56">
        <f t="shared" si="200"/>
        <v>0</v>
      </c>
      <c r="AO781" s="56">
        <f t="shared" si="200"/>
        <v>0</v>
      </c>
      <c r="AP781" s="29"/>
    </row>
    <row r="782" spans="1:42" outlineLevel="1" x14ac:dyDescent="0.25">
      <c r="A782" s="12"/>
      <c r="B782" s="13"/>
      <c r="C782" s="20" t="s">
        <v>486</v>
      </c>
      <c r="D782" s="14"/>
      <c r="E782" s="70" t="s">
        <v>474</v>
      </c>
      <c r="F782" s="16"/>
      <c r="G782" s="159"/>
      <c r="H782" s="185"/>
      <c r="I782" s="185">
        <f>SUM(I775:I781)</f>
        <v>0</v>
      </c>
      <c r="J782" s="185">
        <f t="shared" ref="J782" si="201">SUM(J775:J781)</f>
        <v>0</v>
      </c>
      <c r="K782" s="185">
        <f t="shared" ref="K782" si="202">SUM(K775:K781)</f>
        <v>0</v>
      </c>
      <c r="L782" s="185">
        <f t="shared" ref="L782" si="203">SUM(L775:L781)</f>
        <v>0</v>
      </c>
      <c r="M782" s="185">
        <f t="shared" ref="M782" si="204">SUM(M775:M781)</f>
        <v>0</v>
      </c>
      <c r="N782" s="185">
        <f t="shared" ref="N782" si="205">SUM(N775:N781)</f>
        <v>0</v>
      </c>
      <c r="O782" s="185">
        <f t="shared" ref="O782" si="206">SUM(O775:O781)</f>
        <v>0</v>
      </c>
      <c r="P782" s="185">
        <f t="shared" ref="P782" si="207">SUM(P775:P781)</f>
        <v>0</v>
      </c>
      <c r="Q782" s="185">
        <f t="shared" ref="Q782" si="208">SUM(Q775:Q781)</f>
        <v>0</v>
      </c>
      <c r="R782" s="185">
        <f t="shared" ref="R782" si="209">SUM(R775:R781)</f>
        <v>0</v>
      </c>
      <c r="S782" s="185">
        <f t="shared" ref="S782" si="210">SUM(S775:S781)</f>
        <v>0</v>
      </c>
      <c r="T782" s="185">
        <f t="shared" ref="T782" si="211">SUM(T775:T781)</f>
        <v>0</v>
      </c>
      <c r="U782" s="185">
        <f>SUM(U775:U781)</f>
        <v>2616.4093653107011</v>
      </c>
      <c r="V782" s="185">
        <f t="shared" ref="V782" si="212">SUM(V775:V781)</f>
        <v>2698.1721579766604</v>
      </c>
      <c r="W782" s="185">
        <f t="shared" ref="W782" si="213">SUM(W775:W781)</f>
        <v>2779.9349506426197</v>
      </c>
      <c r="X782" s="185">
        <f t="shared" ref="X782" si="214">SUM(X775:X781)</f>
        <v>2861.697743308579</v>
      </c>
      <c r="Y782" s="185">
        <f t="shared" ref="Y782" si="215">SUM(Y775:Y781)</f>
        <v>2943.4605359745383</v>
      </c>
      <c r="Z782" s="185">
        <f t="shared" ref="Z782" si="216">SUM(Z775:Z781)</f>
        <v>3025.2233286404976</v>
      </c>
      <c r="AA782" s="185">
        <f t="shared" ref="AA782" si="217">SUM(AA775:AA781)</f>
        <v>3106.9861213064573</v>
      </c>
      <c r="AB782" s="185">
        <f t="shared" ref="AB782" si="218">SUM(AB775:AB781)</f>
        <v>3202.3760460834096</v>
      </c>
      <c r="AC782" s="185">
        <f t="shared" ref="AC782" si="219">SUM(AC775:AC781)</f>
        <v>3284.1388387493698</v>
      </c>
      <c r="AD782" s="185">
        <f t="shared" ref="AD782" si="220">SUM(AD775:AD781)</f>
        <v>3365.9016314153291</v>
      </c>
      <c r="AE782" s="185">
        <f t="shared" ref="AE782" si="221">SUM(AE775:AE781)</f>
        <v>3447.6644240812884</v>
      </c>
      <c r="AF782" s="185">
        <f t="shared" ref="AF782" si="222">SUM(AF775:AF781)</f>
        <v>3529.4272167472477</v>
      </c>
      <c r="AG782" s="185">
        <f t="shared" ref="AG782" si="223">SUM(AG775:AG781)</f>
        <v>3611.190009413207</v>
      </c>
      <c r="AH782" s="185">
        <f t="shared" ref="AH782" si="224">SUM(AH775:AH781)</f>
        <v>3692.9528020791663</v>
      </c>
      <c r="AI782" s="185">
        <f t="shared" ref="AI782" si="225">SUM(AI775:AI781)</f>
        <v>3774.7155947451261</v>
      </c>
      <c r="AJ782" s="185">
        <f t="shared" ref="AJ782" si="226">SUM(AJ775:AJ781)</f>
        <v>3897.3597837440652</v>
      </c>
      <c r="AK782" s="185">
        <f t="shared" ref="AK782" si="227">SUM(AK775:AK781)</f>
        <v>4006.3768406320105</v>
      </c>
      <c r="AL782" s="185">
        <f t="shared" ref="AL782" si="228">SUM(AL775:AL781)</f>
        <v>4129.0210296309497</v>
      </c>
      <c r="AM782" s="185">
        <f t="shared" ref="AM782" si="229">SUM(AM775:AM781)</f>
        <v>4251.6652186298888</v>
      </c>
      <c r="AN782" s="185">
        <f t="shared" ref="AN782" si="230">SUM(AN775:AN781)</f>
        <v>4374.309407628828</v>
      </c>
      <c r="AO782" s="185">
        <f t="shared" ref="AO782" si="231">SUM(AO775:AO781)</f>
        <v>0</v>
      </c>
      <c r="AP782" s="14"/>
    </row>
    <row r="783" spans="1:42" outlineLevel="1" x14ac:dyDescent="0.25">
      <c r="A783" s="12"/>
      <c r="B783" s="13"/>
      <c r="C783" s="14" t="s">
        <v>523</v>
      </c>
      <c r="D783" s="14"/>
      <c r="E783" s="15" t="s">
        <v>474</v>
      </c>
      <c r="F783" s="48"/>
      <c r="G783" s="185"/>
      <c r="H783" s="185"/>
      <c r="I783" s="185">
        <f>I782*Data!H$9</f>
        <v>0</v>
      </c>
      <c r="J783" s="185">
        <f>J782*Data!I$9</f>
        <v>0</v>
      </c>
      <c r="K783" s="185">
        <f>K782*Data!J$9</f>
        <v>0</v>
      </c>
      <c r="L783" s="185">
        <f>L782*Data!K$9</f>
        <v>0</v>
      </c>
      <c r="M783" s="185">
        <f>M782*Data!L$9</f>
        <v>0</v>
      </c>
      <c r="N783" s="185">
        <f>N782*Data!M$9</f>
        <v>0</v>
      </c>
      <c r="O783" s="185">
        <f>O782*Data!N$9</f>
        <v>0</v>
      </c>
      <c r="P783" s="185">
        <f>P782*Data!O$9</f>
        <v>0</v>
      </c>
      <c r="Q783" s="185">
        <f>Q782*Data!P$9</f>
        <v>0</v>
      </c>
      <c r="R783" s="185">
        <f>R782*Data!Q$9</f>
        <v>0</v>
      </c>
      <c r="S783" s="185">
        <f>S782*Data!R$9</f>
        <v>0</v>
      </c>
      <c r="T783" s="185">
        <f>T782*Data!S$9</f>
        <v>0</v>
      </c>
      <c r="U783" s="185">
        <f>U782*Data!T$9</f>
        <v>1571.3476635256873</v>
      </c>
      <c r="V783" s="185">
        <f>V782*Data!U$9</f>
        <v>1558.1271903950626</v>
      </c>
      <c r="W783" s="185">
        <f>W782*Data!V$9</f>
        <v>1543.5991979438263</v>
      </c>
      <c r="X783" s="185">
        <f>X782*Data!W$9</f>
        <v>1527.8838214941716</v>
      </c>
      <c r="Y783" s="185">
        <f>Y782*Data!X$9</f>
        <v>1511.0938893898401</v>
      </c>
      <c r="Z783" s="185">
        <f>Z782*Data!Y$9</f>
        <v>1493.3353073564122</v>
      </c>
      <c r="AA783" s="185">
        <f>AA782*Data!Z$9</f>
        <v>1474.7074241045652</v>
      </c>
      <c r="AB783" s="185">
        <f>AB782*Data!AA$9</f>
        <v>1461.5226242601755</v>
      </c>
      <c r="AC783" s="185">
        <f>AC782*Data!AB$9</f>
        <v>1441.190476459502</v>
      </c>
      <c r="AD783" s="185">
        <f>AD782*Data!AC$9</f>
        <v>1420.2603243117499</v>
      </c>
      <c r="AE783" s="185">
        <f>AE782*Data!AD$9</f>
        <v>1398.8082452930269</v>
      </c>
      <c r="AF783" s="185">
        <f>AF782*Data!AE$9</f>
        <v>1376.9053493877088</v>
      </c>
      <c r="AG783" s="185">
        <f>AG782*Data!AF$9</f>
        <v>1354.6180486625435</v>
      </c>
      <c r="AH783" s="185">
        <f>AH782*Data!AG$9</f>
        <v>1332.0083134526465</v>
      </c>
      <c r="AI783" s="185">
        <f>AI782*Data!AH$9</f>
        <v>1309.1339157904592</v>
      </c>
      <c r="AJ783" s="185">
        <f>AJ782*Data!AI$9</f>
        <v>1299.6816853515388</v>
      </c>
      <c r="AK783" s="185">
        <f>AK782*Data!AJ$9</f>
        <v>1284.6504017393502</v>
      </c>
      <c r="AL783" s="185">
        <f>AL782*Data!AK$9</f>
        <v>1273.0542638900549</v>
      </c>
      <c r="AM783" s="185">
        <f>AM782*Data!AL$9</f>
        <v>1260.449766227777</v>
      </c>
      <c r="AN783" s="185">
        <f>AN782*Data!AM$9</f>
        <v>1246.9316289420501</v>
      </c>
      <c r="AO783" s="185">
        <f>AO782*Data!AN$9</f>
        <v>0</v>
      </c>
      <c r="AP783" s="14"/>
    </row>
    <row r="784" spans="1:42" outlineLevel="1" x14ac:dyDescent="0.25">
      <c r="A784" s="12"/>
      <c r="B784" s="13"/>
      <c r="C784" s="14" t="s">
        <v>489</v>
      </c>
      <c r="D784" s="13"/>
      <c r="E784" s="15" t="s">
        <v>142</v>
      </c>
      <c r="F784" s="16"/>
      <c r="G784" s="159">
        <f>SUM(H783:AO783)</f>
        <v>28139.309537978144</v>
      </c>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row>
    <row r="785" spans="1:42" outlineLevel="1" x14ac:dyDescent="0.25">
      <c r="A785" s="12"/>
      <c r="B785" s="13"/>
      <c r="C785" s="41" t="s">
        <v>62</v>
      </c>
      <c r="D785" s="41"/>
      <c r="E785" s="15" t="s">
        <v>261</v>
      </c>
      <c r="F785" s="16"/>
      <c r="G785" s="184">
        <f>G784/(SUM(H765:AO765))</f>
        <v>1.5031682445501146E-2</v>
      </c>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7"/>
    </row>
    <row r="786" spans="1:42" outlineLevel="1" x14ac:dyDescent="0.25">
      <c r="A786" s="12"/>
      <c r="B786" s="13"/>
      <c r="C786" s="41"/>
      <c r="D786" s="41"/>
      <c r="E786" s="15"/>
      <c r="F786" s="16"/>
      <c r="G786" s="14"/>
      <c r="H786" s="141"/>
      <c r="I786" s="141"/>
      <c r="J786" s="141"/>
      <c r="K786" s="141"/>
      <c r="L786" s="141"/>
      <c r="M786" s="141"/>
      <c r="N786" s="141"/>
      <c r="O786" s="141"/>
      <c r="P786" s="141"/>
      <c r="Q786" s="141"/>
      <c r="R786" s="141"/>
      <c r="S786" s="141"/>
      <c r="T786" s="141"/>
      <c r="U786" s="141"/>
      <c r="V786" s="141"/>
      <c r="W786" s="141"/>
      <c r="X786" s="141"/>
      <c r="Y786" s="141"/>
      <c r="Z786" s="141"/>
      <c r="AA786" s="141"/>
      <c r="AB786" s="141"/>
      <c r="AC786" s="14"/>
      <c r="AD786" s="14"/>
      <c r="AE786" s="14"/>
      <c r="AF786" s="14"/>
      <c r="AG786" s="14"/>
      <c r="AH786" s="14"/>
      <c r="AI786" s="14"/>
      <c r="AJ786" s="14"/>
      <c r="AK786" s="14"/>
      <c r="AL786" s="14"/>
      <c r="AM786" s="14"/>
      <c r="AN786" s="14"/>
      <c r="AO786" s="14"/>
      <c r="AP786" s="17"/>
    </row>
    <row r="787" spans="1:42" outlineLevel="1" x14ac:dyDescent="0.25">
      <c r="A787" s="12"/>
      <c r="B787" s="13"/>
      <c r="C787" s="19" t="s">
        <v>252</v>
      </c>
      <c r="D787" s="14"/>
      <c r="E787" s="15"/>
      <c r="F787" s="16"/>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row>
    <row r="788" spans="1:42" outlineLevel="1" x14ac:dyDescent="0.25">
      <c r="A788" s="12"/>
      <c r="B788" s="13"/>
      <c r="C788" s="45" t="s">
        <v>520</v>
      </c>
      <c r="D788" s="14"/>
      <c r="E788" s="15" t="s">
        <v>521</v>
      </c>
      <c r="F788" s="16"/>
      <c r="G788" s="14"/>
      <c r="H788" s="141"/>
      <c r="I788" s="141">
        <f t="shared" ref="I788:AO788" si="232">I657</f>
        <v>93600</v>
      </c>
      <c r="J788" s="141">
        <f t="shared" si="232"/>
        <v>93600</v>
      </c>
      <c r="K788" s="141">
        <f t="shared" si="232"/>
        <v>93600</v>
      </c>
      <c r="L788" s="141">
        <f t="shared" si="232"/>
        <v>93600</v>
      </c>
      <c r="M788" s="141">
        <f t="shared" si="232"/>
        <v>93600</v>
      </c>
      <c r="N788" s="141">
        <f t="shared" si="232"/>
        <v>93600</v>
      </c>
      <c r="O788" s="141">
        <f t="shared" si="232"/>
        <v>93600</v>
      </c>
      <c r="P788" s="141">
        <f t="shared" si="232"/>
        <v>93600</v>
      </c>
      <c r="Q788" s="141">
        <f t="shared" si="232"/>
        <v>93600</v>
      </c>
      <c r="R788" s="141">
        <f t="shared" si="232"/>
        <v>93600</v>
      </c>
      <c r="S788" s="141">
        <f t="shared" si="232"/>
        <v>93600</v>
      </c>
      <c r="T788" s="141">
        <f t="shared" si="232"/>
        <v>93600</v>
      </c>
      <c r="U788" s="141">
        <f t="shared" si="232"/>
        <v>0</v>
      </c>
      <c r="V788" s="141">
        <f t="shared" si="232"/>
        <v>0</v>
      </c>
      <c r="W788" s="141">
        <f t="shared" si="232"/>
        <v>0</v>
      </c>
      <c r="X788" s="141">
        <f t="shared" si="232"/>
        <v>0</v>
      </c>
      <c r="Y788" s="141">
        <f t="shared" si="232"/>
        <v>0</v>
      </c>
      <c r="Z788" s="141">
        <f t="shared" si="232"/>
        <v>0</v>
      </c>
      <c r="AA788" s="141">
        <f t="shared" si="232"/>
        <v>0</v>
      </c>
      <c r="AB788" s="141">
        <f t="shared" si="232"/>
        <v>0</v>
      </c>
      <c r="AC788" s="141">
        <f t="shared" si="232"/>
        <v>0</v>
      </c>
      <c r="AD788" s="141">
        <f t="shared" si="232"/>
        <v>0</v>
      </c>
      <c r="AE788" s="141">
        <f t="shared" si="232"/>
        <v>0</v>
      </c>
      <c r="AF788" s="141">
        <f t="shared" si="232"/>
        <v>0</v>
      </c>
      <c r="AG788" s="141">
        <f t="shared" si="232"/>
        <v>0</v>
      </c>
      <c r="AH788" s="141">
        <f t="shared" si="232"/>
        <v>0</v>
      </c>
      <c r="AI788" s="141">
        <f t="shared" si="232"/>
        <v>0</v>
      </c>
      <c r="AJ788" s="141">
        <f t="shared" si="232"/>
        <v>0</v>
      </c>
      <c r="AK788" s="141">
        <f t="shared" si="232"/>
        <v>0</v>
      </c>
      <c r="AL788" s="141">
        <f t="shared" si="232"/>
        <v>0</v>
      </c>
      <c r="AM788" s="141">
        <f t="shared" si="232"/>
        <v>0</v>
      </c>
      <c r="AN788" s="141">
        <f t="shared" si="232"/>
        <v>0</v>
      </c>
      <c r="AO788" s="141">
        <f t="shared" si="232"/>
        <v>0</v>
      </c>
      <c r="AP788" s="14"/>
    </row>
    <row r="789" spans="1:42" outlineLevel="1" x14ac:dyDescent="0.25">
      <c r="A789" s="12"/>
      <c r="B789" s="13"/>
      <c r="C789" s="44" t="s">
        <v>483</v>
      </c>
      <c r="D789" s="14"/>
      <c r="E789" s="15"/>
      <c r="F789" s="16"/>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159"/>
      <c r="AG789" s="14"/>
      <c r="AH789" s="14"/>
      <c r="AI789" s="14"/>
      <c r="AJ789" s="14"/>
      <c r="AK789" s="14"/>
      <c r="AL789" s="14"/>
      <c r="AM789" s="14"/>
      <c r="AN789" s="14"/>
      <c r="AO789" s="14"/>
      <c r="AP789" s="14"/>
    </row>
    <row r="790" spans="1:42" ht="14.25" customHeight="1" outlineLevel="1" x14ac:dyDescent="0.25">
      <c r="A790" s="54"/>
      <c r="B790" s="13"/>
      <c r="C790" s="45" t="s">
        <v>205</v>
      </c>
      <c r="D790" s="14"/>
      <c r="E790" s="70" t="s">
        <v>352</v>
      </c>
      <c r="F790" s="200">
        <f>Data!E556/1000</f>
        <v>3.0107355222942197E-3</v>
      </c>
      <c r="G790" s="56"/>
      <c r="H790" s="56"/>
      <c r="I790" s="56">
        <f>I$788*$F$790</f>
        <v>281.80484488673898</v>
      </c>
      <c r="J790" s="56">
        <f t="shared" ref="J790:AO790" si="233">J$788*$F$790</f>
        <v>281.80484488673898</v>
      </c>
      <c r="K790" s="56">
        <f t="shared" si="233"/>
        <v>281.80484488673898</v>
      </c>
      <c r="L790" s="56">
        <f t="shared" si="233"/>
        <v>281.80484488673898</v>
      </c>
      <c r="M790" s="56">
        <f t="shared" si="233"/>
        <v>281.80484488673898</v>
      </c>
      <c r="N790" s="56">
        <f t="shared" si="233"/>
        <v>281.80484488673898</v>
      </c>
      <c r="O790" s="56">
        <f t="shared" si="233"/>
        <v>281.80484488673898</v>
      </c>
      <c r="P790" s="56">
        <f t="shared" si="233"/>
        <v>281.80484488673898</v>
      </c>
      <c r="Q790" s="56">
        <f t="shared" si="233"/>
        <v>281.80484488673898</v>
      </c>
      <c r="R790" s="56">
        <f t="shared" si="233"/>
        <v>281.80484488673898</v>
      </c>
      <c r="S790" s="56">
        <f t="shared" si="233"/>
        <v>281.80484488673898</v>
      </c>
      <c r="T790" s="56">
        <f t="shared" si="233"/>
        <v>281.80484488673898</v>
      </c>
      <c r="U790" s="56">
        <f t="shared" si="233"/>
        <v>0</v>
      </c>
      <c r="V790" s="56">
        <f t="shared" si="233"/>
        <v>0</v>
      </c>
      <c r="W790" s="56">
        <f t="shared" si="233"/>
        <v>0</v>
      </c>
      <c r="X790" s="56">
        <f t="shared" si="233"/>
        <v>0</v>
      </c>
      <c r="Y790" s="56">
        <f t="shared" si="233"/>
        <v>0</v>
      </c>
      <c r="Z790" s="56">
        <f t="shared" si="233"/>
        <v>0</v>
      </c>
      <c r="AA790" s="56">
        <f t="shared" si="233"/>
        <v>0</v>
      </c>
      <c r="AB790" s="56">
        <f t="shared" si="233"/>
        <v>0</v>
      </c>
      <c r="AC790" s="56">
        <f t="shared" si="233"/>
        <v>0</v>
      </c>
      <c r="AD790" s="56">
        <f t="shared" si="233"/>
        <v>0</v>
      </c>
      <c r="AE790" s="56">
        <f t="shared" si="233"/>
        <v>0</v>
      </c>
      <c r="AF790" s="56">
        <f t="shared" si="233"/>
        <v>0</v>
      </c>
      <c r="AG790" s="56">
        <f t="shared" si="233"/>
        <v>0</v>
      </c>
      <c r="AH790" s="56">
        <f t="shared" si="233"/>
        <v>0</v>
      </c>
      <c r="AI790" s="56">
        <f t="shared" si="233"/>
        <v>0</v>
      </c>
      <c r="AJ790" s="56">
        <f t="shared" si="233"/>
        <v>0</v>
      </c>
      <c r="AK790" s="56">
        <f t="shared" si="233"/>
        <v>0</v>
      </c>
      <c r="AL790" s="56">
        <f t="shared" si="233"/>
        <v>0</v>
      </c>
      <c r="AM790" s="56">
        <f t="shared" si="233"/>
        <v>0</v>
      </c>
      <c r="AN790" s="56">
        <f t="shared" si="233"/>
        <v>0</v>
      </c>
      <c r="AO790" s="56">
        <f t="shared" si="233"/>
        <v>0</v>
      </c>
      <c r="AP790" s="29"/>
    </row>
    <row r="791" spans="1:42" outlineLevel="1" x14ac:dyDescent="0.25">
      <c r="A791" s="54"/>
      <c r="B791" s="13"/>
      <c r="C791" s="45" t="s">
        <v>484</v>
      </c>
      <c r="D791" s="14"/>
      <c r="E791" s="70" t="s">
        <v>352</v>
      </c>
      <c r="F791" s="200">
        <f>Data!E557/1000</f>
        <v>2.2565026878869472</v>
      </c>
      <c r="G791" s="56"/>
      <c r="H791" s="56"/>
      <c r="I791" s="56">
        <f>I$788*$F$791</f>
        <v>211208.65158621827</v>
      </c>
      <c r="J791" s="56">
        <f t="shared" ref="J791:AO791" si="234">J$788*$F$791</f>
        <v>211208.65158621827</v>
      </c>
      <c r="K791" s="56">
        <f t="shared" si="234"/>
        <v>211208.65158621827</v>
      </c>
      <c r="L791" s="56">
        <f t="shared" si="234"/>
        <v>211208.65158621827</v>
      </c>
      <c r="M791" s="56">
        <f t="shared" si="234"/>
        <v>211208.65158621827</v>
      </c>
      <c r="N791" s="56">
        <f t="shared" si="234"/>
        <v>211208.65158621827</v>
      </c>
      <c r="O791" s="56">
        <f t="shared" si="234"/>
        <v>211208.65158621827</v>
      </c>
      <c r="P791" s="56">
        <f t="shared" si="234"/>
        <v>211208.65158621827</v>
      </c>
      <c r="Q791" s="56">
        <f t="shared" si="234"/>
        <v>211208.65158621827</v>
      </c>
      <c r="R791" s="56">
        <f t="shared" si="234"/>
        <v>211208.65158621827</v>
      </c>
      <c r="S791" s="56">
        <f t="shared" si="234"/>
        <v>211208.65158621827</v>
      </c>
      <c r="T791" s="56">
        <f t="shared" si="234"/>
        <v>211208.65158621827</v>
      </c>
      <c r="U791" s="56">
        <f t="shared" si="234"/>
        <v>0</v>
      </c>
      <c r="V791" s="56">
        <f t="shared" si="234"/>
        <v>0</v>
      </c>
      <c r="W791" s="56">
        <f t="shared" si="234"/>
        <v>0</v>
      </c>
      <c r="X791" s="56">
        <f t="shared" si="234"/>
        <v>0</v>
      </c>
      <c r="Y791" s="56">
        <f t="shared" si="234"/>
        <v>0</v>
      </c>
      <c r="Z791" s="56">
        <f t="shared" si="234"/>
        <v>0</v>
      </c>
      <c r="AA791" s="56">
        <f t="shared" si="234"/>
        <v>0</v>
      </c>
      <c r="AB791" s="56">
        <f t="shared" si="234"/>
        <v>0</v>
      </c>
      <c r="AC791" s="56">
        <f t="shared" si="234"/>
        <v>0</v>
      </c>
      <c r="AD791" s="56">
        <f t="shared" si="234"/>
        <v>0</v>
      </c>
      <c r="AE791" s="56">
        <f t="shared" si="234"/>
        <v>0</v>
      </c>
      <c r="AF791" s="56">
        <f t="shared" si="234"/>
        <v>0</v>
      </c>
      <c r="AG791" s="56">
        <f t="shared" si="234"/>
        <v>0</v>
      </c>
      <c r="AH791" s="56">
        <f t="shared" si="234"/>
        <v>0</v>
      </c>
      <c r="AI791" s="56">
        <f t="shared" si="234"/>
        <v>0</v>
      </c>
      <c r="AJ791" s="56">
        <f t="shared" si="234"/>
        <v>0</v>
      </c>
      <c r="AK791" s="56">
        <f t="shared" si="234"/>
        <v>0</v>
      </c>
      <c r="AL791" s="56">
        <f t="shared" si="234"/>
        <v>0</v>
      </c>
      <c r="AM791" s="56">
        <f t="shared" si="234"/>
        <v>0</v>
      </c>
      <c r="AN791" s="56">
        <f t="shared" si="234"/>
        <v>0</v>
      </c>
      <c r="AO791" s="56">
        <f t="shared" si="234"/>
        <v>0</v>
      </c>
      <c r="AP791" s="29"/>
    </row>
    <row r="792" spans="1:42" outlineLevel="1" x14ac:dyDescent="0.25">
      <c r="A792" s="54"/>
      <c r="B792" s="13"/>
      <c r="C792" s="45" t="s">
        <v>285</v>
      </c>
      <c r="D792" s="14"/>
      <c r="E792" s="70" t="s">
        <v>352</v>
      </c>
      <c r="F792" s="200">
        <f>Data!E558/1000</f>
        <v>2.4674863588574204E-4</v>
      </c>
      <c r="G792" s="56"/>
      <c r="H792" s="56"/>
      <c r="I792" s="56">
        <f>I$788*$F$792</f>
        <v>23.095672318905454</v>
      </c>
      <c r="J792" s="56">
        <f t="shared" ref="J792:AO792" si="235">J$788*$F$792</f>
        <v>23.095672318905454</v>
      </c>
      <c r="K792" s="56">
        <f t="shared" si="235"/>
        <v>23.095672318905454</v>
      </c>
      <c r="L792" s="56">
        <f t="shared" si="235"/>
        <v>23.095672318905454</v>
      </c>
      <c r="M792" s="56">
        <f t="shared" si="235"/>
        <v>23.095672318905454</v>
      </c>
      <c r="N792" s="56">
        <f t="shared" si="235"/>
        <v>23.095672318905454</v>
      </c>
      <c r="O792" s="56">
        <f t="shared" si="235"/>
        <v>23.095672318905454</v>
      </c>
      <c r="P792" s="56">
        <f t="shared" si="235"/>
        <v>23.095672318905454</v>
      </c>
      <c r="Q792" s="56">
        <f t="shared" si="235"/>
        <v>23.095672318905454</v>
      </c>
      <c r="R792" s="56">
        <f t="shared" si="235"/>
        <v>23.095672318905454</v>
      </c>
      <c r="S792" s="56">
        <f t="shared" si="235"/>
        <v>23.095672318905454</v>
      </c>
      <c r="T792" s="56">
        <f t="shared" si="235"/>
        <v>23.095672318905454</v>
      </c>
      <c r="U792" s="56">
        <f t="shared" si="235"/>
        <v>0</v>
      </c>
      <c r="V792" s="56">
        <f t="shared" si="235"/>
        <v>0</v>
      </c>
      <c r="W792" s="56">
        <f t="shared" si="235"/>
        <v>0</v>
      </c>
      <c r="X792" s="56">
        <f t="shared" si="235"/>
        <v>0</v>
      </c>
      <c r="Y792" s="56">
        <f t="shared" si="235"/>
        <v>0</v>
      </c>
      <c r="Z792" s="56">
        <f t="shared" si="235"/>
        <v>0</v>
      </c>
      <c r="AA792" s="56">
        <f t="shared" si="235"/>
        <v>0</v>
      </c>
      <c r="AB792" s="56">
        <f t="shared" si="235"/>
        <v>0</v>
      </c>
      <c r="AC792" s="56">
        <f t="shared" si="235"/>
        <v>0</v>
      </c>
      <c r="AD792" s="56">
        <f t="shared" si="235"/>
        <v>0</v>
      </c>
      <c r="AE792" s="56">
        <f t="shared" si="235"/>
        <v>0</v>
      </c>
      <c r="AF792" s="56">
        <f t="shared" si="235"/>
        <v>0</v>
      </c>
      <c r="AG792" s="56">
        <f t="shared" si="235"/>
        <v>0</v>
      </c>
      <c r="AH792" s="56">
        <f t="shared" si="235"/>
        <v>0</v>
      </c>
      <c r="AI792" s="56">
        <f t="shared" si="235"/>
        <v>0</v>
      </c>
      <c r="AJ792" s="56">
        <f t="shared" si="235"/>
        <v>0</v>
      </c>
      <c r="AK792" s="56">
        <f t="shared" si="235"/>
        <v>0</v>
      </c>
      <c r="AL792" s="56">
        <f t="shared" si="235"/>
        <v>0</v>
      </c>
      <c r="AM792" s="56">
        <f t="shared" si="235"/>
        <v>0</v>
      </c>
      <c r="AN792" s="56">
        <f t="shared" si="235"/>
        <v>0</v>
      </c>
      <c r="AO792" s="56">
        <f t="shared" si="235"/>
        <v>0</v>
      </c>
      <c r="AP792" s="29"/>
    </row>
    <row r="793" spans="1:42" outlineLevel="1" x14ac:dyDescent="0.25">
      <c r="A793" s="54"/>
      <c r="B793" s="13"/>
      <c r="C793" s="45" t="s">
        <v>220</v>
      </c>
      <c r="D793" s="14"/>
      <c r="E793" s="70" t="s">
        <v>352</v>
      </c>
      <c r="F793" s="200">
        <f>Data!E559/1000</f>
        <v>1.0386979165916608E-2</v>
      </c>
      <c r="G793" s="56"/>
      <c r="H793" s="56"/>
      <c r="I793" s="56">
        <f>I$788*$F$793</f>
        <v>972.22124992979445</v>
      </c>
      <c r="J793" s="56">
        <f t="shared" ref="J793:AO793" si="236">J$788*$F$793</f>
        <v>972.22124992979445</v>
      </c>
      <c r="K793" s="56">
        <f t="shared" si="236"/>
        <v>972.22124992979445</v>
      </c>
      <c r="L793" s="56">
        <f t="shared" si="236"/>
        <v>972.22124992979445</v>
      </c>
      <c r="M793" s="56">
        <f t="shared" si="236"/>
        <v>972.22124992979445</v>
      </c>
      <c r="N793" s="56">
        <f t="shared" si="236"/>
        <v>972.22124992979445</v>
      </c>
      <c r="O793" s="56">
        <f t="shared" si="236"/>
        <v>972.22124992979445</v>
      </c>
      <c r="P793" s="56">
        <f t="shared" si="236"/>
        <v>972.22124992979445</v>
      </c>
      <c r="Q793" s="56">
        <f t="shared" si="236"/>
        <v>972.22124992979445</v>
      </c>
      <c r="R793" s="56">
        <f t="shared" si="236"/>
        <v>972.22124992979445</v>
      </c>
      <c r="S793" s="56">
        <f t="shared" si="236"/>
        <v>972.22124992979445</v>
      </c>
      <c r="T793" s="56">
        <f t="shared" si="236"/>
        <v>972.22124992979445</v>
      </c>
      <c r="U793" s="56">
        <f t="shared" si="236"/>
        <v>0</v>
      </c>
      <c r="V793" s="56">
        <f t="shared" si="236"/>
        <v>0</v>
      </c>
      <c r="W793" s="56">
        <f t="shared" si="236"/>
        <v>0</v>
      </c>
      <c r="X793" s="56">
        <f t="shared" si="236"/>
        <v>0</v>
      </c>
      <c r="Y793" s="56">
        <f t="shared" si="236"/>
        <v>0</v>
      </c>
      <c r="Z793" s="56">
        <f t="shared" si="236"/>
        <v>0</v>
      </c>
      <c r="AA793" s="56">
        <f t="shared" si="236"/>
        <v>0</v>
      </c>
      <c r="AB793" s="56">
        <f t="shared" si="236"/>
        <v>0</v>
      </c>
      <c r="AC793" s="56">
        <f t="shared" si="236"/>
        <v>0</v>
      </c>
      <c r="AD793" s="56">
        <f t="shared" si="236"/>
        <v>0</v>
      </c>
      <c r="AE793" s="56">
        <f t="shared" si="236"/>
        <v>0</v>
      </c>
      <c r="AF793" s="56">
        <f t="shared" si="236"/>
        <v>0</v>
      </c>
      <c r="AG793" s="56">
        <f t="shared" si="236"/>
        <v>0</v>
      </c>
      <c r="AH793" s="56">
        <f t="shared" si="236"/>
        <v>0</v>
      </c>
      <c r="AI793" s="56">
        <f t="shared" si="236"/>
        <v>0</v>
      </c>
      <c r="AJ793" s="56">
        <f t="shared" si="236"/>
        <v>0</v>
      </c>
      <c r="AK793" s="56">
        <f t="shared" si="236"/>
        <v>0</v>
      </c>
      <c r="AL793" s="56">
        <f t="shared" si="236"/>
        <v>0</v>
      </c>
      <c r="AM793" s="56">
        <f t="shared" si="236"/>
        <v>0</v>
      </c>
      <c r="AN793" s="56">
        <f t="shared" si="236"/>
        <v>0</v>
      </c>
      <c r="AO793" s="56">
        <f t="shared" si="236"/>
        <v>0</v>
      </c>
      <c r="AP793" s="29"/>
    </row>
    <row r="794" spans="1:42" outlineLevel="1" x14ac:dyDescent="0.25">
      <c r="A794" s="54"/>
      <c r="B794" s="13"/>
      <c r="C794" s="45" t="s">
        <v>212</v>
      </c>
      <c r="D794" s="14"/>
      <c r="E794" s="70" t="s">
        <v>352</v>
      </c>
      <c r="F794" s="200">
        <f>Data!E560/1000</f>
        <v>1.200162949787418E-3</v>
      </c>
      <c r="G794" s="56"/>
      <c r="H794" s="56"/>
      <c r="I794" s="56">
        <f>I$788*$F$794</f>
        <v>112.33525210010232</v>
      </c>
      <c r="J794" s="56">
        <f t="shared" ref="J794:AO794" si="237">J$788*$F$794</f>
        <v>112.33525210010232</v>
      </c>
      <c r="K794" s="56">
        <f t="shared" si="237"/>
        <v>112.33525210010232</v>
      </c>
      <c r="L794" s="56">
        <f t="shared" si="237"/>
        <v>112.33525210010232</v>
      </c>
      <c r="M794" s="56">
        <f t="shared" si="237"/>
        <v>112.33525210010232</v>
      </c>
      <c r="N794" s="56">
        <f t="shared" si="237"/>
        <v>112.33525210010232</v>
      </c>
      <c r="O794" s="56">
        <f t="shared" si="237"/>
        <v>112.33525210010232</v>
      </c>
      <c r="P794" s="56">
        <f t="shared" si="237"/>
        <v>112.33525210010232</v>
      </c>
      <c r="Q794" s="56">
        <f t="shared" si="237"/>
        <v>112.33525210010232</v>
      </c>
      <c r="R794" s="56">
        <f t="shared" si="237"/>
        <v>112.33525210010232</v>
      </c>
      <c r="S794" s="56">
        <f t="shared" si="237"/>
        <v>112.33525210010232</v>
      </c>
      <c r="T794" s="56">
        <f t="shared" si="237"/>
        <v>112.33525210010232</v>
      </c>
      <c r="U794" s="56">
        <f t="shared" si="237"/>
        <v>0</v>
      </c>
      <c r="V794" s="56">
        <f t="shared" si="237"/>
        <v>0</v>
      </c>
      <c r="W794" s="56">
        <f t="shared" si="237"/>
        <v>0</v>
      </c>
      <c r="X794" s="56">
        <f t="shared" si="237"/>
        <v>0</v>
      </c>
      <c r="Y794" s="56">
        <f t="shared" si="237"/>
        <v>0</v>
      </c>
      <c r="Z794" s="56">
        <f t="shared" si="237"/>
        <v>0</v>
      </c>
      <c r="AA794" s="56">
        <f t="shared" si="237"/>
        <v>0</v>
      </c>
      <c r="AB794" s="56">
        <f t="shared" si="237"/>
        <v>0</v>
      </c>
      <c r="AC794" s="56">
        <f t="shared" si="237"/>
        <v>0</v>
      </c>
      <c r="AD794" s="56">
        <f t="shared" si="237"/>
        <v>0</v>
      </c>
      <c r="AE794" s="56">
        <f t="shared" si="237"/>
        <v>0</v>
      </c>
      <c r="AF794" s="56">
        <f t="shared" si="237"/>
        <v>0</v>
      </c>
      <c r="AG794" s="56">
        <f t="shared" si="237"/>
        <v>0</v>
      </c>
      <c r="AH794" s="56">
        <f t="shared" si="237"/>
        <v>0</v>
      </c>
      <c r="AI794" s="56">
        <f t="shared" si="237"/>
        <v>0</v>
      </c>
      <c r="AJ794" s="56">
        <f t="shared" si="237"/>
        <v>0</v>
      </c>
      <c r="AK794" s="56">
        <f t="shared" si="237"/>
        <v>0</v>
      </c>
      <c r="AL794" s="56">
        <f t="shared" si="237"/>
        <v>0</v>
      </c>
      <c r="AM794" s="56">
        <f t="shared" si="237"/>
        <v>0</v>
      </c>
      <c r="AN794" s="56">
        <f t="shared" si="237"/>
        <v>0</v>
      </c>
      <c r="AO794" s="56">
        <f t="shared" si="237"/>
        <v>0</v>
      </c>
      <c r="AP794" s="29"/>
    </row>
    <row r="795" spans="1:42" outlineLevel="1" x14ac:dyDescent="0.25">
      <c r="A795" s="54"/>
      <c r="B795" s="13"/>
      <c r="C795" s="45" t="s">
        <v>485</v>
      </c>
      <c r="D795" s="14"/>
      <c r="E795" s="70" t="s">
        <v>352</v>
      </c>
      <c r="F795" s="200">
        <f>Data!E561/1000</f>
        <v>2.8863348804976244E-4</v>
      </c>
      <c r="G795" s="56"/>
      <c r="H795" s="56"/>
      <c r="I795" s="56">
        <f>I$788*$F$795</f>
        <v>27.016094481457763</v>
      </c>
      <c r="J795" s="56">
        <f t="shared" ref="J795:AO795" si="238">J$788*$F$795</f>
        <v>27.016094481457763</v>
      </c>
      <c r="K795" s="56">
        <f t="shared" si="238"/>
        <v>27.016094481457763</v>
      </c>
      <c r="L795" s="56">
        <f t="shared" si="238"/>
        <v>27.016094481457763</v>
      </c>
      <c r="M795" s="56">
        <f t="shared" si="238"/>
        <v>27.016094481457763</v>
      </c>
      <c r="N795" s="56">
        <f t="shared" si="238"/>
        <v>27.016094481457763</v>
      </c>
      <c r="O795" s="56">
        <f t="shared" si="238"/>
        <v>27.016094481457763</v>
      </c>
      <c r="P795" s="56">
        <f t="shared" si="238"/>
        <v>27.016094481457763</v>
      </c>
      <c r="Q795" s="56">
        <f t="shared" si="238"/>
        <v>27.016094481457763</v>
      </c>
      <c r="R795" s="56">
        <f t="shared" si="238"/>
        <v>27.016094481457763</v>
      </c>
      <c r="S795" s="56">
        <f t="shared" si="238"/>
        <v>27.016094481457763</v>
      </c>
      <c r="T795" s="56">
        <f t="shared" si="238"/>
        <v>27.016094481457763</v>
      </c>
      <c r="U795" s="56">
        <f t="shared" si="238"/>
        <v>0</v>
      </c>
      <c r="V795" s="56">
        <f t="shared" si="238"/>
        <v>0</v>
      </c>
      <c r="W795" s="56">
        <f t="shared" si="238"/>
        <v>0</v>
      </c>
      <c r="X795" s="56">
        <f t="shared" si="238"/>
        <v>0</v>
      </c>
      <c r="Y795" s="56">
        <f t="shared" si="238"/>
        <v>0</v>
      </c>
      <c r="Z795" s="56">
        <f t="shared" si="238"/>
        <v>0</v>
      </c>
      <c r="AA795" s="56">
        <f t="shared" si="238"/>
        <v>0</v>
      </c>
      <c r="AB795" s="56">
        <f t="shared" si="238"/>
        <v>0</v>
      </c>
      <c r="AC795" s="56">
        <f t="shared" si="238"/>
        <v>0</v>
      </c>
      <c r="AD795" s="56">
        <f t="shared" si="238"/>
        <v>0</v>
      </c>
      <c r="AE795" s="56">
        <f t="shared" si="238"/>
        <v>0</v>
      </c>
      <c r="AF795" s="56">
        <f t="shared" si="238"/>
        <v>0</v>
      </c>
      <c r="AG795" s="56">
        <f t="shared" si="238"/>
        <v>0</v>
      </c>
      <c r="AH795" s="56">
        <f t="shared" si="238"/>
        <v>0</v>
      </c>
      <c r="AI795" s="56">
        <f t="shared" si="238"/>
        <v>0</v>
      </c>
      <c r="AJ795" s="56">
        <f t="shared" si="238"/>
        <v>0</v>
      </c>
      <c r="AK795" s="56">
        <f t="shared" si="238"/>
        <v>0</v>
      </c>
      <c r="AL795" s="56">
        <f t="shared" si="238"/>
        <v>0</v>
      </c>
      <c r="AM795" s="56">
        <f t="shared" si="238"/>
        <v>0</v>
      </c>
      <c r="AN795" s="56">
        <f t="shared" si="238"/>
        <v>0</v>
      </c>
      <c r="AO795" s="56">
        <f t="shared" si="238"/>
        <v>0</v>
      </c>
      <c r="AP795" s="29"/>
    </row>
    <row r="796" spans="1:42" outlineLevel="1" x14ac:dyDescent="0.25">
      <c r="A796" s="54"/>
      <c r="B796" s="13"/>
      <c r="C796" s="45" t="s">
        <v>214</v>
      </c>
      <c r="D796" s="14"/>
      <c r="E796" s="70" t="s">
        <v>352</v>
      </c>
      <c r="F796" s="200">
        <f>Data!E562/1000</f>
        <v>4.1011833239969993E-5</v>
      </c>
      <c r="G796" s="56"/>
      <c r="H796" s="56"/>
      <c r="I796" s="56">
        <f>I$788*$F$796</f>
        <v>3.8387075912611914</v>
      </c>
      <c r="J796" s="56">
        <f t="shared" ref="J796:AO796" si="239">J$788*$F$796</f>
        <v>3.8387075912611914</v>
      </c>
      <c r="K796" s="56">
        <f t="shared" si="239"/>
        <v>3.8387075912611914</v>
      </c>
      <c r="L796" s="56">
        <f t="shared" si="239"/>
        <v>3.8387075912611914</v>
      </c>
      <c r="M796" s="56">
        <f t="shared" si="239"/>
        <v>3.8387075912611914</v>
      </c>
      <c r="N796" s="56">
        <f t="shared" si="239"/>
        <v>3.8387075912611914</v>
      </c>
      <c r="O796" s="56">
        <f t="shared" si="239"/>
        <v>3.8387075912611914</v>
      </c>
      <c r="P796" s="56">
        <f t="shared" si="239"/>
        <v>3.8387075912611914</v>
      </c>
      <c r="Q796" s="56">
        <f t="shared" si="239"/>
        <v>3.8387075912611914</v>
      </c>
      <c r="R796" s="56">
        <f t="shared" si="239"/>
        <v>3.8387075912611914</v>
      </c>
      <c r="S796" s="56">
        <f t="shared" si="239"/>
        <v>3.8387075912611914</v>
      </c>
      <c r="T796" s="56">
        <f t="shared" si="239"/>
        <v>3.8387075912611914</v>
      </c>
      <c r="U796" s="56">
        <f t="shared" si="239"/>
        <v>0</v>
      </c>
      <c r="V796" s="56">
        <f t="shared" si="239"/>
        <v>0</v>
      </c>
      <c r="W796" s="56">
        <f t="shared" si="239"/>
        <v>0</v>
      </c>
      <c r="X796" s="56">
        <f t="shared" si="239"/>
        <v>0</v>
      </c>
      <c r="Y796" s="56">
        <f t="shared" si="239"/>
        <v>0</v>
      </c>
      <c r="Z796" s="56">
        <f t="shared" si="239"/>
        <v>0</v>
      </c>
      <c r="AA796" s="56">
        <f t="shared" si="239"/>
        <v>0</v>
      </c>
      <c r="AB796" s="56">
        <f t="shared" si="239"/>
        <v>0</v>
      </c>
      <c r="AC796" s="56">
        <f t="shared" si="239"/>
        <v>0</v>
      </c>
      <c r="AD796" s="56">
        <f t="shared" si="239"/>
        <v>0</v>
      </c>
      <c r="AE796" s="56">
        <f t="shared" si="239"/>
        <v>0</v>
      </c>
      <c r="AF796" s="56">
        <f t="shared" si="239"/>
        <v>0</v>
      </c>
      <c r="AG796" s="56">
        <f t="shared" si="239"/>
        <v>0</v>
      </c>
      <c r="AH796" s="56">
        <f t="shared" si="239"/>
        <v>0</v>
      </c>
      <c r="AI796" s="56">
        <f t="shared" si="239"/>
        <v>0</v>
      </c>
      <c r="AJ796" s="56">
        <f t="shared" si="239"/>
        <v>0</v>
      </c>
      <c r="AK796" s="56">
        <f t="shared" si="239"/>
        <v>0</v>
      </c>
      <c r="AL796" s="56">
        <f t="shared" si="239"/>
        <v>0</v>
      </c>
      <c r="AM796" s="56">
        <f t="shared" si="239"/>
        <v>0</v>
      </c>
      <c r="AN796" s="56">
        <f t="shared" si="239"/>
        <v>0</v>
      </c>
      <c r="AO796" s="56">
        <f t="shared" si="239"/>
        <v>0</v>
      </c>
      <c r="AP796" s="29"/>
    </row>
    <row r="797" spans="1:42" outlineLevel="1" x14ac:dyDescent="0.25">
      <c r="A797" s="12"/>
      <c r="B797" s="13"/>
      <c r="C797" s="14"/>
      <c r="D797" s="14"/>
      <c r="E797" s="15"/>
      <c r="F797" s="16"/>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K797" s="159"/>
      <c r="AL797" s="159"/>
      <c r="AM797" s="159"/>
      <c r="AN797" s="159"/>
      <c r="AO797" s="159"/>
      <c r="AP797" s="14"/>
    </row>
    <row r="798" spans="1:42" outlineLevel="1" x14ac:dyDescent="0.25">
      <c r="A798" s="54"/>
      <c r="B798" s="13"/>
      <c r="C798" s="45" t="s">
        <v>205</v>
      </c>
      <c r="D798" s="14"/>
      <c r="E798" s="70" t="s">
        <v>474</v>
      </c>
      <c r="F798" s="200">
        <f>Data!$E$35/1000</f>
        <v>3.4099438202247192E-3</v>
      </c>
      <c r="G798" s="56"/>
      <c r="H798" s="56"/>
      <c r="I798" s="56">
        <f>I790*$F$798</f>
        <v>0.96093868933092119</v>
      </c>
      <c r="J798" s="56">
        <f t="shared" ref="J798:AO798" si="240">J790*$F$798</f>
        <v>0.96093868933092119</v>
      </c>
      <c r="K798" s="56">
        <f t="shared" si="240"/>
        <v>0.96093868933092119</v>
      </c>
      <c r="L798" s="56">
        <f t="shared" si="240"/>
        <v>0.96093868933092119</v>
      </c>
      <c r="M798" s="56">
        <f t="shared" si="240"/>
        <v>0.96093868933092119</v>
      </c>
      <c r="N798" s="56">
        <f t="shared" si="240"/>
        <v>0.96093868933092119</v>
      </c>
      <c r="O798" s="56">
        <f t="shared" si="240"/>
        <v>0.96093868933092119</v>
      </c>
      <c r="P798" s="56">
        <f t="shared" si="240"/>
        <v>0.96093868933092119</v>
      </c>
      <c r="Q798" s="56">
        <f t="shared" si="240"/>
        <v>0.96093868933092119</v>
      </c>
      <c r="R798" s="56">
        <f t="shared" si="240"/>
        <v>0.96093868933092119</v>
      </c>
      <c r="S798" s="56">
        <f t="shared" si="240"/>
        <v>0.96093868933092119</v>
      </c>
      <c r="T798" s="56">
        <f t="shared" si="240"/>
        <v>0.96093868933092119</v>
      </c>
      <c r="U798" s="56">
        <f t="shared" si="240"/>
        <v>0</v>
      </c>
      <c r="V798" s="56">
        <f t="shared" si="240"/>
        <v>0</v>
      </c>
      <c r="W798" s="56">
        <f t="shared" si="240"/>
        <v>0</v>
      </c>
      <c r="X798" s="56">
        <f t="shared" si="240"/>
        <v>0</v>
      </c>
      <c r="Y798" s="56">
        <f t="shared" si="240"/>
        <v>0</v>
      </c>
      <c r="Z798" s="56">
        <f t="shared" si="240"/>
        <v>0</v>
      </c>
      <c r="AA798" s="56">
        <f t="shared" si="240"/>
        <v>0</v>
      </c>
      <c r="AB798" s="56">
        <f t="shared" si="240"/>
        <v>0</v>
      </c>
      <c r="AC798" s="56">
        <f t="shared" si="240"/>
        <v>0</v>
      </c>
      <c r="AD798" s="56">
        <f t="shared" si="240"/>
        <v>0</v>
      </c>
      <c r="AE798" s="56">
        <f t="shared" si="240"/>
        <v>0</v>
      </c>
      <c r="AF798" s="56">
        <f t="shared" si="240"/>
        <v>0</v>
      </c>
      <c r="AG798" s="56">
        <f t="shared" si="240"/>
        <v>0</v>
      </c>
      <c r="AH798" s="56">
        <f t="shared" si="240"/>
        <v>0</v>
      </c>
      <c r="AI798" s="56">
        <f t="shared" si="240"/>
        <v>0</v>
      </c>
      <c r="AJ798" s="56">
        <f t="shared" si="240"/>
        <v>0</v>
      </c>
      <c r="AK798" s="56">
        <f t="shared" si="240"/>
        <v>0</v>
      </c>
      <c r="AL798" s="56">
        <f t="shared" si="240"/>
        <v>0</v>
      </c>
      <c r="AM798" s="56">
        <f t="shared" si="240"/>
        <v>0</v>
      </c>
      <c r="AN798" s="56">
        <f t="shared" si="240"/>
        <v>0</v>
      </c>
      <c r="AO798" s="56">
        <f t="shared" si="240"/>
        <v>0</v>
      </c>
      <c r="AP798" s="29"/>
    </row>
    <row r="799" spans="1:42" outlineLevel="1" x14ac:dyDescent="0.25">
      <c r="A799" s="54"/>
      <c r="B799" s="13"/>
      <c r="C799" s="45" t="s">
        <v>484</v>
      </c>
      <c r="D799" s="14"/>
      <c r="E799" s="70" t="s">
        <v>474</v>
      </c>
      <c r="F799" s="200"/>
      <c r="G799" s="56"/>
      <c r="H799" s="56"/>
      <c r="I799" s="56">
        <f>I791*Data!H$16/1000</f>
        <v>20487.239203863173</v>
      </c>
      <c r="J799" s="56">
        <f>J791*Data!I$16/1000</f>
        <v>22599.325719725355</v>
      </c>
      <c r="K799" s="56">
        <f>K791*Data!J$16/1000</f>
        <v>24500.203584001316</v>
      </c>
      <c r="L799" s="56">
        <f>L791*Data!K$16/1000</f>
        <v>26612.290099863501</v>
      </c>
      <c r="M799" s="56">
        <f>M791*Data!L$16/1000</f>
        <v>28724.376615725683</v>
      </c>
      <c r="N799" s="56">
        <f>N791*Data!M$16/1000</f>
        <v>30836.463131587865</v>
      </c>
      <c r="O799" s="56">
        <f>O791*Data!N$16/1000</f>
        <v>32737.340995863833</v>
      </c>
      <c r="P799" s="56">
        <f>P791*Data!O$16/1000</f>
        <v>34004.592905381141</v>
      </c>
      <c r="Q799" s="56">
        <f>Q791*Data!P$16/1000</f>
        <v>35271.844814898453</v>
      </c>
      <c r="R799" s="56">
        <f>R791*Data!Q$16/1000</f>
        <v>36750.305376001976</v>
      </c>
      <c r="S799" s="56">
        <f>S791*Data!R$16/1000</f>
        <v>38017.557285519288</v>
      </c>
      <c r="T799" s="56">
        <f>T791*Data!S$16/1000</f>
        <v>39284.8091950366</v>
      </c>
      <c r="U799" s="56">
        <f>U791*Data!T$16/1000</f>
        <v>0</v>
      </c>
      <c r="V799" s="56">
        <f>V791*Data!U$16/1000</f>
        <v>0</v>
      </c>
      <c r="W799" s="56">
        <f>W791*Data!V$16/1000</f>
        <v>0</v>
      </c>
      <c r="X799" s="56">
        <f>X791*Data!W$16/1000</f>
        <v>0</v>
      </c>
      <c r="Y799" s="56">
        <f>Y791*Data!X$16/1000</f>
        <v>0</v>
      </c>
      <c r="Z799" s="56">
        <f>Z791*Data!Y$16/1000</f>
        <v>0</v>
      </c>
      <c r="AA799" s="56">
        <f>AA791*Data!Z$16/1000</f>
        <v>0</v>
      </c>
      <c r="AB799" s="56">
        <f>AB791*Data!AA$16/1000</f>
        <v>0</v>
      </c>
      <c r="AC799" s="56">
        <f>AC791*Data!AB$16/1000</f>
        <v>0</v>
      </c>
      <c r="AD799" s="56">
        <f>AD791*Data!AC$16/1000</f>
        <v>0</v>
      </c>
      <c r="AE799" s="56">
        <f>AE791*Data!AD$16/1000</f>
        <v>0</v>
      </c>
      <c r="AF799" s="56">
        <f>AF791*Data!AE$16/1000</f>
        <v>0</v>
      </c>
      <c r="AG799" s="56">
        <f>AG791*Data!AF$16/1000</f>
        <v>0</v>
      </c>
      <c r="AH799" s="56">
        <f>AH791*Data!AG$16/1000</f>
        <v>0</v>
      </c>
      <c r="AI799" s="56">
        <f>AI791*Data!AH$16/1000</f>
        <v>0</v>
      </c>
      <c r="AJ799" s="56">
        <f>AJ791*Data!AI$16/1000</f>
        <v>0</v>
      </c>
      <c r="AK799" s="56">
        <f>AK791*Data!AJ$16/1000</f>
        <v>0</v>
      </c>
      <c r="AL799" s="56">
        <f>AL791*Data!AK$16/1000</f>
        <v>0</v>
      </c>
      <c r="AM799" s="56">
        <f>AM791*Data!AL$16/1000</f>
        <v>0</v>
      </c>
      <c r="AN799" s="56">
        <f>AN791*Data!AM$16/1000</f>
        <v>0</v>
      </c>
      <c r="AO799" s="56">
        <f>AO791*Data!AN$16/1000</f>
        <v>0</v>
      </c>
      <c r="AP799" s="29"/>
    </row>
    <row r="800" spans="1:42" outlineLevel="1" x14ac:dyDescent="0.25">
      <c r="A800" s="54"/>
      <c r="B800" s="13"/>
      <c r="C800" s="45" t="s">
        <v>285</v>
      </c>
      <c r="D800" s="14"/>
      <c r="E800" s="70" t="s">
        <v>474</v>
      </c>
      <c r="F800" s="200">
        <f>Data!$E$36/1000</f>
        <v>1.0822865168539326</v>
      </c>
      <c r="G800" s="56"/>
      <c r="H800" s="56"/>
      <c r="I800" s="56">
        <f>I792*$F$800</f>
        <v>24.996134748427973</v>
      </c>
      <c r="J800" s="56">
        <f t="shared" ref="J800:AO800" si="241">J792*$F$800</f>
        <v>24.996134748427973</v>
      </c>
      <c r="K800" s="56">
        <f t="shared" si="241"/>
        <v>24.996134748427973</v>
      </c>
      <c r="L800" s="56">
        <f t="shared" si="241"/>
        <v>24.996134748427973</v>
      </c>
      <c r="M800" s="56">
        <f t="shared" si="241"/>
        <v>24.996134748427973</v>
      </c>
      <c r="N800" s="56">
        <f t="shared" si="241"/>
        <v>24.996134748427973</v>
      </c>
      <c r="O800" s="56">
        <f t="shared" si="241"/>
        <v>24.996134748427973</v>
      </c>
      <c r="P800" s="56">
        <f t="shared" si="241"/>
        <v>24.996134748427973</v>
      </c>
      <c r="Q800" s="56">
        <f t="shared" si="241"/>
        <v>24.996134748427973</v>
      </c>
      <c r="R800" s="56">
        <f t="shared" si="241"/>
        <v>24.996134748427973</v>
      </c>
      <c r="S800" s="56">
        <f t="shared" si="241"/>
        <v>24.996134748427973</v>
      </c>
      <c r="T800" s="56">
        <f t="shared" si="241"/>
        <v>24.996134748427973</v>
      </c>
      <c r="U800" s="56">
        <f t="shared" si="241"/>
        <v>0</v>
      </c>
      <c r="V800" s="56">
        <f t="shared" si="241"/>
        <v>0</v>
      </c>
      <c r="W800" s="56">
        <f t="shared" si="241"/>
        <v>0</v>
      </c>
      <c r="X800" s="56">
        <f t="shared" si="241"/>
        <v>0</v>
      </c>
      <c r="Y800" s="56">
        <f t="shared" si="241"/>
        <v>0</v>
      </c>
      <c r="Z800" s="56">
        <f t="shared" si="241"/>
        <v>0</v>
      </c>
      <c r="AA800" s="56">
        <f t="shared" si="241"/>
        <v>0</v>
      </c>
      <c r="AB800" s="56">
        <f t="shared" si="241"/>
        <v>0</v>
      </c>
      <c r="AC800" s="56">
        <f t="shared" si="241"/>
        <v>0</v>
      </c>
      <c r="AD800" s="56">
        <f t="shared" si="241"/>
        <v>0</v>
      </c>
      <c r="AE800" s="56">
        <f t="shared" si="241"/>
        <v>0</v>
      </c>
      <c r="AF800" s="56">
        <f t="shared" si="241"/>
        <v>0</v>
      </c>
      <c r="AG800" s="56">
        <f t="shared" si="241"/>
        <v>0</v>
      </c>
      <c r="AH800" s="56">
        <f t="shared" si="241"/>
        <v>0</v>
      </c>
      <c r="AI800" s="56">
        <f t="shared" si="241"/>
        <v>0</v>
      </c>
      <c r="AJ800" s="56">
        <f t="shared" si="241"/>
        <v>0</v>
      </c>
      <c r="AK800" s="56">
        <f t="shared" si="241"/>
        <v>0</v>
      </c>
      <c r="AL800" s="56">
        <f t="shared" si="241"/>
        <v>0</v>
      </c>
      <c r="AM800" s="56">
        <f t="shared" si="241"/>
        <v>0</v>
      </c>
      <c r="AN800" s="56">
        <f t="shared" si="241"/>
        <v>0</v>
      </c>
      <c r="AO800" s="56">
        <f t="shared" si="241"/>
        <v>0</v>
      </c>
      <c r="AP800" s="29"/>
    </row>
    <row r="801" spans="1:42" outlineLevel="1" x14ac:dyDescent="0.25">
      <c r="A801" s="54"/>
      <c r="B801" s="13"/>
      <c r="C801" s="45" t="s">
        <v>220</v>
      </c>
      <c r="D801" s="14"/>
      <c r="E801" s="70" t="s">
        <v>474</v>
      </c>
      <c r="F801" s="200">
        <f>Data!$E$37/1000</f>
        <v>371.00188764044947</v>
      </c>
      <c r="G801" s="56"/>
      <c r="H801" s="56"/>
      <c r="I801" s="56">
        <f>I793*$F$801</f>
        <v>360695.91892811091</v>
      </c>
      <c r="J801" s="56">
        <f t="shared" ref="J801:AO801" si="242">J793*$F$801</f>
        <v>360695.91892811091</v>
      </c>
      <c r="K801" s="56">
        <f t="shared" si="242"/>
        <v>360695.91892811091</v>
      </c>
      <c r="L801" s="56">
        <f t="shared" si="242"/>
        <v>360695.91892811091</v>
      </c>
      <c r="M801" s="56">
        <f t="shared" si="242"/>
        <v>360695.91892811091</v>
      </c>
      <c r="N801" s="56">
        <f t="shared" si="242"/>
        <v>360695.91892811091</v>
      </c>
      <c r="O801" s="56">
        <f t="shared" si="242"/>
        <v>360695.91892811091</v>
      </c>
      <c r="P801" s="56">
        <f t="shared" si="242"/>
        <v>360695.91892811091</v>
      </c>
      <c r="Q801" s="56">
        <f t="shared" si="242"/>
        <v>360695.91892811091</v>
      </c>
      <c r="R801" s="56">
        <f t="shared" si="242"/>
        <v>360695.91892811091</v>
      </c>
      <c r="S801" s="56">
        <f t="shared" si="242"/>
        <v>360695.91892811091</v>
      </c>
      <c r="T801" s="56">
        <f t="shared" si="242"/>
        <v>360695.91892811091</v>
      </c>
      <c r="U801" s="56">
        <f t="shared" si="242"/>
        <v>0</v>
      </c>
      <c r="V801" s="56">
        <f t="shared" si="242"/>
        <v>0</v>
      </c>
      <c r="W801" s="56">
        <f t="shared" si="242"/>
        <v>0</v>
      </c>
      <c r="X801" s="56">
        <f t="shared" si="242"/>
        <v>0</v>
      </c>
      <c r="Y801" s="56">
        <f t="shared" si="242"/>
        <v>0</v>
      </c>
      <c r="Z801" s="56">
        <f t="shared" si="242"/>
        <v>0</v>
      </c>
      <c r="AA801" s="56">
        <f t="shared" si="242"/>
        <v>0</v>
      </c>
      <c r="AB801" s="56">
        <f t="shared" si="242"/>
        <v>0</v>
      </c>
      <c r="AC801" s="56">
        <f t="shared" si="242"/>
        <v>0</v>
      </c>
      <c r="AD801" s="56">
        <f t="shared" si="242"/>
        <v>0</v>
      </c>
      <c r="AE801" s="56">
        <f t="shared" si="242"/>
        <v>0</v>
      </c>
      <c r="AF801" s="56">
        <f t="shared" si="242"/>
        <v>0</v>
      </c>
      <c r="AG801" s="56">
        <f t="shared" si="242"/>
        <v>0</v>
      </c>
      <c r="AH801" s="56">
        <f t="shared" si="242"/>
        <v>0</v>
      </c>
      <c r="AI801" s="56">
        <f t="shared" si="242"/>
        <v>0</v>
      </c>
      <c r="AJ801" s="56">
        <f t="shared" si="242"/>
        <v>0</v>
      </c>
      <c r="AK801" s="56">
        <f t="shared" si="242"/>
        <v>0</v>
      </c>
      <c r="AL801" s="56">
        <f t="shared" si="242"/>
        <v>0</v>
      </c>
      <c r="AM801" s="56">
        <f t="shared" si="242"/>
        <v>0</v>
      </c>
      <c r="AN801" s="56">
        <f t="shared" si="242"/>
        <v>0</v>
      </c>
      <c r="AO801" s="56">
        <f t="shared" si="242"/>
        <v>0</v>
      </c>
      <c r="AP801" s="29"/>
    </row>
    <row r="802" spans="1:42" outlineLevel="1" x14ac:dyDescent="0.25">
      <c r="A802" s="54"/>
      <c r="B802" s="13"/>
      <c r="C802" s="45" t="s">
        <v>212</v>
      </c>
      <c r="D802" s="14"/>
      <c r="E802" s="70" t="s">
        <v>474</v>
      </c>
      <c r="F802" s="200">
        <f>Data!$E$39/1000</f>
        <v>0</v>
      </c>
      <c r="G802" s="56"/>
      <c r="H802" s="56"/>
      <c r="I802" s="56">
        <f>I794*$F$802</f>
        <v>0</v>
      </c>
      <c r="J802" s="56">
        <f t="shared" ref="J802:AO802" si="243">J794*$F$802</f>
        <v>0</v>
      </c>
      <c r="K802" s="56">
        <f t="shared" si="243"/>
        <v>0</v>
      </c>
      <c r="L802" s="56">
        <f t="shared" si="243"/>
        <v>0</v>
      </c>
      <c r="M802" s="56">
        <f t="shared" si="243"/>
        <v>0</v>
      </c>
      <c r="N802" s="56">
        <f t="shared" si="243"/>
        <v>0</v>
      </c>
      <c r="O802" s="56">
        <f t="shared" si="243"/>
        <v>0</v>
      </c>
      <c r="P802" s="56">
        <f t="shared" si="243"/>
        <v>0</v>
      </c>
      <c r="Q802" s="56">
        <f t="shared" si="243"/>
        <v>0</v>
      </c>
      <c r="R802" s="56">
        <f t="shared" si="243"/>
        <v>0</v>
      </c>
      <c r="S802" s="56">
        <f t="shared" si="243"/>
        <v>0</v>
      </c>
      <c r="T802" s="56">
        <f t="shared" si="243"/>
        <v>0</v>
      </c>
      <c r="U802" s="56">
        <f t="shared" si="243"/>
        <v>0</v>
      </c>
      <c r="V802" s="56">
        <f t="shared" si="243"/>
        <v>0</v>
      </c>
      <c r="W802" s="56">
        <f t="shared" si="243"/>
        <v>0</v>
      </c>
      <c r="X802" s="56">
        <f t="shared" si="243"/>
        <v>0</v>
      </c>
      <c r="Y802" s="56">
        <f t="shared" si="243"/>
        <v>0</v>
      </c>
      <c r="Z802" s="56">
        <f t="shared" si="243"/>
        <v>0</v>
      </c>
      <c r="AA802" s="56">
        <f t="shared" si="243"/>
        <v>0</v>
      </c>
      <c r="AB802" s="56">
        <f t="shared" si="243"/>
        <v>0</v>
      </c>
      <c r="AC802" s="56">
        <f t="shared" si="243"/>
        <v>0</v>
      </c>
      <c r="AD802" s="56">
        <f t="shared" si="243"/>
        <v>0</v>
      </c>
      <c r="AE802" s="56">
        <f t="shared" si="243"/>
        <v>0</v>
      </c>
      <c r="AF802" s="56">
        <f t="shared" si="243"/>
        <v>0</v>
      </c>
      <c r="AG802" s="56">
        <f t="shared" si="243"/>
        <v>0</v>
      </c>
      <c r="AH802" s="56">
        <f t="shared" si="243"/>
        <v>0</v>
      </c>
      <c r="AI802" s="56">
        <f t="shared" si="243"/>
        <v>0</v>
      </c>
      <c r="AJ802" s="56">
        <f t="shared" si="243"/>
        <v>0</v>
      </c>
      <c r="AK802" s="56">
        <f t="shared" si="243"/>
        <v>0</v>
      </c>
      <c r="AL802" s="56">
        <f t="shared" si="243"/>
        <v>0</v>
      </c>
      <c r="AM802" s="56">
        <f t="shared" si="243"/>
        <v>0</v>
      </c>
      <c r="AN802" s="56">
        <f t="shared" si="243"/>
        <v>0</v>
      </c>
      <c r="AO802" s="56">
        <f t="shared" si="243"/>
        <v>0</v>
      </c>
      <c r="AP802" s="29"/>
    </row>
    <row r="803" spans="1:42" outlineLevel="1" x14ac:dyDescent="0.25">
      <c r="A803" s="54"/>
      <c r="B803" s="13"/>
      <c r="C803" s="45" t="s">
        <v>485</v>
      </c>
      <c r="D803" s="14"/>
      <c r="E803" s="70" t="s">
        <v>474</v>
      </c>
      <c r="F803" s="200">
        <f>Data!$E$40/1000</f>
        <v>605.20914606741576</v>
      </c>
      <c r="G803" s="56"/>
      <c r="H803" s="56"/>
      <c r="I803" s="56">
        <f>I795*$F$803</f>
        <v>16350.387471199676</v>
      </c>
      <c r="J803" s="56">
        <f t="shared" ref="J803:AO803" si="244">J795*$F$803</f>
        <v>16350.387471199676</v>
      </c>
      <c r="K803" s="56">
        <f t="shared" si="244"/>
        <v>16350.387471199676</v>
      </c>
      <c r="L803" s="56">
        <f t="shared" si="244"/>
        <v>16350.387471199676</v>
      </c>
      <c r="M803" s="56">
        <f t="shared" si="244"/>
        <v>16350.387471199676</v>
      </c>
      <c r="N803" s="56">
        <f t="shared" si="244"/>
        <v>16350.387471199676</v>
      </c>
      <c r="O803" s="56">
        <f t="shared" si="244"/>
        <v>16350.387471199676</v>
      </c>
      <c r="P803" s="56">
        <f t="shared" si="244"/>
        <v>16350.387471199676</v>
      </c>
      <c r="Q803" s="56">
        <f t="shared" si="244"/>
        <v>16350.387471199676</v>
      </c>
      <c r="R803" s="56">
        <f t="shared" si="244"/>
        <v>16350.387471199676</v>
      </c>
      <c r="S803" s="56">
        <f t="shared" si="244"/>
        <v>16350.387471199676</v>
      </c>
      <c r="T803" s="56">
        <f t="shared" si="244"/>
        <v>16350.387471199676</v>
      </c>
      <c r="U803" s="56">
        <f t="shared" si="244"/>
        <v>0</v>
      </c>
      <c r="V803" s="56">
        <f t="shared" si="244"/>
        <v>0</v>
      </c>
      <c r="W803" s="56">
        <f t="shared" si="244"/>
        <v>0</v>
      </c>
      <c r="X803" s="56">
        <f t="shared" si="244"/>
        <v>0</v>
      </c>
      <c r="Y803" s="56">
        <f t="shared" si="244"/>
        <v>0</v>
      </c>
      <c r="Z803" s="56">
        <f t="shared" si="244"/>
        <v>0</v>
      </c>
      <c r="AA803" s="56">
        <f t="shared" si="244"/>
        <v>0</v>
      </c>
      <c r="AB803" s="56">
        <f t="shared" si="244"/>
        <v>0</v>
      </c>
      <c r="AC803" s="56">
        <f t="shared" si="244"/>
        <v>0</v>
      </c>
      <c r="AD803" s="56">
        <f t="shared" si="244"/>
        <v>0</v>
      </c>
      <c r="AE803" s="56">
        <f t="shared" si="244"/>
        <v>0</v>
      </c>
      <c r="AF803" s="56">
        <f t="shared" si="244"/>
        <v>0</v>
      </c>
      <c r="AG803" s="56">
        <f t="shared" si="244"/>
        <v>0</v>
      </c>
      <c r="AH803" s="56">
        <f t="shared" si="244"/>
        <v>0</v>
      </c>
      <c r="AI803" s="56">
        <f t="shared" si="244"/>
        <v>0</v>
      </c>
      <c r="AJ803" s="56">
        <f t="shared" si="244"/>
        <v>0</v>
      </c>
      <c r="AK803" s="56">
        <f t="shared" si="244"/>
        <v>0</v>
      </c>
      <c r="AL803" s="56">
        <f t="shared" si="244"/>
        <v>0</v>
      </c>
      <c r="AM803" s="56">
        <f t="shared" si="244"/>
        <v>0</v>
      </c>
      <c r="AN803" s="56">
        <f t="shared" si="244"/>
        <v>0</v>
      </c>
      <c r="AO803" s="56">
        <f t="shared" si="244"/>
        <v>0</v>
      </c>
      <c r="AP803" s="29"/>
    </row>
    <row r="804" spans="1:42" outlineLevel="1" x14ac:dyDescent="0.25">
      <c r="A804" s="54"/>
      <c r="B804" s="13"/>
      <c r="C804" s="45" t="s">
        <v>214</v>
      </c>
      <c r="D804" s="14"/>
      <c r="E804" s="70" t="s">
        <v>474</v>
      </c>
      <c r="F804" s="200">
        <f>Data!$E$41/1000</f>
        <v>0</v>
      </c>
      <c r="G804" s="56"/>
      <c r="H804" s="56"/>
      <c r="I804" s="56">
        <f>I796*F804</f>
        <v>0</v>
      </c>
      <c r="J804" s="56">
        <f t="shared" ref="J804:AO804" si="245">J796*G804</f>
        <v>0</v>
      </c>
      <c r="K804" s="56">
        <f t="shared" si="245"/>
        <v>0</v>
      </c>
      <c r="L804" s="56">
        <f t="shared" si="245"/>
        <v>0</v>
      </c>
      <c r="M804" s="56">
        <f t="shared" si="245"/>
        <v>0</v>
      </c>
      <c r="N804" s="56">
        <f t="shared" si="245"/>
        <v>0</v>
      </c>
      <c r="O804" s="56">
        <f t="shared" si="245"/>
        <v>0</v>
      </c>
      <c r="P804" s="56">
        <f t="shared" si="245"/>
        <v>0</v>
      </c>
      <c r="Q804" s="56">
        <f t="shared" si="245"/>
        <v>0</v>
      </c>
      <c r="R804" s="56">
        <f t="shared" si="245"/>
        <v>0</v>
      </c>
      <c r="S804" s="56">
        <f t="shared" si="245"/>
        <v>0</v>
      </c>
      <c r="T804" s="56">
        <f t="shared" si="245"/>
        <v>0</v>
      </c>
      <c r="U804" s="56">
        <f t="shared" si="245"/>
        <v>0</v>
      </c>
      <c r="V804" s="56">
        <f t="shared" si="245"/>
        <v>0</v>
      </c>
      <c r="W804" s="56">
        <f t="shared" si="245"/>
        <v>0</v>
      </c>
      <c r="X804" s="56">
        <f t="shared" si="245"/>
        <v>0</v>
      </c>
      <c r="Y804" s="56">
        <f t="shared" si="245"/>
        <v>0</v>
      </c>
      <c r="Z804" s="56">
        <f t="shared" si="245"/>
        <v>0</v>
      </c>
      <c r="AA804" s="56">
        <f t="shared" si="245"/>
        <v>0</v>
      </c>
      <c r="AB804" s="56">
        <f t="shared" si="245"/>
        <v>0</v>
      </c>
      <c r="AC804" s="56">
        <f t="shared" si="245"/>
        <v>0</v>
      </c>
      <c r="AD804" s="56">
        <f t="shared" si="245"/>
        <v>0</v>
      </c>
      <c r="AE804" s="56">
        <f t="shared" si="245"/>
        <v>0</v>
      </c>
      <c r="AF804" s="56">
        <f t="shared" si="245"/>
        <v>0</v>
      </c>
      <c r="AG804" s="56">
        <f t="shared" si="245"/>
        <v>0</v>
      </c>
      <c r="AH804" s="56">
        <f t="shared" si="245"/>
        <v>0</v>
      </c>
      <c r="AI804" s="56">
        <f t="shared" si="245"/>
        <v>0</v>
      </c>
      <c r="AJ804" s="56">
        <f t="shared" si="245"/>
        <v>0</v>
      </c>
      <c r="AK804" s="56">
        <f t="shared" si="245"/>
        <v>0</v>
      </c>
      <c r="AL804" s="56">
        <f t="shared" si="245"/>
        <v>0</v>
      </c>
      <c r="AM804" s="56">
        <f t="shared" si="245"/>
        <v>0</v>
      </c>
      <c r="AN804" s="56">
        <f t="shared" si="245"/>
        <v>0</v>
      </c>
      <c r="AO804" s="56">
        <f t="shared" si="245"/>
        <v>0</v>
      </c>
      <c r="AP804" s="29"/>
    </row>
    <row r="805" spans="1:42" outlineLevel="1" x14ac:dyDescent="0.25">
      <c r="A805" s="12"/>
      <c r="B805" s="13"/>
      <c r="C805" s="20" t="s">
        <v>486</v>
      </c>
      <c r="D805" s="14"/>
      <c r="E805" s="70" t="s">
        <v>474</v>
      </c>
      <c r="F805" s="16"/>
      <c r="G805" s="159"/>
      <c r="H805" s="185"/>
      <c r="I805" s="185">
        <f>SUM(I798:I804)</f>
        <v>397559.50267661153</v>
      </c>
      <c r="J805" s="185">
        <f t="shared" ref="J805" si="246">SUM(J798:J804)</f>
        <v>399671.58919247368</v>
      </c>
      <c r="K805" s="185">
        <f t="shared" ref="K805" si="247">SUM(K798:K804)</f>
        <v>401572.46705674968</v>
      </c>
      <c r="L805" s="185">
        <f t="shared" ref="L805" si="248">SUM(L798:L804)</f>
        <v>403684.55357261183</v>
      </c>
      <c r="M805" s="185">
        <f t="shared" ref="M805" si="249">SUM(M798:M804)</f>
        <v>405796.64008847403</v>
      </c>
      <c r="N805" s="185">
        <f t="shared" ref="N805" si="250">SUM(N798:N804)</f>
        <v>407908.72660433623</v>
      </c>
      <c r="O805" s="185">
        <f t="shared" ref="O805" si="251">SUM(O798:O804)</f>
        <v>409809.60446861217</v>
      </c>
      <c r="P805" s="185">
        <f t="shared" ref="P805" si="252">SUM(P798:P804)</f>
        <v>411076.85637812951</v>
      </c>
      <c r="Q805" s="185">
        <f t="shared" ref="Q805" si="253">SUM(Q798:Q804)</f>
        <v>412344.10828764678</v>
      </c>
      <c r="R805" s="185">
        <f t="shared" ref="R805" si="254">SUM(R798:R804)</f>
        <v>413822.56884875032</v>
      </c>
      <c r="S805" s="185">
        <f t="shared" ref="S805" si="255">SUM(S798:S804)</f>
        <v>415089.82075826766</v>
      </c>
      <c r="T805" s="185">
        <f t="shared" ref="T805" si="256">SUM(T798:T804)</f>
        <v>416357.07266778493</v>
      </c>
      <c r="U805" s="185">
        <f t="shared" ref="U805" si="257">SUM(U798:U804)</f>
        <v>0</v>
      </c>
      <c r="V805" s="185">
        <f t="shared" ref="V805" si="258">SUM(V798:V804)</f>
        <v>0</v>
      </c>
      <c r="W805" s="185">
        <f t="shared" ref="W805" si="259">SUM(W798:W804)</f>
        <v>0</v>
      </c>
      <c r="X805" s="185">
        <f t="shared" ref="X805" si="260">SUM(X798:X804)</f>
        <v>0</v>
      </c>
      <c r="Y805" s="185">
        <f t="shared" ref="Y805" si="261">SUM(Y798:Y804)</f>
        <v>0</v>
      </c>
      <c r="Z805" s="185">
        <f t="shared" ref="Z805" si="262">SUM(Z798:Z804)</f>
        <v>0</v>
      </c>
      <c r="AA805" s="185">
        <f t="shared" ref="AA805" si="263">SUM(AA798:AA804)</f>
        <v>0</v>
      </c>
      <c r="AB805" s="185">
        <f t="shared" ref="AB805" si="264">SUM(AB798:AB804)</f>
        <v>0</v>
      </c>
      <c r="AC805" s="185">
        <f t="shared" ref="AC805" si="265">SUM(AC798:AC804)</f>
        <v>0</v>
      </c>
      <c r="AD805" s="185">
        <f t="shared" ref="AD805" si="266">SUM(AD798:AD804)</f>
        <v>0</v>
      </c>
      <c r="AE805" s="185">
        <f t="shared" ref="AE805" si="267">SUM(AE798:AE804)</f>
        <v>0</v>
      </c>
      <c r="AF805" s="185">
        <f t="shared" ref="AF805" si="268">SUM(AF798:AF804)</f>
        <v>0</v>
      </c>
      <c r="AG805" s="185">
        <f t="shared" ref="AG805" si="269">SUM(AG798:AG804)</f>
        <v>0</v>
      </c>
      <c r="AH805" s="185">
        <f t="shared" ref="AH805" si="270">SUM(AH798:AH804)</f>
        <v>0</v>
      </c>
      <c r="AI805" s="185">
        <f t="shared" ref="AI805" si="271">SUM(AI798:AI804)</f>
        <v>0</v>
      </c>
      <c r="AJ805" s="185">
        <f t="shared" ref="AJ805" si="272">SUM(AJ798:AJ804)</f>
        <v>0</v>
      </c>
      <c r="AK805" s="185">
        <f t="shared" ref="AK805" si="273">SUM(AK798:AK804)</f>
        <v>0</v>
      </c>
      <c r="AL805" s="185">
        <f t="shared" ref="AL805" si="274">SUM(AL798:AL804)</f>
        <v>0</v>
      </c>
      <c r="AM805" s="185">
        <f t="shared" ref="AM805" si="275">SUM(AM798:AM804)</f>
        <v>0</v>
      </c>
      <c r="AN805" s="185">
        <f t="shared" ref="AN805" si="276">SUM(AN798:AN804)</f>
        <v>0</v>
      </c>
      <c r="AO805" s="185">
        <f t="shared" ref="AO805" si="277">SUM(AO798:AO804)</f>
        <v>0</v>
      </c>
      <c r="AP805" s="14"/>
    </row>
    <row r="806" spans="1:42" outlineLevel="1" x14ac:dyDescent="0.25">
      <c r="A806" s="12"/>
      <c r="B806" s="13"/>
      <c r="C806" s="14" t="s">
        <v>487</v>
      </c>
      <c r="D806" s="14"/>
      <c r="E806" s="15" t="s">
        <v>474</v>
      </c>
      <c r="F806" s="48"/>
      <c r="G806" s="185"/>
      <c r="H806" s="185"/>
      <c r="I806" s="185">
        <f>I805*Data!H$9</f>
        <v>382268.75257366488</v>
      </c>
      <c r="J806" s="185">
        <f>J805*Data!I$9</f>
        <v>369518.85095457989</v>
      </c>
      <c r="K806" s="185">
        <f>K805*Data!J$9</f>
        <v>356996.46095594636</v>
      </c>
      <c r="L806" s="185">
        <f>L805*Data!K$9</f>
        <v>345071.24824783241</v>
      </c>
      <c r="M806" s="185">
        <f>M805*Data!L$9</f>
        <v>333535.25832058536</v>
      </c>
      <c r="N806" s="185">
        <f>N805*Data!M$9</f>
        <v>322376.19180749368</v>
      </c>
      <c r="O806" s="185">
        <f>O805*Data!N$9</f>
        <v>311421.61845699028</v>
      </c>
      <c r="P806" s="185">
        <f>P805*Data!O$9</f>
        <v>300369.83245850651</v>
      </c>
      <c r="Q806" s="185">
        <f>Q805*Data!P$9</f>
        <v>289707.50097698154</v>
      </c>
      <c r="R806" s="185">
        <f>R805*Data!Q$9</f>
        <v>279563.69976566278</v>
      </c>
      <c r="S806" s="185">
        <f>S805*Data!R$9</f>
        <v>269634.43245058542</v>
      </c>
      <c r="T806" s="185">
        <f>T805*Data!S$9</f>
        <v>260055.39916009124</v>
      </c>
      <c r="U806" s="185">
        <f>U805*Data!T$9</f>
        <v>0</v>
      </c>
      <c r="V806" s="185">
        <f>V805*Data!U$9</f>
        <v>0</v>
      </c>
      <c r="W806" s="185">
        <f>W805*Data!V$9</f>
        <v>0</v>
      </c>
      <c r="X806" s="185">
        <f>X805*Data!W$9</f>
        <v>0</v>
      </c>
      <c r="Y806" s="185">
        <f>Y805*Data!X$9</f>
        <v>0</v>
      </c>
      <c r="Z806" s="185">
        <f>Z805*Data!Y$9</f>
        <v>0</v>
      </c>
      <c r="AA806" s="185">
        <f>AA805*Data!Z$9</f>
        <v>0</v>
      </c>
      <c r="AB806" s="185">
        <f>AB805*Data!AA$9</f>
        <v>0</v>
      </c>
      <c r="AC806" s="185">
        <f>AC805*Data!AB$9</f>
        <v>0</v>
      </c>
      <c r="AD806" s="185">
        <f>AD805*Data!AC$9</f>
        <v>0</v>
      </c>
      <c r="AE806" s="185">
        <f>AE805*Data!AD$9</f>
        <v>0</v>
      </c>
      <c r="AF806" s="185">
        <f>AF805*Data!AE$9</f>
        <v>0</v>
      </c>
      <c r="AG806" s="185">
        <f>AG805*Data!AF$9</f>
        <v>0</v>
      </c>
      <c r="AH806" s="185">
        <f>AH805*Data!AG$9</f>
        <v>0</v>
      </c>
      <c r="AI806" s="185">
        <f>AI805*Data!AH$9</f>
        <v>0</v>
      </c>
      <c r="AJ806" s="185">
        <f>AJ805*Data!AI$9</f>
        <v>0</v>
      </c>
      <c r="AK806" s="185">
        <f>AK805*Data!AJ$9</f>
        <v>0</v>
      </c>
      <c r="AL806" s="185">
        <f>AL805*Data!AK$9</f>
        <v>0</v>
      </c>
      <c r="AM806" s="185">
        <f>AM805*Data!AL$9</f>
        <v>0</v>
      </c>
      <c r="AN806" s="185">
        <f>AN805*Data!AM$9</f>
        <v>0</v>
      </c>
      <c r="AO806" s="185">
        <f>AO805*Data!AN$9</f>
        <v>0</v>
      </c>
      <c r="AP806" s="14"/>
    </row>
    <row r="807" spans="1:42" outlineLevel="1" x14ac:dyDescent="0.25">
      <c r="A807" s="12"/>
      <c r="B807" s="13"/>
      <c r="C807" s="14" t="s">
        <v>489</v>
      </c>
      <c r="D807" s="14"/>
      <c r="E807" s="15"/>
      <c r="F807" s="48"/>
      <c r="G807" s="185">
        <f>SUM(H806:AP806)</f>
        <v>3820519.2461289205</v>
      </c>
      <c r="H807" s="244"/>
      <c r="I807" s="185"/>
      <c r="J807" s="185"/>
      <c r="K807" s="185"/>
      <c r="L807" s="185"/>
      <c r="M807" s="185"/>
      <c r="N807" s="185"/>
      <c r="O807" s="185"/>
      <c r="P807" s="185"/>
      <c r="Q807" s="185"/>
      <c r="R807" s="185"/>
      <c r="S807" s="185"/>
      <c r="T807" s="185"/>
      <c r="U807" s="185"/>
      <c r="V807" s="185"/>
      <c r="W807" s="185"/>
      <c r="X807" s="185"/>
      <c r="Y807" s="185"/>
      <c r="Z807" s="185"/>
      <c r="AA807" s="185"/>
      <c r="AB807" s="185"/>
      <c r="AC807" s="185"/>
      <c r="AD807" s="185"/>
      <c r="AE807" s="185"/>
      <c r="AF807" s="185"/>
      <c r="AG807" s="185"/>
      <c r="AH807" s="185"/>
      <c r="AI807" s="185"/>
      <c r="AJ807" s="185"/>
      <c r="AK807" s="185"/>
      <c r="AL807" s="185"/>
      <c r="AM807" s="185"/>
      <c r="AN807" s="185"/>
      <c r="AO807" s="185"/>
      <c r="AP807" s="14"/>
    </row>
    <row r="808" spans="1:42" outlineLevel="1" x14ac:dyDescent="0.25">
      <c r="A808" s="12"/>
      <c r="B808" s="13"/>
      <c r="C808" s="41" t="s">
        <v>62</v>
      </c>
      <c r="D808" s="14"/>
      <c r="E808" s="15" t="s">
        <v>261</v>
      </c>
      <c r="F808" s="48"/>
      <c r="G808" s="184">
        <f>G807/SUM(H788:AP788)</f>
        <v>3.4014594427785974</v>
      </c>
      <c r="H808" s="185"/>
      <c r="I808" s="185"/>
      <c r="J808" s="185"/>
      <c r="K808" s="185"/>
      <c r="L808" s="185"/>
      <c r="M808" s="185"/>
      <c r="N808" s="185"/>
      <c r="O808" s="185"/>
      <c r="P808" s="185"/>
      <c r="Q808" s="185"/>
      <c r="R808" s="185"/>
      <c r="S808" s="185"/>
      <c r="T808" s="185"/>
      <c r="U808" s="185"/>
      <c r="V808" s="185"/>
      <c r="W808" s="185"/>
      <c r="X808" s="185"/>
      <c r="Y808" s="185"/>
      <c r="Z808" s="185"/>
      <c r="AA808" s="185"/>
      <c r="AB808" s="185"/>
      <c r="AC808" s="185"/>
      <c r="AD808" s="185"/>
      <c r="AE808" s="185"/>
      <c r="AF808" s="185"/>
      <c r="AG808" s="185"/>
      <c r="AH808" s="185"/>
      <c r="AI808" s="185"/>
      <c r="AJ808" s="185"/>
      <c r="AK808" s="185"/>
      <c r="AL808" s="185"/>
      <c r="AM808" s="185"/>
      <c r="AN808" s="185"/>
      <c r="AO808" s="185"/>
      <c r="AP808" s="14"/>
    </row>
    <row r="809" spans="1:42" outlineLevel="1" x14ac:dyDescent="0.25">
      <c r="A809" s="12"/>
      <c r="B809" s="13"/>
      <c r="C809" s="41"/>
      <c r="D809" s="14"/>
      <c r="E809" s="15"/>
      <c r="F809" s="48"/>
      <c r="G809" s="185"/>
      <c r="H809" s="185"/>
      <c r="I809" s="185"/>
      <c r="J809" s="185"/>
      <c r="K809" s="185"/>
      <c r="L809" s="185"/>
      <c r="M809" s="185"/>
      <c r="N809" s="185"/>
      <c r="O809" s="185"/>
      <c r="P809" s="185"/>
      <c r="Q809" s="185"/>
      <c r="R809" s="185"/>
      <c r="S809" s="185"/>
      <c r="T809" s="185"/>
      <c r="U809" s="185"/>
      <c r="V809" s="185"/>
      <c r="W809" s="185"/>
      <c r="X809" s="185"/>
      <c r="Y809" s="185"/>
      <c r="Z809" s="185"/>
      <c r="AA809" s="185"/>
      <c r="AB809" s="185"/>
      <c r="AC809" s="185"/>
      <c r="AD809" s="185"/>
      <c r="AE809" s="185"/>
      <c r="AF809" s="185"/>
      <c r="AG809" s="185"/>
      <c r="AH809" s="185"/>
      <c r="AI809" s="185"/>
      <c r="AJ809" s="185"/>
      <c r="AK809" s="185"/>
      <c r="AL809" s="185"/>
      <c r="AM809" s="185"/>
      <c r="AN809" s="185"/>
      <c r="AO809" s="185"/>
      <c r="AP809" s="14"/>
    </row>
    <row r="810" spans="1:42" outlineLevel="1" x14ac:dyDescent="0.25">
      <c r="A810" s="12"/>
      <c r="B810" s="13"/>
      <c r="C810" s="20" t="s">
        <v>489</v>
      </c>
      <c r="D810" s="19"/>
      <c r="E810" s="15" t="s">
        <v>261</v>
      </c>
      <c r="F810" s="16"/>
      <c r="G810" s="184">
        <f>G761+G785+G808</f>
        <v>3.4259781274736576</v>
      </c>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row>
    <row r="811" spans="1:42" ht="18.75" outlineLevel="1" x14ac:dyDescent="0.3">
      <c r="A811" s="12"/>
      <c r="B811" s="13"/>
      <c r="C811" s="226" t="str">
        <f>C672</f>
        <v>TCO 1: End-of-Life Diesel Bus Replacement with BEB</v>
      </c>
      <c r="D811" s="225"/>
      <c r="E811" s="15" t="s">
        <v>261</v>
      </c>
      <c r="F811" s="16"/>
      <c r="G811" s="224">
        <f>G752+G810</f>
        <v>5.3462377425327556</v>
      </c>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row>
    <row r="812" spans="1:42" outlineLevel="1" x14ac:dyDescent="0.25">
      <c r="A812" s="12"/>
      <c r="B812" s="13"/>
      <c r="C812" s="41"/>
      <c r="D812" s="41"/>
      <c r="E812" s="15"/>
      <c r="F812" s="16"/>
      <c r="G812" s="14"/>
      <c r="H812" s="141"/>
      <c r="I812" s="141"/>
      <c r="J812" s="141"/>
      <c r="K812" s="141"/>
      <c r="L812" s="141"/>
      <c r="M812" s="141"/>
      <c r="N812" s="141"/>
      <c r="O812" s="141"/>
      <c r="P812" s="141"/>
      <c r="Q812" s="141"/>
      <c r="R812" s="141"/>
      <c r="S812" s="141"/>
      <c r="T812" s="141"/>
      <c r="U812" s="141"/>
      <c r="V812" s="141"/>
      <c r="W812" s="141"/>
      <c r="X812" s="141"/>
      <c r="Y812" s="141"/>
      <c r="Z812" s="141"/>
      <c r="AA812" s="141"/>
      <c r="AB812" s="141"/>
      <c r="AC812" s="14"/>
      <c r="AD812" s="14"/>
      <c r="AE812" s="14"/>
      <c r="AF812" s="14"/>
      <c r="AG812" s="14"/>
      <c r="AH812" s="14"/>
      <c r="AI812" s="14"/>
      <c r="AJ812" s="14"/>
      <c r="AK812" s="14"/>
      <c r="AL812" s="14"/>
      <c r="AM812" s="14"/>
      <c r="AN812" s="14"/>
      <c r="AO812" s="14"/>
      <c r="AP812" s="17"/>
    </row>
    <row r="813" spans="1:42" x14ac:dyDescent="0.25">
      <c r="A813" s="261"/>
      <c r="B813" s="261"/>
      <c r="C813" s="261" t="s">
        <v>576</v>
      </c>
      <c r="D813" s="261"/>
      <c r="E813" s="262"/>
      <c r="F813" s="263"/>
      <c r="G813" s="263"/>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3"/>
      <c r="AD813" s="263"/>
      <c r="AE813" s="263"/>
      <c r="AF813" s="263"/>
      <c r="AG813" s="263"/>
      <c r="AH813" s="263"/>
      <c r="AI813" s="263"/>
      <c r="AJ813" s="263"/>
      <c r="AK813" s="263"/>
      <c r="AL813" s="263"/>
      <c r="AM813" s="263"/>
      <c r="AN813" s="263"/>
      <c r="AO813" s="263"/>
      <c r="AP813" s="265"/>
    </row>
    <row r="814" spans="1:42" outlineLevel="1" x14ac:dyDescent="0.25">
      <c r="A814" s="12"/>
      <c r="B814" s="13"/>
      <c r="C814" s="41"/>
      <c r="D814" s="41"/>
      <c r="E814" s="15"/>
      <c r="F814" s="16"/>
      <c r="G814" s="14"/>
      <c r="H814" s="141"/>
      <c r="I814" s="141"/>
      <c r="J814" s="141"/>
      <c r="K814" s="141"/>
      <c r="L814" s="141"/>
      <c r="M814" s="141"/>
      <c r="N814" s="141"/>
      <c r="O814" s="141"/>
      <c r="P814" s="141"/>
      <c r="Q814" s="141"/>
      <c r="R814" s="141"/>
      <c r="S814" s="141"/>
      <c r="T814" s="141"/>
      <c r="U814" s="141"/>
      <c r="V814" s="141"/>
      <c r="W814" s="141"/>
      <c r="X814" s="141"/>
      <c r="Y814" s="141"/>
      <c r="Z814" s="141"/>
      <c r="AA814" s="141"/>
      <c r="AB814" s="141"/>
      <c r="AC814" s="14"/>
      <c r="AD814" s="14"/>
      <c r="AE814" s="14"/>
      <c r="AF814" s="14"/>
      <c r="AG814" s="14"/>
      <c r="AH814" s="14"/>
      <c r="AI814" s="14"/>
      <c r="AJ814" s="14"/>
      <c r="AK814" s="14"/>
      <c r="AL814" s="14"/>
      <c r="AM814" s="14"/>
      <c r="AN814" s="14"/>
      <c r="AO814" s="14"/>
      <c r="AP814" s="17"/>
    </row>
    <row r="815" spans="1:42" outlineLevel="1" x14ac:dyDescent="0.25">
      <c r="A815" s="12"/>
      <c r="B815" s="13"/>
      <c r="C815" s="37" t="s">
        <v>508</v>
      </c>
      <c r="D815" s="37"/>
      <c r="E815" s="38"/>
      <c r="F815" s="39"/>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17"/>
    </row>
    <row r="816" spans="1:42" outlineLevel="1" x14ac:dyDescent="0.25">
      <c r="A816" s="12"/>
      <c r="B816" s="13"/>
      <c r="C816" s="95" t="s">
        <v>559</v>
      </c>
      <c r="D816" s="14"/>
      <c r="E816" s="15"/>
      <c r="F816" s="16"/>
      <c r="G816" s="14"/>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29"/>
    </row>
    <row r="817" spans="1:42" outlineLevel="1" x14ac:dyDescent="0.25">
      <c r="A817" s="12"/>
      <c r="B817" s="13"/>
      <c r="C817" s="96" t="s">
        <v>120</v>
      </c>
      <c r="D817" s="14"/>
      <c r="E817" s="15" t="s">
        <v>142</v>
      </c>
      <c r="F817" s="158" t="str">
        <f>Dashboard!$I$63</f>
        <v>3 Axle Double Decker Bus</v>
      </c>
      <c r="G817" s="14"/>
      <c r="H817" s="177">
        <f>IF(F817=C817,Data!$E$302,0)</f>
        <v>0</v>
      </c>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29"/>
    </row>
    <row r="818" spans="1:42" outlineLevel="1" x14ac:dyDescent="0.25">
      <c r="A818" s="12"/>
      <c r="B818" s="13"/>
      <c r="C818" s="96" t="s">
        <v>124</v>
      </c>
      <c r="D818" s="14"/>
      <c r="E818" s="15" t="s">
        <v>142</v>
      </c>
      <c r="F818" s="158" t="str">
        <f>Dashboard!$I$63</f>
        <v>3 Axle Double Decker Bus</v>
      </c>
      <c r="G818" s="14"/>
      <c r="H818" s="177">
        <f>IF(F818=C818,Data!$E$303,0)</f>
        <v>0</v>
      </c>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29"/>
    </row>
    <row r="819" spans="1:42" outlineLevel="1" x14ac:dyDescent="0.25">
      <c r="A819" s="12"/>
      <c r="B819" s="13"/>
      <c r="C819" s="96" t="s">
        <v>126</v>
      </c>
      <c r="D819" s="14"/>
      <c r="E819" s="15" t="s">
        <v>142</v>
      </c>
      <c r="F819" s="158" t="str">
        <f>Dashboard!$I$63</f>
        <v>3 Axle Double Decker Bus</v>
      </c>
      <c r="G819" s="14"/>
      <c r="H819" s="177">
        <f>IF(F819=C819,Data!$E$304,0)</f>
        <v>953333.33333333337</v>
      </c>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29"/>
    </row>
    <row r="820" spans="1:42" outlineLevel="1" x14ac:dyDescent="0.25">
      <c r="A820" s="12"/>
      <c r="B820" s="13"/>
      <c r="C820" s="96"/>
      <c r="D820" s="14"/>
      <c r="E820" s="15"/>
      <c r="F820" s="158"/>
      <c r="G820" s="14"/>
      <c r="H820" s="177"/>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29"/>
    </row>
    <row r="821" spans="1:42" outlineLevel="1" x14ac:dyDescent="0.25">
      <c r="A821" s="12"/>
      <c r="B821" s="13"/>
      <c r="C821" s="95" t="s">
        <v>594</v>
      </c>
      <c r="D821" s="14"/>
      <c r="E821" s="15"/>
      <c r="F821" s="158"/>
      <c r="G821" s="14"/>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151"/>
      <c r="AG821" s="151"/>
      <c r="AH821" s="151"/>
      <c r="AI821" s="151"/>
      <c r="AJ821" s="151"/>
      <c r="AK821" s="151"/>
      <c r="AL821" s="151"/>
      <c r="AM821" s="151"/>
      <c r="AN821" s="151"/>
      <c r="AO821" s="151"/>
      <c r="AP821" s="29"/>
    </row>
    <row r="822" spans="1:42" outlineLevel="1" x14ac:dyDescent="0.25">
      <c r="A822" s="12"/>
      <c r="B822" s="13"/>
      <c r="C822" s="96" t="s">
        <v>120</v>
      </c>
      <c r="D822" s="14"/>
      <c r="E822" s="15" t="s">
        <v>142</v>
      </c>
      <c r="F822" s="158" t="str">
        <f>Dashboard!$I$63</f>
        <v>3 Axle Double Decker Bus</v>
      </c>
      <c r="G822" s="14"/>
      <c r="H822" s="151">
        <f>IF(COUNT($H$3:H$3)=(Data!$E$307+1),IF($F$822=$C$822,H$667,0),0)</f>
        <v>0</v>
      </c>
      <c r="I822" s="151">
        <f>IF(COUNT($H$3:I$3)=(Data!$E$307+1),IF($F$822=$C$822,I$667,0),0)</f>
        <v>0</v>
      </c>
      <c r="J822" s="151">
        <f>IF(COUNT($H$3:J$3)=(Data!$E$307+1),IF($F$822=$C$822,J$667,0),0)</f>
        <v>0</v>
      </c>
      <c r="K822" s="151">
        <f>IF(COUNT($H$3:K$3)=(Data!$E$307+1),IF($F$822=$C$822,K$667,0),0)</f>
        <v>0</v>
      </c>
      <c r="L822" s="151">
        <f>IF(COUNT($H$3:L$3)=(Data!$E$307+1),IF($F$822=$C$822,L$667,0),0)</f>
        <v>0</v>
      </c>
      <c r="M822" s="151">
        <f>IF(COUNT($H$3:M$3)=(Data!$E$307+1),IF($F$822=$C$822,M$667,0),0)</f>
        <v>0</v>
      </c>
      <c r="N822" s="151">
        <f>IF(COUNT($H$3:N$3)=(Data!$E$307+1),IF($F$822=$C$822,N$667,0),0)</f>
        <v>0</v>
      </c>
      <c r="O822" s="151">
        <f>IF(COUNT($H$3:O$3)=(Data!$E$307+1),IF($F$822=$C$822,O$667,0),0)</f>
        <v>0</v>
      </c>
      <c r="P822" s="151">
        <f>IF(COUNT($H$3:P$3)=(Data!$E$307+1),IF($F$822=$C$822,P$667,0),0)</f>
        <v>0</v>
      </c>
      <c r="Q822" s="151">
        <f>IF(COUNT($H$3:Q$3)=(Data!$E$307+1),IF($F$822=$C$822,Q$667,0),0)</f>
        <v>0</v>
      </c>
      <c r="R822" s="151">
        <f>IF(COUNT($H$3:R$3)=(Data!$E$307+1),IF($F$822=$C$822,R$667,0),0)</f>
        <v>0</v>
      </c>
      <c r="S822" s="151">
        <f>IF(COUNT($H$3:S$3)=(Data!$E$307+1),IF($F$822=$C$822,S$667,0),0)</f>
        <v>0</v>
      </c>
      <c r="T822" s="151">
        <f>IF(COUNT($H$3:T$3)=(Data!$E$307+1),IF($F$822=$C$822,T$667,0),0)</f>
        <v>0</v>
      </c>
      <c r="U822" s="151">
        <f>IF(COUNT($H$3:U$3)=(Data!$E$307+1),IF($F$822=$C$822,U$667,0),0)</f>
        <v>0</v>
      </c>
      <c r="V822" s="151">
        <f>IF(COUNT($H$3:V$3)=(Data!$E$307+1),IF($F$822=$C$822,V$667,0),0)</f>
        <v>0</v>
      </c>
      <c r="W822" s="151">
        <f>IF(COUNT($H$3:W$3)=(Data!$E$307+1),IF($F$822=$C$822,W$667,0),0)</f>
        <v>0</v>
      </c>
      <c r="X822" s="151">
        <f>IF(COUNT($H$3:X$3)=(Data!$E$307+1),IF($F$822=$C$822,X$667,0),0)</f>
        <v>0</v>
      </c>
      <c r="Y822" s="151">
        <f>IF(COUNT($H$3:Y$3)=(Data!$E$307+1),IF($F$822=$C$822,Y$667,0),0)</f>
        <v>0</v>
      </c>
      <c r="Z822" s="151">
        <f>IF(COUNT($H$3:Z$3)=(Data!$E$307+1),IF($F$822=$C$822,Z$667,0),0)</f>
        <v>0</v>
      </c>
      <c r="AA822" s="151">
        <f>IF(COUNT($H$3:AA$3)=(Data!$E$307+1),IF($F$822=$C$822,AA$667,0),0)</f>
        <v>0</v>
      </c>
      <c r="AB822" s="151">
        <f>IF(COUNT($H$3:AB$3)=(Data!$E$307+1),IF($F$822=$C$822,AB$667,0),0)</f>
        <v>0</v>
      </c>
      <c r="AC822" s="151">
        <f>IF(COUNT($H$3:AC$3)=(Data!$E$307+1),IF($F$822=$C$822,AC$667,0),0)</f>
        <v>0</v>
      </c>
      <c r="AD822" s="151">
        <f>IF(COUNT($H$3:AD$3)=(Data!$E$307+1),IF($F$822=$C$822,AD$667,0),0)</f>
        <v>0</v>
      </c>
      <c r="AE822" s="151">
        <f>IF(COUNT($H$3:AE$3)=(Data!$E$307+1),IF($F$822=$C$822,AE$667,0),0)</f>
        <v>0</v>
      </c>
      <c r="AF822" s="151">
        <f>IF(COUNT($H$3:AF$3)=(Data!$E$307+1),IF($F$822=$C$822,AF$667,0),0)</f>
        <v>0</v>
      </c>
      <c r="AG822" s="151">
        <f>IF(COUNT($H$3:AG$3)=(Data!$E$307+1),IF($F$822=$C$822,AG$667,0),0)</f>
        <v>0</v>
      </c>
      <c r="AH822" s="151">
        <f>IF(COUNT($H$3:AH$3)=(Data!$E$307+1),IF($F$822=$C$822,AH$667,0),0)</f>
        <v>0</v>
      </c>
      <c r="AI822" s="151">
        <f>IF(COUNT($H$3:AI$3)=(Data!$E$307+1),IF($F$822=$C$822,AI$667,0),0)</f>
        <v>0</v>
      </c>
      <c r="AJ822" s="151">
        <f>IF(COUNT($H$3:AJ$3)=(Data!$E$307+1),IF($F$822=$C$822,AJ$667,0),0)</f>
        <v>0</v>
      </c>
      <c r="AK822" s="151">
        <f>IF(COUNT($H$3:AK$3)=(Data!$E$307+1),IF($F$822=$C$822,AK$667,0),0)</f>
        <v>0</v>
      </c>
      <c r="AL822" s="151">
        <f>IF(COUNT($H$3:AL$3)=(Data!$E$307+1),IF($F$822=$C$822,AL$667,0),0)</f>
        <v>0</v>
      </c>
      <c r="AM822" s="151">
        <f>IF(COUNT($H$3:AM$3)=(Data!$E$307+1),IF($F$822=$C$822,AM$667,0),0)</f>
        <v>0</v>
      </c>
      <c r="AN822" s="151">
        <f>IF(COUNT($H$3:AN$3)=(Data!$E$307+1),IF($F$822=$C$822,AN$667,0),0)</f>
        <v>0</v>
      </c>
      <c r="AO822" s="151">
        <f>IF(COUNT($H$3:AO$3)=(Data!$E$307+1),IF($F$822=$C$822,AO$667,0),0)</f>
        <v>0</v>
      </c>
      <c r="AP822" s="29"/>
    </row>
    <row r="823" spans="1:42" outlineLevel="1" x14ac:dyDescent="0.25">
      <c r="A823" s="12"/>
      <c r="B823" s="13"/>
      <c r="C823" s="96" t="s">
        <v>124</v>
      </c>
      <c r="D823" s="14"/>
      <c r="E823" s="15" t="s">
        <v>142</v>
      </c>
      <c r="F823" s="158" t="str">
        <f>Dashboard!$I$63</f>
        <v>3 Axle Double Decker Bus</v>
      </c>
      <c r="G823" s="14"/>
      <c r="H823" s="151">
        <f>IF(COUNT($H$3:H$3)=(Data!$E$307+1),IF($F$823=$C$823,H$668,0),0)</f>
        <v>0</v>
      </c>
      <c r="I823" s="151">
        <f>IF(COUNT($H$3:I$3)=(Data!$E$307+1),IF($F$823=$C$823,I$668,0),0)</f>
        <v>0</v>
      </c>
      <c r="J823" s="151">
        <f>IF(COUNT($H$3:J$3)=(Data!$E$307+1),IF($F$823=$C$823,J$668,0),0)</f>
        <v>0</v>
      </c>
      <c r="K823" s="151">
        <f>IF(COUNT($H$3:K$3)=(Data!$E$307+1),IF($F$823=$C$823,K$668,0),0)</f>
        <v>0</v>
      </c>
      <c r="L823" s="151">
        <f>IF(COUNT($H$3:L$3)=(Data!$E$307+1),IF($F$823=$C$823,L$668,0),0)</f>
        <v>0</v>
      </c>
      <c r="M823" s="151">
        <f>IF(COUNT($H$3:M$3)=(Data!$E$307+1),IF($F$823=$C$823,M$668,0),0)</f>
        <v>0</v>
      </c>
      <c r="N823" s="151">
        <f>IF(COUNT($H$3:N$3)=(Data!$E$307+1),IF($F$823=$C$823,N$668,0),0)</f>
        <v>0</v>
      </c>
      <c r="O823" s="151">
        <f>IF(COUNT($H$3:O$3)=(Data!$E$307+1),IF($F$823=$C$823,O$668,0),0)</f>
        <v>0</v>
      </c>
      <c r="P823" s="151">
        <f>IF(COUNT($H$3:P$3)=(Data!$E$307+1),IF($F$823=$C$823,P$668,0),0)</f>
        <v>0</v>
      </c>
      <c r="Q823" s="151">
        <f>IF(COUNT($H$3:Q$3)=(Data!$E$307+1),IF($F$823=$C$823,Q$668,0),0)</f>
        <v>0</v>
      </c>
      <c r="R823" s="151">
        <f>IF(COUNT($H$3:R$3)=(Data!$E$307+1),IF($F$823=$C$823,R$668,0),0)</f>
        <v>0</v>
      </c>
      <c r="S823" s="151">
        <f>IF(COUNT($H$3:S$3)=(Data!$E$307+1),IF($F$823=$C$823,S$668,0),0)</f>
        <v>0</v>
      </c>
      <c r="T823" s="151">
        <f>IF(COUNT($H$3:T$3)=(Data!$E$307+1),IF($F$823=$C$823,T$668,0),0)</f>
        <v>0</v>
      </c>
      <c r="U823" s="151">
        <f>IF(COUNT($H$3:U$3)=(Data!$E$307+1),IF($F$823=$C$823,U$668,0),0)</f>
        <v>0</v>
      </c>
      <c r="V823" s="151">
        <f>IF(COUNT($H$3:V$3)=(Data!$E$307+1),IF($F$823=$C$823,V$668,0),0)</f>
        <v>0</v>
      </c>
      <c r="W823" s="151">
        <f>IF(COUNT($H$3:W$3)=(Data!$E$307+1),IF($F$823=$C$823,W$668,0),0)</f>
        <v>0</v>
      </c>
      <c r="X823" s="151">
        <f>IF(COUNT($H$3:X$3)=(Data!$E$307+1),IF($F$823=$C$823,X$668,0),0)</f>
        <v>0</v>
      </c>
      <c r="Y823" s="151">
        <f>IF(COUNT($H$3:Y$3)=(Data!$E$307+1),IF($F$823=$C$823,Y$668,0),0)</f>
        <v>0</v>
      </c>
      <c r="Z823" s="151">
        <f>IF(COUNT($H$3:Z$3)=(Data!$E$307+1),IF($F$823=$C$823,Z$668,0),0)</f>
        <v>0</v>
      </c>
      <c r="AA823" s="151">
        <f>IF(COUNT($H$3:AA$3)=(Data!$E$307+1),IF($F$823=$C$823,AA$668,0),0)</f>
        <v>0</v>
      </c>
      <c r="AB823" s="151">
        <f>IF(COUNT($H$3:AB$3)=(Data!$E$307+1),IF($F$823=$C$823,AB$668,0),0)</f>
        <v>0</v>
      </c>
      <c r="AC823" s="151">
        <f>IF(COUNT($H$3:AC$3)=(Data!$E$307+1),IF($F$823=$C$823,AC$668,0),0)</f>
        <v>0</v>
      </c>
      <c r="AD823" s="151">
        <f>IF(COUNT($H$3:AD$3)=(Data!$E$307+1),IF($F$823=$C$823,AD$668,0),0)</f>
        <v>0</v>
      </c>
      <c r="AE823" s="151">
        <f>IF(COUNT($H$3:AE$3)=(Data!$E$307+1),IF($F$823=$C$823,AE$668,0),0)</f>
        <v>0</v>
      </c>
      <c r="AF823" s="151">
        <f>IF(COUNT($H$3:AF$3)=(Data!$E$307+1),IF($F$823=$C$823,AF$668,0),0)</f>
        <v>0</v>
      </c>
      <c r="AG823" s="151">
        <f>IF(COUNT($H$3:AG$3)=(Data!$E$307+1),IF($F$823=$C$823,AG$668,0),0)</f>
        <v>0</v>
      </c>
      <c r="AH823" s="151">
        <f>IF(COUNT($H$3:AH$3)=(Data!$E$307+1),IF($F$823=$C$823,AH$668,0),0)</f>
        <v>0</v>
      </c>
      <c r="AI823" s="151">
        <f>IF(COUNT($H$3:AI$3)=(Data!$E$307+1),IF($F$823=$C$823,AI$668,0),0)</f>
        <v>0</v>
      </c>
      <c r="AJ823" s="151">
        <f>IF(COUNT($H$3:AJ$3)=(Data!$E$307+1),IF($F$823=$C$823,AJ$668,0),0)</f>
        <v>0</v>
      </c>
      <c r="AK823" s="151">
        <f>IF(COUNT($H$3:AK$3)=(Data!$E$307+1),IF($F$823=$C$823,AK$668,0),0)</f>
        <v>0</v>
      </c>
      <c r="AL823" s="151">
        <f>IF(COUNT($H$3:AL$3)=(Data!$E$307+1),IF($F$823=$C$823,AL$668,0),0)</f>
        <v>0</v>
      </c>
      <c r="AM823" s="151">
        <f>IF(COUNT($H$3:AM$3)=(Data!$E$307+1),IF($F$823=$C$823,AM$668,0),0)</f>
        <v>0</v>
      </c>
      <c r="AN823" s="151">
        <f>IF(COUNT($H$3:AN$3)=(Data!$E$307+1),IF($F$823=$C$823,AN$668,0),0)</f>
        <v>0</v>
      </c>
      <c r="AO823" s="151">
        <f>IF(COUNT($H$3:AO$3)=(Data!$E$307+1),IF($F$823=$C$823,AO$668,0),0)</f>
        <v>0</v>
      </c>
      <c r="AP823" s="29"/>
    </row>
    <row r="824" spans="1:42" outlineLevel="1" x14ac:dyDescent="0.25">
      <c r="A824" s="12"/>
      <c r="B824" s="13"/>
      <c r="C824" s="96" t="s">
        <v>126</v>
      </c>
      <c r="D824" s="14"/>
      <c r="E824" s="15" t="s">
        <v>142</v>
      </c>
      <c r="F824" s="158" t="str">
        <f>Dashboard!$I$63</f>
        <v>3 Axle Double Decker Bus</v>
      </c>
      <c r="G824" s="14"/>
      <c r="H824" s="151">
        <f>IF(COUNT($H$3:H$3)=(Data!$E$307+1),IF($F$824=$C$824,H$669,0),0)</f>
        <v>0</v>
      </c>
      <c r="I824" s="151">
        <f>IF(COUNT($H$3:I$3)=(Data!$E$307+1),IF($F$824=$C$824,I$669,0),0)</f>
        <v>0</v>
      </c>
      <c r="J824" s="151">
        <f>IF(COUNT($H$3:J$3)=(Data!$E$307+1),IF($F$824=$C$824,J$669,0),0)</f>
        <v>0</v>
      </c>
      <c r="K824" s="151">
        <f>IF(COUNT($H$3:K$3)=(Data!$E$307+1),IF($F$824=$C$824,K$669,0),0)</f>
        <v>0</v>
      </c>
      <c r="L824" s="151">
        <f>IF(COUNT($H$3:L$3)=(Data!$E$307+1),IF($F$824=$C$824,L$669,0),0)</f>
        <v>0</v>
      </c>
      <c r="M824" s="151">
        <f>IF(COUNT($H$3:M$3)=(Data!$E$307+1),IF($F$824=$C$824,M$669,0),0)</f>
        <v>0</v>
      </c>
      <c r="N824" s="151">
        <f>IF(COUNT($H$3:N$3)=(Data!$E$307+1),IF($F$824=$C$824,N$669,0),0)</f>
        <v>0</v>
      </c>
      <c r="O824" s="151">
        <f>IF(COUNT($H$3:O$3)=(Data!$E$307+1),IF($F$824=$C$824,O$669,0),0)</f>
        <v>0</v>
      </c>
      <c r="P824" s="151">
        <f>IF(COUNT($H$3:P$3)=(Data!$E$307+1),IF($F$824=$C$824,P$669,0),0)</f>
        <v>0</v>
      </c>
      <c r="Q824" s="151">
        <f>IF(COUNT($H$3:Q$3)=(Data!$E$307+1),IF($F$824=$C$824,Q$669,0),0)</f>
        <v>165357.69380586554</v>
      </c>
      <c r="R824" s="151">
        <f>IF(COUNT($H$3:R$3)=(Data!$E$307+1),IF($F$824=$C$824,R$669,0),0)</f>
        <v>0</v>
      </c>
      <c r="S824" s="151">
        <f>IF(COUNT($H$3:S$3)=(Data!$E$307+1),IF($F$824=$C$824,S$669,0),0)</f>
        <v>0</v>
      </c>
      <c r="T824" s="151">
        <f>IF(COUNT($H$3:T$3)=(Data!$E$307+1),IF($F$824=$C$824,T$669,0),0)</f>
        <v>0</v>
      </c>
      <c r="U824" s="151">
        <f>IF(COUNT($H$3:U$3)=(Data!$E$307+1),IF($F$824=$C$824,U$669,0),0)</f>
        <v>0</v>
      </c>
      <c r="V824" s="151">
        <f>IF(COUNT($H$3:V$3)=(Data!$E$307+1),IF($F$824=$C$824,V$669,0),0)</f>
        <v>0</v>
      </c>
      <c r="W824" s="151">
        <f>IF(COUNT($H$3:W$3)=(Data!$E$307+1),IF($F$824=$C$824,W$669,0),0)</f>
        <v>0</v>
      </c>
      <c r="X824" s="151">
        <f>IF(COUNT($H$3:X$3)=(Data!$E$307+1),IF($F$824=$C$824,X$669,0),0)</f>
        <v>0</v>
      </c>
      <c r="Y824" s="151">
        <f>IF(COUNT($H$3:Y$3)=(Data!$E$307+1),IF($F$824=$C$824,Y$669,0),0)</f>
        <v>0</v>
      </c>
      <c r="Z824" s="151">
        <f>IF(COUNT($H$3:Z$3)=(Data!$E$307+1),IF($F$824=$C$824,Z$669,0),0)</f>
        <v>0</v>
      </c>
      <c r="AA824" s="151">
        <f>IF(COUNT($H$3:AA$3)=(Data!$E$307+1),IF($F$824=$C$824,AA$669,0),0)</f>
        <v>0</v>
      </c>
      <c r="AB824" s="151">
        <f>IF(COUNT($H$3:AB$3)=(Data!$E$307+1),IF($F$824=$C$824,AB$669,0),0)</f>
        <v>0</v>
      </c>
      <c r="AC824" s="151">
        <f>IF(COUNT($H$3:AC$3)=(Data!$E$307+1),IF($F$824=$C$824,AC$669,0),0)</f>
        <v>0</v>
      </c>
      <c r="AD824" s="151">
        <f>IF(COUNT($H$3:AD$3)=(Data!$E$307+1),IF($F$824=$C$824,AD$669,0),0)</f>
        <v>0</v>
      </c>
      <c r="AE824" s="151">
        <f>IF(COUNT($H$3:AE$3)=(Data!$E$307+1),IF($F$824=$C$824,AE$669,0),0)</f>
        <v>0</v>
      </c>
      <c r="AF824" s="151">
        <f>IF(COUNT($H$3:AF$3)=(Data!$E$307+1),IF($F$824=$C$824,AF$669,0),0)</f>
        <v>0</v>
      </c>
      <c r="AG824" s="151">
        <f>IF(COUNT($H$3:AG$3)=(Data!$E$307+1),IF($F$824=$C$824,AG$669,0),0)</f>
        <v>0</v>
      </c>
      <c r="AH824" s="151">
        <f>IF(COUNT($H$3:AH$3)=(Data!$E$307+1),IF($F$824=$C$824,AH$669,0),0)</f>
        <v>0</v>
      </c>
      <c r="AI824" s="151">
        <f>IF(COUNT($H$3:AI$3)=(Data!$E$307+1),IF($F$824=$C$824,AI$669,0),0)</f>
        <v>0</v>
      </c>
      <c r="AJ824" s="151">
        <f>IF(COUNT($H$3:AJ$3)=(Data!$E$307+1),IF($F$824=$C$824,AJ$669,0),0)</f>
        <v>0</v>
      </c>
      <c r="AK824" s="151">
        <f>IF(COUNT($H$3:AK$3)=(Data!$E$307+1),IF($F$824=$C$824,AK$669,0),0)</f>
        <v>0</v>
      </c>
      <c r="AL824" s="151">
        <f>IF(COUNT($H$3:AL$3)=(Data!$E$307+1),IF($F$824=$C$824,AL$669,0),0)</f>
        <v>0</v>
      </c>
      <c r="AM824" s="151">
        <f>IF(COUNT($H$3:AM$3)=(Data!$E$307+1),IF($F$824=$C$824,AM$669,0),0)</f>
        <v>0</v>
      </c>
      <c r="AN824" s="151">
        <f>IF(COUNT($H$3:AN$3)=(Data!$E$307+1),IF($F$824=$C$824,AN$669,0),0)</f>
        <v>0</v>
      </c>
      <c r="AO824" s="151">
        <f>IF(COUNT($H$3:AO$3)=(Data!$E$307+1),IF($F$824=$C$824,AO$669,0),0)</f>
        <v>0</v>
      </c>
      <c r="AP824" s="29"/>
    </row>
    <row r="825" spans="1:42" outlineLevel="1" x14ac:dyDescent="0.25">
      <c r="A825" s="12"/>
      <c r="B825" s="13"/>
      <c r="C825" s="96"/>
      <c r="D825" s="14"/>
      <c r="E825" s="15"/>
      <c r="F825" s="158"/>
      <c r="G825" s="14"/>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151"/>
      <c r="AG825" s="151"/>
      <c r="AH825" s="151"/>
      <c r="AI825" s="151"/>
      <c r="AJ825" s="151"/>
      <c r="AK825" s="151"/>
      <c r="AL825" s="151"/>
      <c r="AM825" s="151"/>
      <c r="AN825" s="151"/>
      <c r="AO825" s="151"/>
      <c r="AP825" s="29"/>
    </row>
    <row r="826" spans="1:42" outlineLevel="1" x14ac:dyDescent="0.25">
      <c r="A826" s="12"/>
      <c r="B826" s="13"/>
      <c r="C826" s="140" t="s">
        <v>306</v>
      </c>
      <c r="D826" s="14"/>
      <c r="E826" s="15"/>
      <c r="F826" s="16"/>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7"/>
    </row>
    <row r="827" spans="1:42" outlineLevel="1" x14ac:dyDescent="0.25">
      <c r="A827" s="12"/>
      <c r="B827" s="13"/>
      <c r="C827" s="14" t="s">
        <v>546</v>
      </c>
      <c r="D827" s="14"/>
      <c r="E827" s="15" t="s">
        <v>142</v>
      </c>
      <c r="F827" s="16"/>
      <c r="G827" s="14"/>
      <c r="H827" s="159">
        <f>Data!$E$316</f>
        <v>62335</v>
      </c>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7"/>
    </row>
    <row r="828" spans="1:42" outlineLevel="1" x14ac:dyDescent="0.25">
      <c r="A828" s="12"/>
      <c r="B828" s="13"/>
      <c r="C828" s="14" t="s">
        <v>547</v>
      </c>
      <c r="D828" s="14"/>
      <c r="E828" s="15" t="s">
        <v>142</v>
      </c>
      <c r="F828" s="16"/>
      <c r="G828" s="14"/>
      <c r="H828" s="159">
        <f>Data!$E$317</f>
        <v>70444.868888888886</v>
      </c>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7"/>
    </row>
    <row r="829" spans="1:42" outlineLevel="1" x14ac:dyDescent="0.25">
      <c r="A829" s="12"/>
      <c r="B829" s="13"/>
      <c r="C829" s="136" t="s">
        <v>310</v>
      </c>
      <c r="D829" s="14"/>
      <c r="E829" s="15" t="s">
        <v>142</v>
      </c>
      <c r="F829" s="158">
        <f>Dashboard!$I$64</f>
        <v>1</v>
      </c>
      <c r="G829" s="14"/>
      <c r="H829" s="159">
        <f>(F829*Data!$E$318)/Dashboard!$I$41</f>
        <v>27333.333333333332</v>
      </c>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7"/>
    </row>
    <row r="830" spans="1:42" outlineLevel="1" x14ac:dyDescent="0.25">
      <c r="A830" s="12"/>
      <c r="B830" s="13"/>
      <c r="C830" s="14" t="s">
        <v>311</v>
      </c>
      <c r="D830" s="14"/>
      <c r="E830" s="15" t="s">
        <v>142</v>
      </c>
      <c r="F830" s="16"/>
      <c r="G830" s="14"/>
      <c r="H830" s="159">
        <f>(F829*Data!$E$319)/Dashboard!$I$41</f>
        <v>30044.556584747141</v>
      </c>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7"/>
    </row>
    <row r="831" spans="1:42" outlineLevel="1" x14ac:dyDescent="0.25">
      <c r="A831" s="12"/>
      <c r="B831" s="13"/>
      <c r="C831" s="41" t="s">
        <v>302</v>
      </c>
      <c r="D831" s="14"/>
      <c r="E831" s="15"/>
      <c r="F831" s="16"/>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7"/>
    </row>
    <row r="832" spans="1:42" outlineLevel="1" x14ac:dyDescent="0.25">
      <c r="A832" s="12"/>
      <c r="B832" s="13"/>
      <c r="C832" s="136" t="s">
        <v>328</v>
      </c>
      <c r="D832" s="14"/>
      <c r="E832" s="15" t="s">
        <v>142</v>
      </c>
      <c r="F832" s="16"/>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7"/>
    </row>
    <row r="833" spans="1:42" outlineLevel="1" x14ac:dyDescent="0.25">
      <c r="A833" s="12"/>
      <c r="B833" s="13"/>
      <c r="C833" s="136"/>
      <c r="D833" s="14"/>
      <c r="E833" s="15"/>
      <c r="F833" s="16"/>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7"/>
    </row>
    <row r="834" spans="1:42" outlineLevel="1" x14ac:dyDescent="0.25">
      <c r="A834" s="12"/>
      <c r="B834" s="13"/>
      <c r="C834" s="19" t="s">
        <v>510</v>
      </c>
      <c r="D834" s="45"/>
      <c r="E834" s="15"/>
      <c r="F834" s="16"/>
      <c r="G834" s="14"/>
      <c r="H834" s="182">
        <f>SUM(H817:H833)</f>
        <v>1143491.0921403025</v>
      </c>
      <c r="I834" s="182">
        <f t="shared" ref="I834:AO834" si="278">SUM(I817:I833)</f>
        <v>0</v>
      </c>
      <c r="J834" s="182">
        <f t="shared" si="278"/>
        <v>0</v>
      </c>
      <c r="K834" s="182">
        <f t="shared" si="278"/>
        <v>0</v>
      </c>
      <c r="L834" s="182">
        <f t="shared" si="278"/>
        <v>0</v>
      </c>
      <c r="M834" s="182">
        <f t="shared" si="278"/>
        <v>0</v>
      </c>
      <c r="N834" s="182">
        <f t="shared" si="278"/>
        <v>0</v>
      </c>
      <c r="O834" s="182">
        <f t="shared" si="278"/>
        <v>0</v>
      </c>
      <c r="P834" s="182">
        <f t="shared" si="278"/>
        <v>0</v>
      </c>
      <c r="Q834" s="182">
        <f t="shared" si="278"/>
        <v>165357.69380586554</v>
      </c>
      <c r="R834" s="182">
        <f t="shared" si="278"/>
        <v>0</v>
      </c>
      <c r="S834" s="182">
        <f t="shared" si="278"/>
        <v>0</v>
      </c>
      <c r="T834" s="182">
        <f t="shared" si="278"/>
        <v>0</v>
      </c>
      <c r="U834" s="182">
        <f t="shared" si="278"/>
        <v>0</v>
      </c>
      <c r="V834" s="182">
        <f t="shared" si="278"/>
        <v>0</v>
      </c>
      <c r="W834" s="182">
        <f t="shared" si="278"/>
        <v>0</v>
      </c>
      <c r="X834" s="182">
        <f t="shared" si="278"/>
        <v>0</v>
      </c>
      <c r="Y834" s="182">
        <f t="shared" si="278"/>
        <v>0</v>
      </c>
      <c r="Z834" s="182">
        <f t="shared" si="278"/>
        <v>0</v>
      </c>
      <c r="AA834" s="182">
        <f t="shared" si="278"/>
        <v>0</v>
      </c>
      <c r="AB834" s="182">
        <f t="shared" si="278"/>
        <v>0</v>
      </c>
      <c r="AC834" s="182">
        <f t="shared" si="278"/>
        <v>0</v>
      </c>
      <c r="AD834" s="182">
        <f t="shared" si="278"/>
        <v>0</v>
      </c>
      <c r="AE834" s="182">
        <f t="shared" si="278"/>
        <v>0</v>
      </c>
      <c r="AF834" s="182">
        <f t="shared" si="278"/>
        <v>0</v>
      </c>
      <c r="AG834" s="182">
        <f t="shared" si="278"/>
        <v>0</v>
      </c>
      <c r="AH834" s="182">
        <f t="shared" si="278"/>
        <v>0</v>
      </c>
      <c r="AI834" s="182">
        <f t="shared" si="278"/>
        <v>0</v>
      </c>
      <c r="AJ834" s="182">
        <f t="shared" si="278"/>
        <v>0</v>
      </c>
      <c r="AK834" s="182">
        <f t="shared" si="278"/>
        <v>0</v>
      </c>
      <c r="AL834" s="182">
        <f t="shared" si="278"/>
        <v>0</v>
      </c>
      <c r="AM834" s="182">
        <f t="shared" si="278"/>
        <v>0</v>
      </c>
      <c r="AN834" s="182">
        <f t="shared" si="278"/>
        <v>0</v>
      </c>
      <c r="AO834" s="182">
        <f t="shared" si="278"/>
        <v>0</v>
      </c>
      <c r="AP834" s="29"/>
    </row>
    <row r="835" spans="1:42" s="140" customFormat="1" outlineLevel="1" x14ac:dyDescent="0.25">
      <c r="A835" s="78"/>
      <c r="B835" s="19"/>
      <c r="C835" s="95" t="s">
        <v>560</v>
      </c>
      <c r="D835" s="20"/>
      <c r="E835" s="15" t="s">
        <v>142</v>
      </c>
      <c r="F835" s="48"/>
      <c r="G835" s="20"/>
      <c r="H835" s="185">
        <f>H834</f>
        <v>1143491.0921403025</v>
      </c>
      <c r="I835" s="244"/>
      <c r="J835" s="244"/>
      <c r="K835" s="244"/>
      <c r="L835" s="244"/>
      <c r="M835" s="244"/>
      <c r="N835" s="244"/>
      <c r="O835" s="244"/>
      <c r="P835" s="244"/>
      <c r="Q835" s="244"/>
      <c r="R835" s="244"/>
      <c r="S835" s="244"/>
      <c r="T835" s="244"/>
      <c r="U835" s="244"/>
      <c r="V835" s="244"/>
      <c r="W835" s="244"/>
      <c r="X835" s="244"/>
      <c r="Y835" s="244"/>
      <c r="Z835" s="244"/>
      <c r="AA835" s="244"/>
      <c r="AB835" s="244"/>
      <c r="AC835" s="244"/>
      <c r="AD835" s="244"/>
      <c r="AE835" s="244"/>
      <c r="AF835" s="244"/>
      <c r="AG835" s="244"/>
      <c r="AH835" s="244"/>
      <c r="AI835" s="244"/>
      <c r="AJ835" s="244"/>
      <c r="AK835" s="244"/>
      <c r="AL835" s="244"/>
      <c r="AM835" s="244"/>
      <c r="AN835" s="244"/>
      <c r="AO835" s="244"/>
      <c r="AP835" s="370"/>
    </row>
    <row r="836" spans="1:42" s="140" customFormat="1" outlineLevel="1" x14ac:dyDescent="0.25">
      <c r="A836" s="78"/>
      <c r="B836" s="19"/>
      <c r="C836" s="95" t="s">
        <v>561</v>
      </c>
      <c r="D836" s="20"/>
      <c r="E836" s="15" t="s">
        <v>142</v>
      </c>
      <c r="F836" s="48"/>
      <c r="G836" s="20"/>
      <c r="H836" s="20"/>
      <c r="I836" s="244">
        <f>IF(I662&gt;0,-PMT(Data!$E$10,Data!$E$337,BEB!$H$835,0,0),0)</f>
        <v>84140.076044878922</v>
      </c>
      <c r="J836" s="244">
        <f>IF(J662&gt;0,-PMT(Data!$E$10,Data!$E$337,BEB!$H$835,0,0),0)</f>
        <v>84140.076044878922</v>
      </c>
      <c r="K836" s="244">
        <f>IF(K662&gt;0,-PMT(Data!$E$10,Data!$E$337,BEB!$H$835,0,0),0)</f>
        <v>84140.076044878922</v>
      </c>
      <c r="L836" s="244">
        <f>IF(L662&gt;0,-PMT(Data!$E$10,Data!$E$337,BEB!$H$835,0,0),0)</f>
        <v>84140.076044878922</v>
      </c>
      <c r="M836" s="244">
        <f>IF(M662&gt;0,-PMT(Data!$E$10,Data!$E$337,BEB!$H$835,0,0),0)</f>
        <v>84140.076044878922</v>
      </c>
      <c r="N836" s="244">
        <f>IF(N662&gt;0,-PMT(Data!$E$10,Data!$E$337,BEB!$H$835,0,0),0)</f>
        <v>84140.076044878922</v>
      </c>
      <c r="O836" s="244">
        <f>IF(O662&gt;0,-PMT(Data!$E$10,Data!$E$337,BEB!$H$835,0,0),0)</f>
        <v>84140.076044878922</v>
      </c>
      <c r="P836" s="244">
        <f>IF(P662&gt;0,-PMT(Data!$E$10,Data!$E$337,BEB!$H$835,0,0),0)</f>
        <v>84140.076044878922</v>
      </c>
      <c r="Q836" s="244">
        <f>IF(Q662&gt;0,-PMT(Data!$E$10,Data!$E$337,BEB!$H$835,0,0),0)</f>
        <v>84140.076044878922</v>
      </c>
      <c r="R836" s="244">
        <f>IF(R662&gt;0,-PMT(Data!$E$10,Data!$E$337,BEB!$H$835,0,0),0)</f>
        <v>84140.076044878922</v>
      </c>
      <c r="S836" s="244">
        <f>IF(S662&gt;0,-PMT(Data!$E$10,Data!$E$337,BEB!$H$835,0,0),0)</f>
        <v>84140.076044878922</v>
      </c>
      <c r="T836" s="244">
        <f>IF(T662&gt;0,-PMT(Data!$E$10,Data!$E$337,BEB!$H$835,0,0),0)</f>
        <v>84140.076044878922</v>
      </c>
      <c r="U836" s="244">
        <f>IF(U662&gt;0,-PMT(Data!$E$10,Data!$E$337,BEB!$H$835,0,0),0)</f>
        <v>84140.076044878922</v>
      </c>
      <c r="V836" s="244">
        <f>IF(V662&gt;0,-PMT(Data!$E$10,Data!$E$337,BEB!$H$835,0,0),0)</f>
        <v>84140.076044878922</v>
      </c>
      <c r="W836" s="244">
        <f>IF(W662&gt;0,-PMT(Data!$E$10,Data!$E$337,BEB!$H$835,0,0),0)</f>
        <v>84140.076044878922</v>
      </c>
      <c r="X836" s="244">
        <f>IF(X662&gt;0,-PMT(Data!$E$10,Data!$E$337,BEB!$H$835,0,0),0)</f>
        <v>84140.076044878922</v>
      </c>
      <c r="Y836" s="244">
        <f>IF(Y662&gt;0,-PMT(Data!$E$10,Data!$E$337,BEB!$H$835,0,0),0)</f>
        <v>84140.076044878922</v>
      </c>
      <c r="Z836" s="244">
        <f>IF(Z662&gt;0,-PMT(Data!$E$10,Data!$E$337,BEB!$H$835,0,0),0)</f>
        <v>84140.076044878922</v>
      </c>
      <c r="AA836" s="244">
        <f>IF(AA662&gt;0,-PMT(Data!$E$10,Data!$E$337,BEB!$H$835,0,0),0)</f>
        <v>84140.076044878922</v>
      </c>
      <c r="AB836" s="244">
        <f>IF(AB662&gt;0,-PMT(Data!$E$10,Data!$E$337,BEB!$H$835,0,0),0)</f>
        <v>84140.076044878922</v>
      </c>
      <c r="AC836" s="244">
        <f>IF(AC662&gt;0,-PMT(Data!$E$10,Data!$E$337,BEB!$H$835,0,0),0)</f>
        <v>0</v>
      </c>
      <c r="AD836" s="244">
        <f>IF(AD662&gt;0,-PMT(Data!$E$10,Data!$E$337,BEB!$H$835,0,0),0)</f>
        <v>0</v>
      </c>
      <c r="AE836" s="244">
        <f>IF(AE662&gt;0,-PMT(Data!$E$10,Data!$E$337,BEB!$H$835,0,0),0)</f>
        <v>0</v>
      </c>
      <c r="AF836" s="244">
        <f>IF(AF662&gt;0,-PMT(Data!$E$10,Data!$E$337,BEB!$H$835,0,0),0)</f>
        <v>0</v>
      </c>
      <c r="AG836" s="244">
        <f>IF(AG662&gt;0,-PMT(Data!$E$10,Data!$E$337,BEB!$H$835,0,0),0)</f>
        <v>0</v>
      </c>
      <c r="AH836" s="244">
        <f>IF(AH662&gt;0,-PMT(Data!$E$10,Data!$E$337,BEB!$H$835,0,0),0)</f>
        <v>0</v>
      </c>
      <c r="AI836" s="244">
        <f>IF(AI662&gt;0,-PMT(Data!$E$10,Data!$E$337,BEB!$H$835,0,0),0)</f>
        <v>0</v>
      </c>
      <c r="AJ836" s="244">
        <f>IF(AJ662&gt;0,-PMT(Data!$E$10,Data!$E$337,BEB!$H$835,0,0),0)</f>
        <v>0</v>
      </c>
      <c r="AK836" s="244">
        <f>IF(AK662&gt;0,-PMT(Data!$E$10,Data!$E$337,BEB!$H$835,0,0),0)</f>
        <v>0</v>
      </c>
      <c r="AL836" s="244">
        <f>IF(AL662&gt;0,-PMT(Data!$E$10,Data!$E$337,BEB!$H$835,0,0),0)</f>
        <v>0</v>
      </c>
      <c r="AM836" s="244">
        <f>IF(AM662&gt;0,-PMT(Data!$E$10,Data!$E$337,BEB!$H$835,0,0),0)</f>
        <v>0</v>
      </c>
      <c r="AN836" s="244">
        <f>IF(AN662&gt;0,-PMT(Data!$E$10,Data!$E$337,BEB!$H$835,0,0),0)</f>
        <v>0</v>
      </c>
      <c r="AO836" s="244">
        <f>IF(AO662&gt;0,-PMT(Data!$E$10,Data!$E$337,BEB!$H$835,0,0),0)</f>
        <v>0</v>
      </c>
      <c r="AP836" s="370"/>
    </row>
    <row r="837" spans="1:42" s="140" customFormat="1" outlineLevel="1" x14ac:dyDescent="0.25">
      <c r="A837" s="78"/>
      <c r="B837" s="19"/>
      <c r="C837" s="95" t="s">
        <v>562</v>
      </c>
      <c r="D837" s="20"/>
      <c r="E837" s="15" t="s">
        <v>142</v>
      </c>
      <c r="F837" s="48"/>
      <c r="G837" s="20"/>
      <c r="H837" s="20"/>
      <c r="I837" s="244"/>
      <c r="J837" s="244"/>
      <c r="K837" s="244"/>
      <c r="L837" s="244"/>
      <c r="M837" s="244"/>
      <c r="N837" s="244"/>
      <c r="O837" s="244"/>
      <c r="P837" s="244"/>
      <c r="Q837" s="185">
        <f>Q834</f>
        <v>165357.69380586554</v>
      </c>
      <c r="R837" s="244"/>
      <c r="S837" s="244"/>
      <c r="T837" s="244"/>
      <c r="U837" s="244"/>
      <c r="V837" s="244"/>
      <c r="W837" s="244"/>
      <c r="X837" s="244"/>
      <c r="Y837" s="244"/>
      <c r="Z837" s="244"/>
      <c r="AA837" s="244"/>
      <c r="AB837" s="244"/>
      <c r="AC837" s="244"/>
      <c r="AD837" s="244"/>
      <c r="AE837" s="244"/>
      <c r="AF837" s="244"/>
      <c r="AG837" s="244"/>
      <c r="AH837" s="244"/>
      <c r="AI837" s="244"/>
      <c r="AJ837" s="244"/>
      <c r="AK837" s="244"/>
      <c r="AL837" s="244"/>
      <c r="AM837" s="244"/>
      <c r="AN837" s="244"/>
      <c r="AO837" s="244"/>
      <c r="AP837" s="370"/>
    </row>
    <row r="838" spans="1:42" s="140" customFormat="1" outlineLevel="1" x14ac:dyDescent="0.25">
      <c r="A838" s="78"/>
      <c r="B838" s="19"/>
      <c r="C838" s="95" t="s">
        <v>563</v>
      </c>
      <c r="D838" s="20"/>
      <c r="E838" s="21" t="s">
        <v>266</v>
      </c>
      <c r="F838" s="48">
        <f>Data!$E$337-Data!$E$307</f>
        <v>11</v>
      </c>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370"/>
    </row>
    <row r="839" spans="1:42" s="140" customFormat="1" outlineLevel="1" x14ac:dyDescent="0.25">
      <c r="A839" s="78"/>
      <c r="B839" s="19"/>
      <c r="C839" s="95" t="s">
        <v>561</v>
      </c>
      <c r="D839" s="20"/>
      <c r="E839" s="15" t="s">
        <v>142</v>
      </c>
      <c r="F839" s="48"/>
      <c r="G839" s="20"/>
      <c r="H839" s="20"/>
      <c r="I839" s="244"/>
      <c r="J839" s="244"/>
      <c r="K839" s="244"/>
      <c r="L839" s="244"/>
      <c r="M839" s="244"/>
      <c r="N839" s="244"/>
      <c r="O839" s="244"/>
      <c r="P839" s="244"/>
      <c r="Q839" s="185"/>
      <c r="R839" s="244">
        <f>IF(R662&gt;0,-PMT(Data!$E$10,$F$838,BEB!$Q$837,0,0),0)</f>
        <v>18875.421881982526</v>
      </c>
      <c r="S839" s="244">
        <f>IF(S662&gt;0,-PMT(Data!$E$10,$F$838,BEB!$Q$837,0,0),0)</f>
        <v>18875.421881982526</v>
      </c>
      <c r="T839" s="244">
        <f>IF(T662&gt;0,-PMT(Data!$E$10,$F$838,BEB!$Q$837,0,0),0)</f>
        <v>18875.421881982526</v>
      </c>
      <c r="U839" s="244">
        <f>IF(U662&gt;0,-PMT(Data!$E$10,$F$838,BEB!$Q$837,0,0),0)</f>
        <v>18875.421881982526</v>
      </c>
      <c r="V839" s="244">
        <f>IF(V662&gt;0,-PMT(Data!$E$10,$F$838,BEB!$Q$837,0,0),0)</f>
        <v>18875.421881982526</v>
      </c>
      <c r="W839" s="244">
        <f>IF(W662&gt;0,-PMT(Data!$E$10,$F$838,BEB!$Q$837,0,0),0)</f>
        <v>18875.421881982526</v>
      </c>
      <c r="X839" s="244">
        <f>IF(X662&gt;0,-PMT(Data!$E$10,$F$838,BEB!$Q$837,0,0),0)</f>
        <v>18875.421881982526</v>
      </c>
      <c r="Y839" s="244">
        <f>IF(Y662&gt;0,-PMT(Data!$E$10,$F$838,BEB!$Q$837,0,0),0)</f>
        <v>18875.421881982526</v>
      </c>
      <c r="Z839" s="244">
        <f>IF(Z662&gt;0,-PMT(Data!$E$10,$F$838,BEB!$Q$837,0,0),0)</f>
        <v>18875.421881982526</v>
      </c>
      <c r="AA839" s="244">
        <f>IF(AA662&gt;0,-PMT(Data!$E$10,$F$838,BEB!$Q$837,0,0),0)</f>
        <v>18875.421881982526</v>
      </c>
      <c r="AB839" s="244">
        <f>IF(AB662&gt;0,-PMT(Data!$E$10,$F$838,BEB!$Q$837,0,0),0)</f>
        <v>18875.421881982526</v>
      </c>
      <c r="AC839" s="244">
        <f>IF(AC662&gt;0,-PMT(Data!$E$10,$F$838,BEB!$Q$837,0,0),0)</f>
        <v>0</v>
      </c>
      <c r="AD839" s="244">
        <f>IF(AD662&gt;0,-PMT(Data!$E$10,$F$838,BEB!$Q$837,0,0),0)</f>
        <v>0</v>
      </c>
      <c r="AE839" s="244">
        <f>IF(AE662&gt;0,-PMT(Data!$E$10,$F$838,BEB!$Q$837,0,0),0)</f>
        <v>0</v>
      </c>
      <c r="AF839" s="244">
        <f>IF(AF662&gt;0,-PMT(Data!$E$10,$F$838,BEB!$Q$837,0,0),0)</f>
        <v>0</v>
      </c>
      <c r="AG839" s="244">
        <f>IF(AG662&gt;0,-PMT(Data!$E$10,$F$838,BEB!$Q$837,0,0),0)</f>
        <v>0</v>
      </c>
      <c r="AH839" s="244">
        <f>IF(AH662&gt;0,-PMT(Data!$E$10,$F$838,BEB!$Q$837,0,0),0)</f>
        <v>0</v>
      </c>
      <c r="AI839" s="244">
        <f>IF(AI662&gt;0,-PMT(Data!$E$10,$F$838,BEB!$Q$837,0,0),0)</f>
        <v>0</v>
      </c>
      <c r="AJ839" s="244">
        <f>IF(AJ662&gt;0,-PMT(Data!$E$10,$F$838,BEB!$Q$837,0,0),0)</f>
        <v>0</v>
      </c>
      <c r="AK839" s="244">
        <f>IF(AK662&gt;0,-PMT(Data!$E$10,$F$838,BEB!$Q$837,0,0),0)</f>
        <v>0</v>
      </c>
      <c r="AL839" s="244">
        <f>IF(AL662&gt;0,-PMT(Data!$E$10,$F$838,BEB!$Q$837,0,0),0)</f>
        <v>0</v>
      </c>
      <c r="AM839" s="244">
        <f>IF(AM662&gt;0,-PMT(Data!$E$10,$F$838,BEB!$Q$837,0,0),0)</f>
        <v>0</v>
      </c>
      <c r="AN839" s="244">
        <f>IF(AN662&gt;0,-PMT(Data!$E$10,$F$838,BEB!$Q$837,0,0),0)</f>
        <v>0</v>
      </c>
      <c r="AO839" s="244">
        <f>IF(AO662&gt;0,-PMT(Data!$E$10,$F$838,BEB!$Q$837,0,0),0)</f>
        <v>0</v>
      </c>
      <c r="AP839" s="370"/>
    </row>
    <row r="840" spans="1:42" outlineLevel="1" x14ac:dyDescent="0.25">
      <c r="A840" s="12"/>
      <c r="B840" s="13"/>
      <c r="D840" s="14"/>
      <c r="E840" s="15"/>
      <c r="F840" s="16"/>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7"/>
    </row>
    <row r="841" spans="1:42" outlineLevel="1" x14ac:dyDescent="0.25">
      <c r="A841" s="12"/>
      <c r="B841" s="13"/>
      <c r="C841" s="37" t="s">
        <v>472</v>
      </c>
      <c r="D841" s="37"/>
      <c r="E841" s="38"/>
      <c r="F841" s="39"/>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17"/>
    </row>
    <row r="842" spans="1:42" outlineLevel="1" x14ac:dyDescent="0.25">
      <c r="A842" s="12"/>
      <c r="B842" s="13"/>
      <c r="C842" s="20" t="s">
        <v>258</v>
      </c>
      <c r="D842" s="44"/>
      <c r="E842" s="15"/>
      <c r="F842" s="16"/>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7"/>
    </row>
    <row r="843" spans="1:42" outlineLevel="1" x14ac:dyDescent="0.25">
      <c r="A843" s="12"/>
      <c r="B843" s="13"/>
      <c r="C843" s="96" t="s">
        <v>120</v>
      </c>
      <c r="D843" s="45"/>
      <c r="E843" s="15" t="s">
        <v>474</v>
      </c>
      <c r="F843" s="158" t="str">
        <f>Dashboard!$I$63</f>
        <v>3 Axle Double Decker Bus</v>
      </c>
      <c r="G843" s="14"/>
      <c r="H843" s="150"/>
      <c r="I843" s="177">
        <f>IF($F$843=$C$843,Data!$E$324*BEB!I$662,0)</f>
        <v>0</v>
      </c>
      <c r="J843" s="177">
        <f>IF($F$843=$C$843,Data!$E$324*BEB!J$662,0)</f>
        <v>0</v>
      </c>
      <c r="K843" s="177">
        <f>IF($F$843=$C$843,Data!$E$324*BEB!K$662,0)</f>
        <v>0</v>
      </c>
      <c r="L843" s="177">
        <f>IF($F$843=$C$843,Data!$E$324*BEB!L$662,0)</f>
        <v>0</v>
      </c>
      <c r="M843" s="177">
        <f>IF($F$843=$C$843,Data!$E$324*BEB!M$662,0)</f>
        <v>0</v>
      </c>
      <c r="N843" s="177">
        <f>IF($F$843=$C$843,Data!$E$324*BEB!N$662,0)</f>
        <v>0</v>
      </c>
      <c r="O843" s="177">
        <f>IF($F$843=$C$843,Data!$E$324*BEB!O$662,0)</f>
        <v>0</v>
      </c>
      <c r="P843" s="177">
        <f>IF($F$843=$C$843,Data!$E$324*BEB!P$662,0)</f>
        <v>0</v>
      </c>
      <c r="Q843" s="177">
        <f>IF($F$843=$C$843,Data!$E$324*BEB!Q$662,0)</f>
        <v>0</v>
      </c>
      <c r="R843" s="177">
        <f>IF($F$843=$C$843,Data!$E$324*BEB!R$662,0)</f>
        <v>0</v>
      </c>
      <c r="S843" s="177">
        <f>IF($F$843=$C$843,Data!$E$324*BEB!S$662,0)</f>
        <v>0</v>
      </c>
      <c r="T843" s="177">
        <f>IF($F$843=$C$843,Data!$E$324*BEB!T$662,0)</f>
        <v>0</v>
      </c>
      <c r="U843" s="177">
        <f>IF($F$843=$C$843,Data!$E$324*BEB!U$662,0)</f>
        <v>0</v>
      </c>
      <c r="V843" s="177">
        <f>IF($F$843=$C$843,Data!$E$324*BEB!V$662,0)</f>
        <v>0</v>
      </c>
      <c r="W843" s="177">
        <f>IF($F$843=$C$843,Data!$E$324*BEB!W$662,0)</f>
        <v>0</v>
      </c>
      <c r="X843" s="177">
        <f>IF($F$843=$C$843,Data!$E$324*BEB!X$662,0)</f>
        <v>0</v>
      </c>
      <c r="Y843" s="177">
        <f>IF($F$843=$C$843,Data!$E$324*BEB!Y$662,0)</f>
        <v>0</v>
      </c>
      <c r="Z843" s="177">
        <f>IF($F$843=$C$843,Data!$E$324*BEB!Z$662,0)</f>
        <v>0</v>
      </c>
      <c r="AA843" s="177">
        <f>IF($F$843=$C$843,Data!$E$324*BEB!AA$662,0)</f>
        <v>0</v>
      </c>
      <c r="AB843" s="177">
        <f>IF($F$843=$C$843,Data!$E$324*BEB!AB$662,0)</f>
        <v>0</v>
      </c>
      <c r="AC843" s="177"/>
      <c r="AD843" s="177"/>
      <c r="AE843" s="177"/>
      <c r="AF843" s="177"/>
      <c r="AG843" s="177"/>
      <c r="AH843" s="177"/>
      <c r="AI843" s="177"/>
      <c r="AJ843" s="177"/>
      <c r="AK843" s="177"/>
      <c r="AL843" s="177"/>
      <c r="AM843" s="177"/>
      <c r="AN843" s="177"/>
      <c r="AO843" s="177"/>
      <c r="AP843" s="29"/>
    </row>
    <row r="844" spans="1:42" outlineLevel="1" x14ac:dyDescent="0.25">
      <c r="A844" s="12"/>
      <c r="B844" s="13"/>
      <c r="C844" s="96" t="s">
        <v>124</v>
      </c>
      <c r="D844" s="45"/>
      <c r="E844" s="15" t="s">
        <v>474</v>
      </c>
      <c r="F844" s="158" t="str">
        <f>Dashboard!$I$63</f>
        <v>3 Axle Double Decker Bus</v>
      </c>
      <c r="G844" s="14"/>
      <c r="H844" s="150"/>
      <c r="I844" s="177">
        <f>IF($F$844=$C$844,Data!$E$325*BEB!I$662,0)</f>
        <v>0</v>
      </c>
      <c r="J844" s="177">
        <f>IF($F$844=$C$844,Data!$E$325*BEB!J$662,0)</f>
        <v>0</v>
      </c>
      <c r="K844" s="177">
        <f>IF($F$844=$C$844,Data!$E$325*BEB!K$662,0)</f>
        <v>0</v>
      </c>
      <c r="L844" s="177">
        <f>IF($F$844=$C$844,Data!$E$325*BEB!L$662,0)</f>
        <v>0</v>
      </c>
      <c r="M844" s="177">
        <f>IF($F$844=$C$844,Data!$E$325*BEB!M$662,0)</f>
        <v>0</v>
      </c>
      <c r="N844" s="177">
        <f>IF($F$844=$C$844,Data!$E$325*BEB!N$662,0)</f>
        <v>0</v>
      </c>
      <c r="O844" s="177">
        <f>IF($F$844=$C$844,Data!$E$325*BEB!O$662,0)</f>
        <v>0</v>
      </c>
      <c r="P844" s="177">
        <f>IF($F$844=$C$844,Data!$E$325*BEB!P$662,0)</f>
        <v>0</v>
      </c>
      <c r="Q844" s="177">
        <f>IF($F$844=$C$844,Data!$E$325*BEB!Q$662,0)</f>
        <v>0</v>
      </c>
      <c r="R844" s="177">
        <f>IF($F$844=$C$844,Data!$E$325*BEB!R$662,0)</f>
        <v>0</v>
      </c>
      <c r="S844" s="177">
        <f>IF($F$844=$C$844,Data!$E$325*BEB!S$662,0)</f>
        <v>0</v>
      </c>
      <c r="T844" s="177">
        <f>IF($F$844=$C$844,Data!$E$325*BEB!T$662,0)</f>
        <v>0</v>
      </c>
      <c r="U844" s="177">
        <f>IF($F$844=$C$844,Data!$E$325*BEB!U$662,0)</f>
        <v>0</v>
      </c>
      <c r="V844" s="177">
        <f>IF($F$844=$C$844,Data!$E$325*BEB!V$662,0)</f>
        <v>0</v>
      </c>
      <c r="W844" s="177">
        <f>IF($F$844=$C$844,Data!$E$325*BEB!W$662,0)</f>
        <v>0</v>
      </c>
      <c r="X844" s="177">
        <f>IF($F$844=$C$844,Data!$E$325*BEB!X$662,0)</f>
        <v>0</v>
      </c>
      <c r="Y844" s="177">
        <f>IF($F$844=$C$844,Data!$E$325*BEB!Y$662,0)</f>
        <v>0</v>
      </c>
      <c r="Z844" s="177">
        <f>IF($F$844=$C$844,Data!$E$325*BEB!Z$662,0)</f>
        <v>0</v>
      </c>
      <c r="AA844" s="177">
        <f>IF($F$844=$C$844,Data!$E$325*BEB!AA$662,0)</f>
        <v>0</v>
      </c>
      <c r="AB844" s="177">
        <f>IF($F$844=$C$844,Data!$E$325*BEB!AB$662,0)</f>
        <v>0</v>
      </c>
      <c r="AC844" s="177"/>
      <c r="AD844" s="177"/>
      <c r="AE844" s="177"/>
      <c r="AF844" s="177"/>
      <c r="AG844" s="177"/>
      <c r="AH844" s="177"/>
      <c r="AI844" s="177"/>
      <c r="AJ844" s="177"/>
      <c r="AK844" s="177"/>
      <c r="AL844" s="177"/>
      <c r="AM844" s="177"/>
      <c r="AN844" s="177"/>
      <c r="AO844" s="177"/>
      <c r="AP844" s="29"/>
    </row>
    <row r="845" spans="1:42" outlineLevel="1" x14ac:dyDescent="0.25">
      <c r="A845" s="12"/>
      <c r="B845" s="13"/>
      <c r="C845" s="96" t="s">
        <v>126</v>
      </c>
      <c r="D845" s="45"/>
      <c r="E845" s="15" t="s">
        <v>474</v>
      </c>
      <c r="F845" s="158" t="str">
        <f>Dashboard!$I$63</f>
        <v>3 Axle Double Decker Bus</v>
      </c>
      <c r="G845" s="14"/>
      <c r="H845" s="150"/>
      <c r="I845" s="177">
        <f>IF($F$845=$C$845,Data!$E$326*BEB!I$662,0)</f>
        <v>47455.19999999999</v>
      </c>
      <c r="J845" s="177">
        <f>IF($F$845=$C$845,Data!$E$326*BEB!J$662,0)</f>
        <v>47455.19999999999</v>
      </c>
      <c r="K845" s="177">
        <f>IF($F$845=$C$845,Data!$E$326*BEB!K$662,0)</f>
        <v>47455.19999999999</v>
      </c>
      <c r="L845" s="177">
        <f>IF($F$845=$C$845,Data!$E$326*BEB!L$662,0)</f>
        <v>47455.19999999999</v>
      </c>
      <c r="M845" s="177">
        <f>IF($F$845=$C$845,Data!$E$326*BEB!M$662,0)</f>
        <v>47455.19999999999</v>
      </c>
      <c r="N845" s="177">
        <f>IF($F$845=$C$845,Data!$E$326*BEB!N$662,0)</f>
        <v>47455.19999999999</v>
      </c>
      <c r="O845" s="177">
        <f>IF($F$845=$C$845,Data!$E$326*BEB!O$662,0)</f>
        <v>47455.19999999999</v>
      </c>
      <c r="P845" s="177">
        <f>IF($F$845=$C$845,Data!$E$326*BEB!P$662,0)</f>
        <v>47455.19999999999</v>
      </c>
      <c r="Q845" s="177">
        <f>IF($F$845=$C$845,Data!$E$326*BEB!Q$662,0)</f>
        <v>47455.19999999999</v>
      </c>
      <c r="R845" s="177">
        <f>IF($F$845=$C$845,Data!$E$326*BEB!R$662,0)</f>
        <v>47455.19999999999</v>
      </c>
      <c r="S845" s="177">
        <f>IF($F$845=$C$845,Data!$E$326*BEB!S$662,0)</f>
        <v>47455.19999999999</v>
      </c>
      <c r="T845" s="177">
        <f>IF($F$845=$C$845,Data!$E$326*BEB!T$662,0)</f>
        <v>47455.19999999999</v>
      </c>
      <c r="U845" s="177">
        <f>IF($F$845=$C$845,Data!$E$326*BEB!U$662,0)</f>
        <v>47455.19999999999</v>
      </c>
      <c r="V845" s="177">
        <f>IF($F$845=$C$845,Data!$E$326*BEB!V$662,0)</f>
        <v>47455.19999999999</v>
      </c>
      <c r="W845" s="177">
        <f>IF($F$845=$C$845,Data!$E$326*BEB!W$662,0)</f>
        <v>47455.19999999999</v>
      </c>
      <c r="X845" s="177">
        <f>IF($F$845=$C$845,Data!$E$326*BEB!X$662,0)</f>
        <v>47455.19999999999</v>
      </c>
      <c r="Y845" s="177">
        <f>IF($F$845=$C$845,Data!$E$326*BEB!Y$662,0)</f>
        <v>47455.19999999999</v>
      </c>
      <c r="Z845" s="177">
        <f>IF($F$845=$C$845,Data!$E$326*BEB!Z$662,0)</f>
        <v>47455.19999999999</v>
      </c>
      <c r="AA845" s="177">
        <f>IF($F$845=$C$845,Data!$E$326*BEB!AA$662,0)</f>
        <v>47455.19999999999</v>
      </c>
      <c r="AB845" s="177">
        <f>IF($F$845=$C$845,Data!$E$326*BEB!AB$662,0)</f>
        <v>47455.19999999999</v>
      </c>
      <c r="AC845" s="177"/>
      <c r="AD845" s="177"/>
      <c r="AE845" s="177"/>
      <c r="AF845" s="177"/>
      <c r="AG845" s="177"/>
      <c r="AH845" s="177"/>
      <c r="AI845" s="177"/>
      <c r="AJ845" s="177"/>
      <c r="AK845" s="177"/>
      <c r="AL845" s="177"/>
      <c r="AM845" s="177"/>
      <c r="AN845" s="177"/>
      <c r="AO845" s="177"/>
      <c r="AP845" s="29"/>
    </row>
    <row r="846" spans="1:42" outlineLevel="1" x14ac:dyDescent="0.25">
      <c r="A846" s="12"/>
      <c r="B846" s="13"/>
      <c r="C846" s="96"/>
      <c r="D846" s="45"/>
      <c r="E846" s="15"/>
      <c r="F846" s="158"/>
      <c r="G846" s="14"/>
      <c r="H846" s="150"/>
      <c r="I846" s="177"/>
      <c r="J846" s="177"/>
      <c r="K846" s="177"/>
      <c r="L846" s="177"/>
      <c r="M846" s="177"/>
      <c r="N846" s="177"/>
      <c r="O846" s="177"/>
      <c r="P846" s="177"/>
      <c r="Q846" s="177"/>
      <c r="R846" s="177"/>
      <c r="S846" s="177"/>
      <c r="T846" s="177"/>
      <c r="U846" s="177"/>
      <c r="V846" s="177"/>
      <c r="W846" s="177"/>
      <c r="X846" s="177"/>
      <c r="Y846" s="177"/>
      <c r="Z846" s="177"/>
      <c r="AA846" s="177"/>
      <c r="AB846" s="177"/>
      <c r="AC846" s="177"/>
      <c r="AD846" s="177"/>
      <c r="AE846" s="177"/>
      <c r="AF846" s="177"/>
      <c r="AG846" s="177"/>
      <c r="AH846" s="177"/>
      <c r="AI846" s="177"/>
      <c r="AJ846" s="177"/>
      <c r="AK846" s="177"/>
      <c r="AL846" s="177"/>
      <c r="AM846" s="177"/>
      <c r="AN846" s="177"/>
      <c r="AO846" s="177"/>
      <c r="AP846" s="29"/>
    </row>
    <row r="847" spans="1:42" s="167" customFormat="1" outlineLevel="1" x14ac:dyDescent="0.25">
      <c r="A847" s="96"/>
      <c r="B847" s="96"/>
      <c r="C847" s="513" t="s">
        <v>260</v>
      </c>
      <c r="D847" s="96"/>
      <c r="E847" s="112" t="s">
        <v>318</v>
      </c>
      <c r="F847" s="164"/>
      <c r="G847" s="96"/>
      <c r="H847" s="151"/>
      <c r="I847" s="151"/>
      <c r="J847" s="151"/>
      <c r="K847" s="151">
        <f>Data!$E$332*K662</f>
        <v>33733.440000000002</v>
      </c>
      <c r="L847" s="151">
        <f>Data!$E$332*L662</f>
        <v>33733.440000000002</v>
      </c>
      <c r="M847" s="151">
        <f>Data!$E$332*M662</f>
        <v>33733.440000000002</v>
      </c>
      <c r="N847" s="151">
        <f>Data!$E$332*N662</f>
        <v>33733.440000000002</v>
      </c>
      <c r="O847" s="151">
        <f>Data!$E$332*O662</f>
        <v>33733.440000000002</v>
      </c>
      <c r="P847" s="151">
        <f>Data!$E$332*P662</f>
        <v>33733.440000000002</v>
      </c>
      <c r="Q847" s="151">
        <f>Data!$E$332*Q662</f>
        <v>33733.440000000002</v>
      </c>
      <c r="R847" s="151">
        <f>Data!$E$332*R662</f>
        <v>33733.440000000002</v>
      </c>
      <c r="S847" s="151">
        <f>Data!$E$332*S662</f>
        <v>33733.440000000002</v>
      </c>
      <c r="T847" s="151">
        <f>Data!$E$332*T662</f>
        <v>33733.440000000002</v>
      </c>
      <c r="U847" s="151">
        <f>Data!$E$332*U662</f>
        <v>33733.440000000002</v>
      </c>
      <c r="V847" s="151">
        <f>Data!$E$332*V662</f>
        <v>33733.440000000002</v>
      </c>
      <c r="W847" s="151">
        <f>Data!$E$332*W662</f>
        <v>33733.440000000002</v>
      </c>
      <c r="X847" s="151">
        <f>Data!$E$332*X662</f>
        <v>33733.440000000002</v>
      </c>
      <c r="Y847" s="151">
        <f>Data!$E$332*Y662</f>
        <v>33733.440000000002</v>
      </c>
      <c r="Z847" s="151">
        <f>Data!$E$332*Z662</f>
        <v>33733.440000000002</v>
      </c>
      <c r="AA847" s="151">
        <f>Data!$E$332*AA662</f>
        <v>33733.440000000002</v>
      </c>
      <c r="AB847" s="151">
        <f>Data!$E$332*AB662</f>
        <v>33733.440000000002</v>
      </c>
      <c r="AC847" s="151">
        <f>Data!$E$332*AC662</f>
        <v>0</v>
      </c>
      <c r="AD847" s="151">
        <f>Data!$E$332*AD662</f>
        <v>0</v>
      </c>
      <c r="AE847" s="151">
        <f>Data!$E$332*AE662</f>
        <v>0</v>
      </c>
      <c r="AF847" s="151">
        <f>Data!$E$332*AF662</f>
        <v>0</v>
      </c>
      <c r="AG847" s="151">
        <f>Data!$E$332*AG662</f>
        <v>0</v>
      </c>
      <c r="AH847" s="151">
        <f>Data!$E$332*AH662</f>
        <v>0</v>
      </c>
      <c r="AI847" s="151">
        <f>Data!$E$332*AI662</f>
        <v>0</v>
      </c>
      <c r="AJ847" s="151">
        <f>Data!$E$332*AJ662</f>
        <v>0</v>
      </c>
      <c r="AK847" s="151">
        <f>Data!$E$332*AK662</f>
        <v>0</v>
      </c>
      <c r="AL847" s="151">
        <f>Data!$E$332*AL662</f>
        <v>0</v>
      </c>
      <c r="AM847" s="151">
        <f>Data!$E$332*AM662</f>
        <v>0</v>
      </c>
      <c r="AN847" s="151">
        <f>Data!$E$332*AN662</f>
        <v>0</v>
      </c>
      <c r="AO847" s="151">
        <f>Data!$E$332*AO662</f>
        <v>0</v>
      </c>
      <c r="AP847" s="514"/>
    </row>
    <row r="848" spans="1:42" s="51" customFormat="1" outlineLevel="1" x14ac:dyDescent="0.25">
      <c r="A848" s="12"/>
      <c r="B848" s="12"/>
      <c r="C848" s="399"/>
      <c r="D848" s="12"/>
      <c r="E848" s="79"/>
      <c r="F848" s="80"/>
      <c r="G848" s="12"/>
      <c r="H848" s="400"/>
      <c r="I848" s="400"/>
      <c r="J848" s="400"/>
      <c r="K848" s="400"/>
      <c r="L848" s="400"/>
      <c r="M848" s="400"/>
      <c r="N848" s="400"/>
      <c r="O848" s="400"/>
      <c r="P848" s="400"/>
      <c r="Q848" s="400"/>
      <c r="R848" s="400"/>
      <c r="S848" s="400"/>
      <c r="T848" s="400"/>
      <c r="U848" s="400"/>
      <c r="V848" s="400"/>
      <c r="W848" s="400"/>
      <c r="X848" s="400"/>
      <c r="Y848" s="400"/>
      <c r="Z848" s="400"/>
      <c r="AA848" s="400"/>
      <c r="AB848" s="400"/>
      <c r="AC848" s="400"/>
      <c r="AD848" s="400"/>
      <c r="AE848" s="400"/>
      <c r="AF848" s="400"/>
      <c r="AG848" s="400"/>
      <c r="AH848" s="400"/>
      <c r="AI848" s="400"/>
      <c r="AJ848" s="400"/>
      <c r="AK848" s="400"/>
      <c r="AL848" s="400"/>
      <c r="AM848" s="400"/>
      <c r="AN848" s="400"/>
      <c r="AO848" s="400"/>
      <c r="AP848" s="401"/>
    </row>
    <row r="849" spans="1:42" outlineLevel="1" x14ac:dyDescent="0.25">
      <c r="A849" s="12"/>
      <c r="B849" s="13"/>
      <c r="C849" s="95" t="s">
        <v>568</v>
      </c>
      <c r="D849" s="45"/>
      <c r="E849" s="15"/>
      <c r="F849" s="16"/>
      <c r="G849" s="14"/>
      <c r="H849" s="28"/>
      <c r="I849" s="177"/>
      <c r="J849" s="177"/>
      <c r="K849" s="177"/>
      <c r="L849" s="177"/>
      <c r="M849" s="177"/>
      <c r="N849" s="177"/>
      <c r="O849" s="177"/>
      <c r="P849" s="177"/>
      <c r="Q849" s="177"/>
      <c r="R849" s="177"/>
      <c r="S849" s="177"/>
      <c r="T849" s="177"/>
      <c r="U849" s="177"/>
      <c r="V849" s="177"/>
      <c r="W849" s="177"/>
      <c r="X849" s="177"/>
      <c r="Y849" s="177"/>
      <c r="Z849" s="177"/>
      <c r="AA849" s="177"/>
      <c r="AB849" s="177"/>
      <c r="AC849" s="177"/>
      <c r="AD849" s="177"/>
      <c r="AE849" s="177"/>
      <c r="AF849" s="177"/>
      <c r="AG849" s="177"/>
      <c r="AH849" s="177"/>
      <c r="AI849" s="177"/>
      <c r="AJ849" s="177"/>
      <c r="AK849" s="177"/>
      <c r="AL849" s="177"/>
      <c r="AM849" s="177"/>
      <c r="AN849" s="177"/>
      <c r="AO849" s="177"/>
      <c r="AP849" s="29"/>
    </row>
    <row r="850" spans="1:42" outlineLevel="1" x14ac:dyDescent="0.25">
      <c r="A850" s="12"/>
      <c r="B850" s="13"/>
      <c r="C850" s="96" t="s">
        <v>316</v>
      </c>
      <c r="D850" s="14"/>
      <c r="E850" s="15" t="s">
        <v>569</v>
      </c>
      <c r="F850" s="16"/>
      <c r="G850" s="14"/>
      <c r="H850" s="151"/>
      <c r="I850" s="14">
        <f>Data!$E$349*Data!$E$329</f>
        <v>0</v>
      </c>
      <c r="J850" s="14">
        <f>Data!$E$349*Data!$E$329</f>
        <v>0</v>
      </c>
      <c r="K850" s="14">
        <f>Data!$E$349*Data!$E$329</f>
        <v>0</v>
      </c>
      <c r="L850" s="14">
        <f>Data!$E$349*Data!$E$329</f>
        <v>0</v>
      </c>
      <c r="M850" s="14">
        <f>Data!$E$349*Data!$E$329</f>
        <v>0</v>
      </c>
      <c r="N850" s="14">
        <f>Data!$E$349*Data!$E$329</f>
        <v>0</v>
      </c>
      <c r="O850" s="14">
        <f>Data!$E$349*Data!$E$329</f>
        <v>0</v>
      </c>
      <c r="P850" s="14">
        <f>Data!$E$349*Data!$E$329</f>
        <v>0</v>
      </c>
      <c r="Q850" s="14">
        <f>Data!$E$349*Data!$E$329</f>
        <v>0</v>
      </c>
      <c r="R850" s="14">
        <f>Data!$E$349*Data!$E$329</f>
        <v>0</v>
      </c>
      <c r="S850" s="14">
        <f>Data!$E$349*Data!$E$329</f>
        <v>0</v>
      </c>
      <c r="T850" s="14">
        <f>Data!$E$349*Data!$E$329</f>
        <v>0</v>
      </c>
      <c r="U850" s="14">
        <f>Data!$E$349*Data!$E$329</f>
        <v>0</v>
      </c>
      <c r="V850" s="14">
        <f>Data!$E$349*Data!$E$329</f>
        <v>0</v>
      </c>
      <c r="W850" s="14">
        <f>Data!$E$349*Data!$E$329</f>
        <v>0</v>
      </c>
      <c r="X850" s="14">
        <f>Data!$E$349*Data!$E$329</f>
        <v>0</v>
      </c>
      <c r="Y850" s="14">
        <f>Data!$E$349*Data!$E$329</f>
        <v>0</v>
      </c>
      <c r="Z850" s="14">
        <f>Data!$E$349*Data!$E$329</f>
        <v>0</v>
      </c>
      <c r="AA850" s="14">
        <f>Data!$E$349*Data!$E$329</f>
        <v>0</v>
      </c>
      <c r="AB850" s="14">
        <f>Data!$E$349*Data!$E$329</f>
        <v>0</v>
      </c>
      <c r="AC850" s="14"/>
      <c r="AD850" s="14"/>
      <c r="AE850" s="14"/>
      <c r="AF850" s="14"/>
      <c r="AG850" s="14"/>
      <c r="AH850" s="14"/>
      <c r="AI850" s="14"/>
      <c r="AJ850" s="14"/>
      <c r="AK850" s="14"/>
      <c r="AL850" s="14"/>
      <c r="AM850" s="14"/>
      <c r="AN850" s="14"/>
      <c r="AO850" s="14"/>
      <c r="AP850" s="17"/>
    </row>
    <row r="851" spans="1:42" outlineLevel="1" x14ac:dyDescent="0.25">
      <c r="A851" s="12"/>
      <c r="B851" s="13"/>
      <c r="C851" s="96" t="s">
        <v>319</v>
      </c>
      <c r="D851" s="44"/>
      <c r="E851" s="15" t="s">
        <v>569</v>
      </c>
      <c r="F851" s="158">
        <f>Dashboard!$I$64</f>
        <v>1</v>
      </c>
      <c r="G851" s="14"/>
      <c r="H851" s="46"/>
      <c r="I851" s="159">
        <f>$F$851*Data!$E$330/Dashboard!$I$41</f>
        <v>4340.4000000000005</v>
      </c>
      <c r="J851" s="159">
        <f>$F$851*Data!$E$330/Dashboard!$I$41</f>
        <v>4340.4000000000005</v>
      </c>
      <c r="K851" s="159">
        <f>$F$851*Data!$E$330/Dashboard!$I$41</f>
        <v>4340.4000000000005</v>
      </c>
      <c r="L851" s="159">
        <f>$F$851*Data!$E$330/Dashboard!$I$41</f>
        <v>4340.4000000000005</v>
      </c>
      <c r="M851" s="159">
        <f>$F$851*Data!$E$330/Dashboard!$I$41</f>
        <v>4340.4000000000005</v>
      </c>
      <c r="N851" s="159">
        <f>$F$851*Data!$E$330/Dashboard!$I$41</f>
        <v>4340.4000000000005</v>
      </c>
      <c r="O851" s="159">
        <f>$F$851*Data!$E$330/Dashboard!$I$41</f>
        <v>4340.4000000000005</v>
      </c>
      <c r="P851" s="159">
        <f>$F$851*Data!$E$330/Dashboard!$I$41</f>
        <v>4340.4000000000005</v>
      </c>
      <c r="Q851" s="159">
        <f>$F$851*Data!$E$330/Dashboard!$I$41</f>
        <v>4340.4000000000005</v>
      </c>
      <c r="R851" s="159">
        <f>$F$851*Data!$E$330/Dashboard!$I$41</f>
        <v>4340.4000000000005</v>
      </c>
      <c r="S851" s="159">
        <f>$F$851*Data!$E$330/Dashboard!$I$41</f>
        <v>4340.4000000000005</v>
      </c>
      <c r="T851" s="159">
        <f>$F$851*Data!$E$330/Dashboard!$I$41</f>
        <v>4340.4000000000005</v>
      </c>
      <c r="U851" s="159">
        <f>$F$851*Data!$E$330/Dashboard!$I$41</f>
        <v>4340.4000000000005</v>
      </c>
      <c r="V851" s="159">
        <f>$F$851*Data!$E$330/Dashboard!$I$41</f>
        <v>4340.4000000000005</v>
      </c>
      <c r="W851" s="159">
        <f>$F$851*Data!$E$330/Dashboard!$I$41</f>
        <v>4340.4000000000005</v>
      </c>
      <c r="X851" s="159">
        <f>$F$851*Data!$E$330/Dashboard!$I$41</f>
        <v>4340.4000000000005</v>
      </c>
      <c r="Y851" s="159">
        <f>$F$851*Data!$E$330/Dashboard!$I$41</f>
        <v>4340.4000000000005</v>
      </c>
      <c r="Z851" s="159">
        <f>$F$851*Data!$E$330/Dashboard!$I$41</f>
        <v>4340.4000000000005</v>
      </c>
      <c r="AA851" s="159">
        <f>$F$851*Data!$E$330/Dashboard!$I$41</f>
        <v>4340.4000000000005</v>
      </c>
      <c r="AB851" s="159">
        <f>$F$851*Data!$E$330/Dashboard!$I$41</f>
        <v>4340.4000000000005</v>
      </c>
      <c r="AC851" s="159"/>
      <c r="AD851" s="159"/>
      <c r="AE851" s="159"/>
      <c r="AF851" s="159"/>
      <c r="AG851" s="159"/>
      <c r="AH851" s="159"/>
      <c r="AI851" s="159"/>
      <c r="AJ851" s="159"/>
      <c r="AK851" s="159"/>
      <c r="AL851" s="159"/>
      <c r="AM851" s="159"/>
      <c r="AN851" s="159"/>
      <c r="AO851" s="159"/>
      <c r="AP851" s="17"/>
    </row>
    <row r="852" spans="1:42" outlineLevel="1" x14ac:dyDescent="0.25">
      <c r="A852" s="12"/>
      <c r="B852" s="13"/>
      <c r="C852" s="95" t="s">
        <v>570</v>
      </c>
      <c r="D852" s="45"/>
      <c r="E852" s="15"/>
      <c r="F852" s="16"/>
      <c r="G852" s="14"/>
      <c r="H852" s="28"/>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29"/>
    </row>
    <row r="853" spans="1:42" outlineLevel="1" x14ac:dyDescent="0.25">
      <c r="A853" s="12"/>
      <c r="B853" s="13"/>
      <c r="C853" s="96" t="s">
        <v>127</v>
      </c>
      <c r="D853" s="45"/>
      <c r="E853" s="15" t="s">
        <v>475</v>
      </c>
      <c r="F853" s="158" t="str">
        <f>Dashboard!$I$62</f>
        <v>Hilly (Gradient  6%)</v>
      </c>
      <c r="G853" s="14"/>
      <c r="H853" s="28"/>
      <c r="I853" s="178" cm="1">
        <f t="array" ref="I853">INDEX('Control panel'!$F$17:$F$19,MATCH(BEB!$F$853,'Control panel'!$C$17:$C$19,0),0)</f>
        <v>0.15</v>
      </c>
      <c r="J853" s="178" cm="1">
        <f t="array" ref="J853">INDEX('Control panel'!$F$17:$F$19,MATCH(BEB!$F$853,'Control panel'!$C$17:$C$19,0),0)</f>
        <v>0.15</v>
      </c>
      <c r="K853" s="178" cm="1">
        <f t="array" ref="K853">INDEX('Control panel'!$F$17:$F$19,MATCH(BEB!$F$853,'Control panel'!$C$17:$C$19,0),0)</f>
        <v>0.15</v>
      </c>
      <c r="L853" s="178" cm="1">
        <f t="array" ref="L853">INDEX('Control panel'!$F$17:$F$19,MATCH(BEB!$F$853,'Control panel'!$C$17:$C$19,0),0)</f>
        <v>0.15</v>
      </c>
      <c r="M853" s="178" cm="1">
        <f t="array" ref="M853">INDEX('Control panel'!$F$17:$F$19,MATCH(BEB!$F$853,'Control panel'!$C$17:$C$19,0),0)</f>
        <v>0.15</v>
      </c>
      <c r="N853" s="178" cm="1">
        <f t="array" ref="N853">INDEX('Control panel'!$F$17:$F$19,MATCH(BEB!$F$853,'Control panel'!$C$17:$C$19,0),0)</f>
        <v>0.15</v>
      </c>
      <c r="O853" s="178" cm="1">
        <f t="array" ref="O853">INDEX('Control panel'!$F$17:$F$19,MATCH(BEB!$F$853,'Control panel'!$C$17:$C$19,0),0)</f>
        <v>0.15</v>
      </c>
      <c r="P853" s="178" cm="1">
        <f t="array" ref="P853">INDEX('Control panel'!$F$17:$F$19,MATCH(BEB!$F$853,'Control panel'!$C$17:$C$19,0),0)</f>
        <v>0.15</v>
      </c>
      <c r="Q853" s="178" cm="1">
        <f t="array" ref="Q853">INDEX('Control panel'!$F$17:$F$19,MATCH(BEB!$F$853,'Control panel'!$C$17:$C$19,0),0)</f>
        <v>0.15</v>
      </c>
      <c r="R853" s="178" cm="1">
        <f t="array" ref="R853">INDEX('Control panel'!$F$17:$F$19,MATCH(BEB!$F$853,'Control panel'!$C$17:$C$19,0),0)</f>
        <v>0.15</v>
      </c>
      <c r="S853" s="178" cm="1">
        <f t="array" ref="S853">INDEX('Control panel'!$F$17:$F$19,MATCH(BEB!$F$853,'Control panel'!$C$17:$C$19,0),0)</f>
        <v>0.15</v>
      </c>
      <c r="T853" s="178" cm="1">
        <f t="array" ref="T853">INDEX('Control panel'!$F$17:$F$19,MATCH(BEB!$F$853,'Control panel'!$C$17:$C$19,0),0)</f>
        <v>0.15</v>
      </c>
      <c r="U853" s="178" cm="1">
        <f t="array" ref="U853">INDEX('Control panel'!$F$17:$F$19,MATCH(BEB!$F$853,'Control panel'!$C$17:$C$19,0),0)</f>
        <v>0.15</v>
      </c>
      <c r="V853" s="178" cm="1">
        <f t="array" ref="V853">INDEX('Control panel'!$F$17:$F$19,MATCH(BEB!$F$853,'Control panel'!$C$17:$C$19,0),0)</f>
        <v>0.15</v>
      </c>
      <c r="W853" s="178" cm="1">
        <f t="array" ref="W853">INDEX('Control panel'!$F$17:$F$19,MATCH(BEB!$F$853,'Control panel'!$C$17:$C$19,0),0)</f>
        <v>0.15</v>
      </c>
      <c r="X853" s="178" cm="1">
        <f t="array" ref="X853">INDEX('Control panel'!$F$17:$F$19,MATCH(BEB!$F$853,'Control panel'!$C$17:$C$19,0),0)</f>
        <v>0.15</v>
      </c>
      <c r="Y853" s="178" cm="1">
        <f t="array" ref="Y853">INDEX('Control panel'!$F$17:$F$19,MATCH(BEB!$F$853,'Control panel'!$C$17:$C$19,0),0)</f>
        <v>0.15</v>
      </c>
      <c r="Z853" s="178" cm="1">
        <f t="array" ref="Z853">INDEX('Control panel'!$F$17:$F$19,MATCH(BEB!$F$853,'Control panel'!$C$17:$C$19,0),0)</f>
        <v>0.15</v>
      </c>
      <c r="AA853" s="178" cm="1">
        <f t="array" ref="AA853">INDEX('Control panel'!$F$17:$F$19,MATCH(BEB!$F$853,'Control panel'!$C$17:$C$19,0),0)</f>
        <v>0.15</v>
      </c>
      <c r="AB853" s="178" cm="1">
        <f t="array" ref="AB853">INDEX('Control panel'!$F$17:$F$19,MATCH(BEB!$F$853,'Control panel'!$C$17:$C$19,0),0)</f>
        <v>0.15</v>
      </c>
      <c r="AC853" s="178"/>
      <c r="AD853" s="178"/>
      <c r="AE853" s="178"/>
      <c r="AF853" s="178"/>
      <c r="AG853" s="178"/>
      <c r="AH853" s="178"/>
      <c r="AI853" s="178"/>
      <c r="AJ853" s="178"/>
      <c r="AK853" s="178"/>
      <c r="AL853" s="178"/>
      <c r="AM853" s="178"/>
      <c r="AN853" s="178"/>
      <c r="AO853" s="178"/>
      <c r="AP853" s="29"/>
    </row>
    <row r="854" spans="1:42" ht="15.75" customHeight="1" outlineLevel="1" x14ac:dyDescent="0.25">
      <c r="A854" s="12"/>
      <c r="B854" s="13"/>
      <c r="C854" s="96" t="s">
        <v>120</v>
      </c>
      <c r="D854" s="45"/>
      <c r="E854" s="15"/>
      <c r="F854" s="158" t="str">
        <f>Dashboard!$I$63</f>
        <v>3 Axle Double Decker Bus</v>
      </c>
      <c r="G854" s="14"/>
      <c r="H854" s="28"/>
      <c r="I854" s="56">
        <f>IF($C$854=$F$854,I662*Data!$E$340*Data!H$76,0)*(1+I853)*(1+Data!$E$93)</f>
        <v>0</v>
      </c>
      <c r="J854" s="56">
        <f>IF($C$854=$F$854,J662*Data!$E$340*Data!I$76,0)*(1+J853)*(1+Data!$E$93)</f>
        <v>0</v>
      </c>
      <c r="K854" s="56">
        <f>IF($C$854=$F$854,K662*Data!$E$340*Data!J$76,0)*(1+K853)*(1+Data!$E$93)</f>
        <v>0</v>
      </c>
      <c r="L854" s="56">
        <f>IF($C$854=$F$854,L662*Data!$E$340*Data!K$76,0)*(1+L853)*(1+Data!$E$93)</f>
        <v>0</v>
      </c>
      <c r="M854" s="56">
        <f>IF($C$854=$F$854,M662*Data!$E$340*Data!L$76,0)*(1+M853)*(1+Data!$E$93)</f>
        <v>0</v>
      </c>
      <c r="N854" s="56">
        <f>IF($C$854=$F$854,N662*Data!$E$340*Data!M$76,0)*(1+N853)*(1+Data!$E$93)</f>
        <v>0</v>
      </c>
      <c r="O854" s="56">
        <f>IF($C$854=$F$854,O662*Data!$E$340*Data!N$76,0)*(1+O853)*(1+Data!$E$93)</f>
        <v>0</v>
      </c>
      <c r="P854" s="56">
        <f>IF($C$854=$F$854,P662*Data!$E$340*Data!O$76,0)*(1+P853)*(1+Data!$E$93)</f>
        <v>0</v>
      </c>
      <c r="Q854" s="56">
        <f>IF($C$854=$F$854,Q662*Data!$E$340*Data!P$76,0)*(1+Q853)*(1+Data!$E$93)</f>
        <v>0</v>
      </c>
      <c r="R854" s="56">
        <f>IF($C$854=$F$854,R662*Data!$E$340*Data!Q$76,0)*(1+R853)*(1+Data!$E$93)</f>
        <v>0</v>
      </c>
      <c r="S854" s="56">
        <f>IF($C$854=$F$854,S662*Data!$E$340*Data!R$76,0)*(1+S853)*(1+Data!$E$93)</f>
        <v>0</v>
      </c>
      <c r="T854" s="56">
        <f>IF($C$854=$F$854,T662*Data!$E$340*Data!S$76,0)*(1+T853)*(1+Data!$E$93)</f>
        <v>0</v>
      </c>
      <c r="U854" s="56">
        <f>IF($C$854=$F$854,U662*Data!$E$340*Data!T$76,0)*(1+U853)*(1+Data!$E$93)</f>
        <v>0</v>
      </c>
      <c r="V854" s="56">
        <f>IF($C$854=$F$854,V662*Data!$E$340*Data!U$76,0)*(1+V853)*(1+Data!$E$93)</f>
        <v>0</v>
      </c>
      <c r="W854" s="56">
        <f>IF($C$854=$F$854,W662*Data!$E$340*Data!V$76,0)*(1+W853)*(1+Data!$E$93)</f>
        <v>0</v>
      </c>
      <c r="X854" s="56">
        <f>IF($C$854=$F$854,X662*Data!$E$340*Data!W$76,0)*(1+X853)*(1+Data!$E$93)</f>
        <v>0</v>
      </c>
      <c r="Y854" s="56">
        <f>IF($C$854=$F$854,Y662*Data!$E$340*Data!X$76,0)*(1+Y853)*(1+Data!$E$93)</f>
        <v>0</v>
      </c>
      <c r="Z854" s="56">
        <f>IF($C$854=$F$854,Z662*Data!$E$340*Data!Y$76,0)*(1+Z853)*(1+Data!$E$93)</f>
        <v>0</v>
      </c>
      <c r="AA854" s="56">
        <f>IF($C$854=$F$854,AA662*Data!$E$340*Data!Z$76,0)*(1+AA853)*(1+Data!$E$93)</f>
        <v>0</v>
      </c>
      <c r="AB854" s="56">
        <f>IF($C$854=$F$854,AB662*Data!$E$340*Data!AA$76,0)*(1+AB853)*(1+Data!$E$93)</f>
        <v>0</v>
      </c>
      <c r="AC854" s="56"/>
      <c r="AD854" s="56"/>
      <c r="AE854" s="56"/>
      <c r="AF854" s="56"/>
      <c r="AG854" s="56"/>
      <c r="AH854" s="56"/>
      <c r="AI854" s="56"/>
      <c r="AJ854" s="56"/>
      <c r="AK854" s="56"/>
      <c r="AL854" s="56"/>
      <c r="AM854" s="56"/>
      <c r="AN854" s="56"/>
      <c r="AO854" s="56"/>
      <c r="AP854" s="29"/>
    </row>
    <row r="855" spans="1:42" outlineLevel="1" x14ac:dyDescent="0.25">
      <c r="A855" s="12"/>
      <c r="B855" s="13"/>
      <c r="C855" s="96" t="s">
        <v>124</v>
      </c>
      <c r="D855" s="45"/>
      <c r="E855" s="15"/>
      <c r="F855" s="158" t="str">
        <f>Dashboard!$I$63</f>
        <v>3 Axle Double Decker Bus</v>
      </c>
      <c r="G855" s="14"/>
      <c r="H855" s="28"/>
      <c r="I855" s="56">
        <f>IF($C$855=$F$855,I662*Data!$E$341*Data!H$76,0)*(1+I853)*(1+Data!$E$93)</f>
        <v>0</v>
      </c>
      <c r="J855" s="56">
        <f>IF($C$855=$F$855,J662*Data!$E$341*Data!I$76,0)*(1+J853)*(1+Data!$E$93)</f>
        <v>0</v>
      </c>
      <c r="K855" s="56">
        <f>IF($C$855=$F$855,K662*Data!$E$341*Data!J$76,0)*(1+K853)*(1+Data!$E$93)</f>
        <v>0</v>
      </c>
      <c r="L855" s="56">
        <f>IF($C$855=$F$855,L662*Data!$E$341*Data!K$76,0)*(1+L853)*(1+Data!$E$93)</f>
        <v>0</v>
      </c>
      <c r="M855" s="56">
        <f>IF($C$855=$F$855,M662*Data!$E$341*Data!L$76,0)*(1+M853)*(1+Data!$E$93)</f>
        <v>0</v>
      </c>
      <c r="N855" s="56">
        <f>IF($C$855=$F$855,N662*Data!$E$341*Data!M$76,0)*(1+N853)*(1+Data!$E$93)</f>
        <v>0</v>
      </c>
      <c r="O855" s="56">
        <f>IF($C$855=$F$855,O662*Data!$E$341*Data!N$76,0)*(1+O853)*(1+Data!$E$93)</f>
        <v>0</v>
      </c>
      <c r="P855" s="56">
        <f>IF($C$855=$F$855,P662*Data!$E$341*Data!O$76,0)*(1+P853)*(1+Data!$E$93)</f>
        <v>0</v>
      </c>
      <c r="Q855" s="56">
        <f>IF($C$855=$F$855,Q662*Data!$E$341*Data!P$76,0)*(1+Q853)*(1+Data!$E$93)</f>
        <v>0</v>
      </c>
      <c r="R855" s="56">
        <f>IF($C$855=$F$855,R662*Data!$E$341*Data!Q$76,0)*(1+R853)*(1+Data!$E$93)</f>
        <v>0</v>
      </c>
      <c r="S855" s="56">
        <f>IF($C$855=$F$855,S662*Data!$E$341*Data!R$76,0)*(1+S853)*(1+Data!$E$93)</f>
        <v>0</v>
      </c>
      <c r="T855" s="56">
        <f>IF($C$855=$F$855,T662*Data!$E$341*Data!S$76,0)*(1+T853)*(1+Data!$E$93)</f>
        <v>0</v>
      </c>
      <c r="U855" s="56">
        <f>IF($C$855=$F$855,U662*Data!$E$341*Data!T$76,0)*(1+U853)*(1+Data!$E$93)</f>
        <v>0</v>
      </c>
      <c r="V855" s="56">
        <f>IF($C$855=$F$855,V662*Data!$E$341*Data!U$76,0)*(1+V853)*(1+Data!$E$93)</f>
        <v>0</v>
      </c>
      <c r="W855" s="56">
        <f>IF($C$855=$F$855,W662*Data!$E$341*Data!V$76,0)*(1+W853)*(1+Data!$E$93)</f>
        <v>0</v>
      </c>
      <c r="X855" s="56">
        <f>IF($C$855=$F$855,X662*Data!$E$341*Data!W$76,0)*(1+X853)*(1+Data!$E$93)</f>
        <v>0</v>
      </c>
      <c r="Y855" s="56">
        <f>IF($C$855=$F$855,Y662*Data!$E$341*Data!X$76,0)*(1+Y853)*(1+Data!$E$93)</f>
        <v>0</v>
      </c>
      <c r="Z855" s="56">
        <f>IF($C$855=$F$855,Z662*Data!$E$341*Data!Y$76,0)*(1+Z853)*(1+Data!$E$93)</f>
        <v>0</v>
      </c>
      <c r="AA855" s="56">
        <f>IF($C$855=$F$855,AA662*Data!$E$341*Data!Z$76,0)*(1+AA853)*(1+Data!$E$93)</f>
        <v>0</v>
      </c>
      <c r="AB855" s="56">
        <f>IF($C$855=$F$855,AB662*Data!$E$341*Data!AA$76,0)*(1+AB853)*(1+Data!$E$93)</f>
        <v>0</v>
      </c>
      <c r="AC855" s="56"/>
      <c r="AD855" s="56"/>
      <c r="AE855" s="56"/>
      <c r="AF855" s="56"/>
      <c r="AG855" s="56"/>
      <c r="AH855" s="56"/>
      <c r="AI855" s="56"/>
      <c r="AJ855" s="56"/>
      <c r="AK855" s="56"/>
      <c r="AL855" s="56"/>
      <c r="AM855" s="56"/>
      <c r="AN855" s="56"/>
      <c r="AO855" s="56"/>
      <c r="AP855" s="29"/>
    </row>
    <row r="856" spans="1:42" outlineLevel="1" x14ac:dyDescent="0.25">
      <c r="A856" s="12"/>
      <c r="B856" s="13"/>
      <c r="C856" s="96" t="s">
        <v>126</v>
      </c>
      <c r="D856" s="45"/>
      <c r="E856" s="15"/>
      <c r="F856" s="158" t="str">
        <f>Dashboard!$I$63</f>
        <v>3 Axle Double Decker Bus</v>
      </c>
      <c r="G856" s="14"/>
      <c r="H856" s="28"/>
      <c r="I856" s="56">
        <f>IF($C$856=$F$856,I662*Data!$E$342*Data!H$76,0)*(1+I853)*(1+Data!$E$93)</f>
        <v>15578.632245316576</v>
      </c>
      <c r="J856" s="56">
        <f>IF($C$856=$F$856,J662*Data!$E$342*Data!I$76,0)*(1+J853)*(1+Data!$E$93)</f>
        <v>15529.4483621159</v>
      </c>
      <c r="K856" s="56">
        <f>IF($C$856=$F$856,K662*Data!$E$342*Data!J$76,0)*(1+K853)*(1+Data!$E$93)</f>
        <v>15436.436508526118</v>
      </c>
      <c r="L856" s="56">
        <f>IF($C$856=$F$856,L662*Data!$E$342*Data!K$76,0)*(1+L853)*(1+Data!$E$93)</f>
        <v>15323.118781636224</v>
      </c>
      <c r="M856" s="56">
        <f>IF($C$856=$F$856,M662*Data!$E$342*Data!L$76,0)*(1+M853)*(1+Data!$E$93)</f>
        <v>15197.16605298098</v>
      </c>
      <c r="N856" s="56">
        <f>IF($C$856=$F$856,N662*Data!$E$342*Data!M$76,0)*(1+N853)*(1+Data!$E$93)</f>
        <v>15068.178719975067</v>
      </c>
      <c r="O856" s="56">
        <f>IF($C$856=$F$856,O662*Data!$E$342*Data!N$76,0)*(1+O853)*(1+Data!$E$93)</f>
        <v>14940.135093194038</v>
      </c>
      <c r="P856" s="56">
        <f>IF($C$856=$F$856,P662*Data!$E$342*Data!O$76,0)*(1+P853)*(1+Data!$E$93)</f>
        <v>14807.573260529474</v>
      </c>
      <c r="Q856" s="56">
        <f>IF($C$856=$F$856,Q662*Data!$E$342*Data!P$76,0)*(1+Q853)*(1+Data!$E$93)</f>
        <v>14737.102857733709</v>
      </c>
      <c r="R856" s="56">
        <f>IF($C$856=$F$856,R662*Data!$E$342*Data!Q$76,0)*(1+R853)*(1+Data!$E$93)</f>
        <v>14667.806136529858</v>
      </c>
      <c r="S856" s="56">
        <f>IF($C$856=$F$856,S662*Data!$E$342*Data!R$76,0)*(1+S853)*(1+Data!$E$93)</f>
        <v>14599.286943007364</v>
      </c>
      <c r="T856" s="56">
        <f>IF($C$856=$F$856,T662*Data!$E$342*Data!S$76,0)*(1+T853)*(1+Data!$E$93)</f>
        <v>14532.594563194889</v>
      </c>
      <c r="U856" s="56">
        <f>IF($C$856=$F$856,U662*Data!$E$342*Data!T$76,0)*(1+U853)*(1+Data!$E$93)</f>
        <v>14494.079689485327</v>
      </c>
      <c r="V856" s="56">
        <f>IF($C$856=$F$856,V662*Data!$E$342*Data!U$76,0)*(1+V853)*(1+Data!$E$93)</f>
        <v>14458.141483978536</v>
      </c>
      <c r="W856" s="56">
        <f>IF($C$856=$F$856,W662*Data!$E$342*Data!V$76,0)*(1+W853)*(1+Data!$E$93)</f>
        <v>14420.655799771357</v>
      </c>
      <c r="X856" s="56">
        <f>IF($C$856=$F$856,X662*Data!$E$342*Data!W$76,0)*(1+X853)*(1+Data!$E$93)</f>
        <v>14384.345246747596</v>
      </c>
      <c r="Y856" s="56">
        <f>IF($C$856=$F$856,Y662*Data!$E$342*Data!X$76,0)*(1+Y853)*(1+Data!$E$93)</f>
        <v>14350.357941635635</v>
      </c>
      <c r="Z856" s="56">
        <f>IF($C$856=$F$856,Z662*Data!$E$342*Data!Y$76,0)*(1+Z853)*(1+Data!$E$93)</f>
        <v>14318.691816099441</v>
      </c>
      <c r="AA856" s="56">
        <f>IF($C$856=$F$856,AA662*Data!$E$342*Data!Z$76,0)*(1+AA853)*(1+Data!$E$93)</f>
        <v>14288.924995351625</v>
      </c>
      <c r="AB856" s="56">
        <f>IF($C$856=$F$856,AB662*Data!$E$342*Data!AA$76,0)*(1+AB853)*(1+Data!$E$93)</f>
        <v>14260.643605764877</v>
      </c>
      <c r="AC856" s="56"/>
      <c r="AD856" s="56"/>
      <c r="AE856" s="56"/>
      <c r="AF856" s="56"/>
      <c r="AG856" s="56"/>
      <c r="AH856" s="56"/>
      <c r="AI856" s="56"/>
      <c r="AJ856" s="56"/>
      <c r="AK856" s="56"/>
      <c r="AL856" s="56"/>
      <c r="AM856" s="56"/>
      <c r="AN856" s="56"/>
      <c r="AO856" s="56"/>
      <c r="AP856" s="29"/>
    </row>
    <row r="857" spans="1:42" outlineLevel="1" x14ac:dyDescent="0.25">
      <c r="A857" s="12"/>
      <c r="B857" s="13"/>
      <c r="C857" s="96"/>
      <c r="D857" s="45"/>
      <c r="E857" s="15"/>
      <c r="F857" s="158"/>
      <c r="G857" s="14"/>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9"/>
    </row>
    <row r="858" spans="1:42" outlineLevel="1" x14ac:dyDescent="0.25">
      <c r="A858" s="12"/>
      <c r="B858" s="13"/>
      <c r="C858" s="19" t="s">
        <v>512</v>
      </c>
      <c r="D858" s="45"/>
      <c r="E858" s="15"/>
      <c r="F858" s="158"/>
      <c r="G858" s="14"/>
      <c r="H858" s="28"/>
      <c r="I858" s="182">
        <f>SUM(I843:I845)+I847+I850+I851+SUM(I854:I856)</f>
        <v>67374.232245316569</v>
      </c>
      <c r="J858" s="182">
        <f t="shared" ref="J858:AB858" si="279">SUM(J843:J845)+J847+J850+J851+SUM(J854:J856)</f>
        <v>67325.048362115893</v>
      </c>
      <c r="K858" s="182">
        <f>SUM(K843:K845)+K847+K850+K851+SUM(K854:K856)</f>
        <v>100965.4765085261</v>
      </c>
      <c r="L858" s="182">
        <f t="shared" si="279"/>
        <v>100852.1587816362</v>
      </c>
      <c r="M858" s="182">
        <f t="shared" si="279"/>
        <v>100726.20605298095</v>
      </c>
      <c r="N858" s="182">
        <f t="shared" si="279"/>
        <v>100597.21871997505</v>
      </c>
      <c r="O858" s="182">
        <f t="shared" si="279"/>
        <v>100469.17509319402</v>
      </c>
      <c r="P858" s="182">
        <f t="shared" si="279"/>
        <v>100336.61326052946</v>
      </c>
      <c r="Q858" s="182">
        <f t="shared" si="279"/>
        <v>100266.14285773369</v>
      </c>
      <c r="R858" s="182">
        <f t="shared" si="279"/>
        <v>100196.84613652984</v>
      </c>
      <c r="S858" s="182">
        <f t="shared" si="279"/>
        <v>100128.32694300734</v>
      </c>
      <c r="T858" s="182">
        <f t="shared" si="279"/>
        <v>100061.63456319486</v>
      </c>
      <c r="U858" s="182">
        <f t="shared" si="279"/>
        <v>100023.11968948531</v>
      </c>
      <c r="V858" s="182">
        <f t="shared" si="279"/>
        <v>99987.181483978522</v>
      </c>
      <c r="W858" s="182">
        <f t="shared" si="279"/>
        <v>99949.695799771333</v>
      </c>
      <c r="X858" s="182">
        <f t="shared" si="279"/>
        <v>99913.385246747581</v>
      </c>
      <c r="Y858" s="182">
        <f t="shared" si="279"/>
        <v>99879.397941635616</v>
      </c>
      <c r="Z858" s="182">
        <f t="shared" si="279"/>
        <v>99847.731816099418</v>
      </c>
      <c r="AA858" s="182">
        <f t="shared" si="279"/>
        <v>99817.964995351605</v>
      </c>
      <c r="AB858" s="182">
        <f t="shared" si="279"/>
        <v>99789.683605764862</v>
      </c>
      <c r="AC858" s="182"/>
      <c r="AD858" s="182"/>
      <c r="AE858" s="182"/>
      <c r="AF858" s="182"/>
      <c r="AG858" s="182"/>
      <c r="AH858" s="182"/>
      <c r="AI858" s="182"/>
      <c r="AJ858" s="182"/>
      <c r="AK858" s="182"/>
      <c r="AL858" s="182"/>
      <c r="AM858" s="182"/>
      <c r="AN858" s="182"/>
      <c r="AO858" s="182"/>
      <c r="AP858" s="29"/>
    </row>
    <row r="859" spans="1:42" outlineLevel="1" x14ac:dyDescent="0.25">
      <c r="A859" s="12"/>
      <c r="B859" s="13"/>
      <c r="C859" s="96"/>
      <c r="D859" s="45"/>
      <c r="E859" s="15"/>
      <c r="F859" s="158"/>
      <c r="G859" s="14"/>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9"/>
    </row>
    <row r="860" spans="1:42" outlineLevel="1" x14ac:dyDescent="0.25">
      <c r="A860" s="12"/>
      <c r="B860" s="13"/>
      <c r="C860" s="45"/>
      <c r="D860" s="45"/>
      <c r="E860" s="15"/>
      <c r="F860" s="16"/>
      <c r="G860" s="14"/>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9"/>
    </row>
    <row r="861" spans="1:42" outlineLevel="1" x14ac:dyDescent="0.25">
      <c r="A861" s="12"/>
      <c r="B861" s="13"/>
      <c r="C861" s="37" t="s">
        <v>513</v>
      </c>
      <c r="D861" s="37"/>
      <c r="E861" s="38"/>
      <c r="F861" s="39"/>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17"/>
    </row>
    <row r="862" spans="1:42" s="140" customFormat="1" outlineLevel="1" x14ac:dyDescent="0.25">
      <c r="A862" s="78"/>
      <c r="B862" s="19"/>
      <c r="C862" s="95" t="s">
        <v>249</v>
      </c>
      <c r="D862" s="44"/>
      <c r="E862" s="21" t="s">
        <v>142</v>
      </c>
      <c r="F862" s="48"/>
      <c r="G862" s="20"/>
      <c r="H862" s="182">
        <f>-U746</f>
        <v>105000</v>
      </c>
      <c r="I862" s="49"/>
      <c r="J862" s="49"/>
      <c r="K862" s="49"/>
      <c r="L862" s="49"/>
      <c r="M862" s="49"/>
      <c r="N862" s="49"/>
      <c r="O862" s="49"/>
      <c r="P862" s="49"/>
      <c r="Q862" s="49"/>
      <c r="R862" s="49"/>
      <c r="S862" s="49"/>
      <c r="T862" s="49"/>
      <c r="V862" s="49"/>
      <c r="W862" s="49"/>
      <c r="X862" s="49"/>
      <c r="Z862" s="49"/>
      <c r="AA862" s="49"/>
      <c r="AC862" s="182">
        <f>SUM(H817:H819)*Data!$E$359</f>
        <v>143000</v>
      </c>
      <c r="AD862" s="49"/>
      <c r="AE862" s="49"/>
      <c r="AF862" s="49"/>
      <c r="AG862" s="49"/>
      <c r="AH862" s="49"/>
      <c r="AI862" s="49"/>
      <c r="AJ862" s="49"/>
      <c r="AK862" s="49"/>
      <c r="AL862" s="49"/>
      <c r="AM862" s="49"/>
      <c r="AN862" s="49"/>
      <c r="AO862" s="49"/>
      <c r="AP862" s="50"/>
    </row>
    <row r="863" spans="1:42" outlineLevel="1" x14ac:dyDescent="0.25">
      <c r="A863" s="12"/>
      <c r="B863" s="13"/>
      <c r="C863" s="14"/>
      <c r="D863" s="14"/>
      <c r="E863" s="15"/>
      <c r="F863" s="16"/>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7"/>
    </row>
    <row r="864" spans="1:42" outlineLevel="1" x14ac:dyDescent="0.25">
      <c r="A864" s="12"/>
      <c r="B864" s="13"/>
      <c r="C864" s="37" t="s">
        <v>479</v>
      </c>
      <c r="D864" s="37"/>
      <c r="E864" s="38"/>
      <c r="F864" s="39"/>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17"/>
    </row>
    <row r="865" spans="1:42" outlineLevel="1" x14ac:dyDescent="0.25">
      <c r="A865" s="12"/>
      <c r="B865" s="13"/>
      <c r="C865" s="14" t="s">
        <v>479</v>
      </c>
      <c r="D865" s="14"/>
      <c r="E865" s="15" t="s">
        <v>318</v>
      </c>
      <c r="F865" s="16"/>
      <c r="G865" s="14"/>
      <c r="H865" s="165">
        <f>H836+H839+H858-H862</f>
        <v>-105000</v>
      </c>
      <c r="I865" s="371">
        <f t="shared" ref="I865:AO865" si="280">I836+I839+I858-I862</f>
        <v>151514.30829019548</v>
      </c>
      <c r="J865" s="371">
        <f t="shared" si="280"/>
        <v>151465.12440699482</v>
      </c>
      <c r="K865" s="371">
        <f t="shared" si="280"/>
        <v>185105.55255340502</v>
      </c>
      <c r="L865" s="371">
        <f t="shared" si="280"/>
        <v>184992.23482651514</v>
      </c>
      <c r="M865" s="371">
        <f t="shared" si="280"/>
        <v>184866.28209785989</v>
      </c>
      <c r="N865" s="371">
        <f t="shared" si="280"/>
        <v>184737.29476485396</v>
      </c>
      <c r="O865" s="371">
        <f t="shared" si="280"/>
        <v>184609.25113807293</v>
      </c>
      <c r="P865" s="371">
        <f t="shared" si="280"/>
        <v>184476.68930540839</v>
      </c>
      <c r="Q865" s="371">
        <f t="shared" si="280"/>
        <v>184406.21890261263</v>
      </c>
      <c r="R865" s="371">
        <f t="shared" si="280"/>
        <v>203212.3440633913</v>
      </c>
      <c r="S865" s="371">
        <f t="shared" si="280"/>
        <v>203143.82486986881</v>
      </c>
      <c r="T865" s="371">
        <f t="shared" si="280"/>
        <v>203077.13249005633</v>
      </c>
      <c r="U865" s="371">
        <f t="shared" si="280"/>
        <v>203038.61761634675</v>
      </c>
      <c r="V865" s="371">
        <f t="shared" si="280"/>
        <v>203002.67941083998</v>
      </c>
      <c r="W865" s="371">
        <f t="shared" si="280"/>
        <v>202965.1937266328</v>
      </c>
      <c r="X865" s="371">
        <f t="shared" si="280"/>
        <v>202928.88317360904</v>
      </c>
      <c r="Y865" s="371">
        <f t="shared" si="280"/>
        <v>202894.89586849709</v>
      </c>
      <c r="Z865" s="371">
        <f t="shared" si="280"/>
        <v>202863.22974296089</v>
      </c>
      <c r="AA865" s="371">
        <f t="shared" si="280"/>
        <v>202833.46292221308</v>
      </c>
      <c r="AB865" s="371">
        <f t="shared" si="280"/>
        <v>202805.18153262633</v>
      </c>
      <c r="AC865" s="371">
        <f t="shared" si="280"/>
        <v>-143000</v>
      </c>
      <c r="AD865" s="371">
        <f t="shared" si="280"/>
        <v>0</v>
      </c>
      <c r="AE865" s="371">
        <f t="shared" si="280"/>
        <v>0</v>
      </c>
      <c r="AF865" s="371">
        <f t="shared" si="280"/>
        <v>0</v>
      </c>
      <c r="AG865" s="371">
        <f t="shared" si="280"/>
        <v>0</v>
      </c>
      <c r="AH865" s="371">
        <f t="shared" si="280"/>
        <v>0</v>
      </c>
      <c r="AI865" s="371">
        <f t="shared" si="280"/>
        <v>0</v>
      </c>
      <c r="AJ865" s="371">
        <f t="shared" si="280"/>
        <v>0</v>
      </c>
      <c r="AK865" s="371">
        <f t="shared" si="280"/>
        <v>0</v>
      </c>
      <c r="AL865" s="371">
        <f t="shared" si="280"/>
        <v>0</v>
      </c>
      <c r="AM865" s="371">
        <f t="shared" si="280"/>
        <v>0</v>
      </c>
      <c r="AN865" s="371">
        <f t="shared" si="280"/>
        <v>0</v>
      </c>
      <c r="AO865" s="371">
        <f t="shared" si="280"/>
        <v>0</v>
      </c>
      <c r="AP865" s="29"/>
    </row>
    <row r="866" spans="1:42" s="140" customFormat="1" outlineLevel="1" x14ac:dyDescent="0.25">
      <c r="A866" s="78"/>
      <c r="B866" s="19"/>
      <c r="C866" s="20" t="s">
        <v>480</v>
      </c>
      <c r="D866" s="20"/>
      <c r="E866" s="21" t="s">
        <v>318</v>
      </c>
      <c r="F866" s="48"/>
      <c r="G866" s="20"/>
      <c r="H866" s="182">
        <f>H865*Data!G$9</f>
        <v>-105000</v>
      </c>
      <c r="I866" s="182">
        <f>I865*Data!H$9</f>
        <v>145686.83489441872</v>
      </c>
      <c r="J866" s="182">
        <f>J865*Data!I$9</f>
        <v>140038.02182599372</v>
      </c>
      <c r="K866" s="182">
        <f>K865*Data!J$9</f>
        <v>164558.16218974473</v>
      </c>
      <c r="L866" s="182">
        <f>L865*Data!K$9</f>
        <v>158132.13763766031</v>
      </c>
      <c r="M866" s="182">
        <f>M865*Data!L$9</f>
        <v>151946.60838205207</v>
      </c>
      <c r="N866" s="182">
        <f>N865*Data!M$9</f>
        <v>146000.56749675568</v>
      </c>
      <c r="O866" s="182">
        <f>O865*Data!N$9</f>
        <v>140287.85842171489</v>
      </c>
      <c r="P866" s="182">
        <f>P865*Data!O$9</f>
        <v>134795.30992665613</v>
      </c>
      <c r="Q866" s="182">
        <f>Q865*Data!P$9</f>
        <v>129561.36335922182</v>
      </c>
      <c r="R866" s="182">
        <f>R865*Data!Q$9</f>
        <v>137282.97831232712</v>
      </c>
      <c r="S866" s="182">
        <f>S865*Data!R$9</f>
        <v>131958.35500029474</v>
      </c>
      <c r="T866" s="182">
        <f>T865*Data!S$9</f>
        <v>126841.37779046917</v>
      </c>
      <c r="U866" s="182">
        <f>U865*Data!T$9</f>
        <v>121939.73222498578</v>
      </c>
      <c r="V866" s="182">
        <f>V865*Data!U$9</f>
        <v>117228.9891058233</v>
      </c>
      <c r="W866" s="182">
        <f>W865*Data!V$9</f>
        <v>112699.36736272225</v>
      </c>
      <c r="X866" s="182">
        <f>X865*Data!W$9</f>
        <v>108345.38980918676</v>
      </c>
      <c r="Y866" s="182">
        <f>Y865*Data!X$9</f>
        <v>104160.81125876728</v>
      </c>
      <c r="Z866" s="182">
        <f>Z865*Data!Y$9</f>
        <v>100138.99492030499</v>
      </c>
      <c r="AA866" s="182">
        <f>AA865*Data!Z$9</f>
        <v>96273.366519721909</v>
      </c>
      <c r="AB866" s="182">
        <f>AB865*Data!AA$9</f>
        <v>92557.637473474009</v>
      </c>
      <c r="AC866" s="372">
        <f>AC865*Data!AB$9</f>
        <v>-62753.205102677639</v>
      </c>
      <c r="AD866" s="182">
        <f>AD865*Data!AC$9</f>
        <v>0</v>
      </c>
      <c r="AE866" s="182">
        <f>AE865*Data!AD$9</f>
        <v>0</v>
      </c>
      <c r="AF866" s="49"/>
      <c r="AG866" s="49"/>
      <c r="AH866" s="49"/>
      <c r="AI866" s="49"/>
      <c r="AJ866" s="49"/>
      <c r="AK866" s="49"/>
      <c r="AL866" s="49"/>
      <c r="AM866" s="49"/>
      <c r="AN866" s="49"/>
      <c r="AO866" s="49"/>
      <c r="AP866" s="50"/>
    </row>
    <row r="867" spans="1:42" outlineLevel="1" x14ac:dyDescent="0.25">
      <c r="A867" s="12"/>
      <c r="B867" s="13"/>
      <c r="C867" s="14" t="s">
        <v>479</v>
      </c>
      <c r="D867" s="14"/>
      <c r="E867" s="15" t="s">
        <v>54</v>
      </c>
      <c r="F867" s="16"/>
      <c r="G867" s="185">
        <f>SUM(H866:AO866)</f>
        <v>2392680.6588096176</v>
      </c>
      <c r="H867" s="165"/>
      <c r="I867" s="165"/>
      <c r="J867" s="165"/>
      <c r="K867" s="165"/>
      <c r="L867" s="165"/>
      <c r="M867" s="165"/>
      <c r="N867" s="165"/>
      <c r="O867" s="165"/>
      <c r="P867" s="165"/>
      <c r="Q867" s="165"/>
      <c r="R867" s="165"/>
      <c r="S867" s="165"/>
      <c r="T867" s="165"/>
      <c r="U867" s="165"/>
      <c r="V867" s="165"/>
      <c r="W867" s="28"/>
      <c r="X867" s="28"/>
      <c r="Y867" s="28"/>
      <c r="Z867" s="28"/>
      <c r="AA867" s="28"/>
      <c r="AB867" s="28"/>
      <c r="AC867" s="28"/>
      <c r="AD867" s="28"/>
      <c r="AE867" s="28"/>
      <c r="AF867" s="28"/>
      <c r="AG867" s="28"/>
      <c r="AH867" s="28"/>
      <c r="AI867" s="28"/>
      <c r="AJ867" s="28"/>
      <c r="AK867" s="28"/>
      <c r="AL867" s="28"/>
      <c r="AM867" s="28"/>
      <c r="AN867" s="28"/>
      <c r="AO867" s="28"/>
      <c r="AP867" s="29"/>
    </row>
    <row r="868" spans="1:42" outlineLevel="1" x14ac:dyDescent="0.25">
      <c r="A868" s="12"/>
      <c r="B868" s="13"/>
      <c r="C868" s="44" t="s">
        <v>481</v>
      </c>
      <c r="D868" s="45"/>
      <c r="E868" s="15" t="s">
        <v>261</v>
      </c>
      <c r="F868" s="16"/>
      <c r="G868" s="183">
        <f>G867/(SUM(H662:AO662))</f>
        <v>1.2781413775692403</v>
      </c>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9"/>
    </row>
    <row r="869" spans="1:42" outlineLevel="1" x14ac:dyDescent="0.25">
      <c r="A869" s="12"/>
      <c r="B869" s="13"/>
      <c r="C869" s="14"/>
      <c r="D869" s="14"/>
      <c r="E869" s="15"/>
      <c r="F869" s="16"/>
      <c r="G869" s="14"/>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17"/>
    </row>
    <row r="870" spans="1:42" outlineLevel="1" x14ac:dyDescent="0.25">
      <c r="A870" s="12"/>
      <c r="B870" s="13"/>
      <c r="C870" s="37" t="s">
        <v>515</v>
      </c>
      <c r="D870" s="37"/>
      <c r="E870" s="38"/>
      <c r="F870" s="39"/>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17"/>
    </row>
    <row r="871" spans="1:42" outlineLevel="1" x14ac:dyDescent="0.25">
      <c r="A871" s="12"/>
      <c r="B871" s="13"/>
      <c r="C871" s="14"/>
      <c r="D871" s="14"/>
      <c r="E871" s="15"/>
      <c r="F871" s="16"/>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row>
    <row r="872" spans="1:42" outlineLevel="1" x14ac:dyDescent="0.25">
      <c r="A872" s="12"/>
      <c r="B872" s="13"/>
      <c r="C872" s="20" t="s">
        <v>516</v>
      </c>
      <c r="D872" s="45"/>
      <c r="E872" s="15"/>
      <c r="F872" s="16"/>
      <c r="G872" s="165"/>
      <c r="H872" s="165"/>
      <c r="I872" s="165"/>
      <c r="J872" s="165"/>
      <c r="K872" s="165"/>
      <c r="L872" s="165"/>
      <c r="M872" s="165"/>
      <c r="N872" s="165"/>
      <c r="O872" s="165"/>
      <c r="P872" s="165"/>
      <c r="Q872" s="165"/>
      <c r="R872" s="165"/>
      <c r="S872" s="165"/>
      <c r="T872" s="165"/>
      <c r="U872" s="28"/>
      <c r="V872" s="28"/>
      <c r="W872" s="28"/>
      <c r="X872" s="28"/>
      <c r="Y872" s="28"/>
      <c r="Z872" s="28"/>
      <c r="AA872" s="28"/>
      <c r="AB872" s="28"/>
      <c r="AC872" s="28"/>
      <c r="AD872" s="28"/>
      <c r="AE872" s="28"/>
      <c r="AF872" s="28"/>
      <c r="AG872" s="28"/>
      <c r="AH872" s="28"/>
      <c r="AI872" s="28"/>
      <c r="AJ872" s="28"/>
      <c r="AK872" s="28"/>
      <c r="AL872" s="28"/>
      <c r="AM872" s="28"/>
      <c r="AN872" s="28"/>
      <c r="AO872" s="28"/>
      <c r="AP872" s="29"/>
    </row>
    <row r="873" spans="1:42" outlineLevel="1" x14ac:dyDescent="0.25">
      <c r="A873" s="12"/>
      <c r="B873" s="13"/>
      <c r="C873" s="45" t="s">
        <v>517</v>
      </c>
      <c r="D873" s="45"/>
      <c r="E873" s="15" t="s">
        <v>342</v>
      </c>
      <c r="F873" s="179">
        <f>Data!$E$354</f>
        <v>147000</v>
      </c>
      <c r="G873" s="165"/>
      <c r="H873" s="165"/>
      <c r="I873" s="165"/>
      <c r="J873" s="165"/>
      <c r="K873" s="165"/>
      <c r="L873" s="165"/>
      <c r="M873" s="165"/>
      <c r="N873" s="165"/>
      <c r="O873" s="165"/>
      <c r="P873" s="165"/>
      <c r="Q873" s="165"/>
      <c r="R873" s="165"/>
      <c r="S873" s="165"/>
      <c r="T873" s="165"/>
      <c r="U873" s="28"/>
      <c r="V873" s="28"/>
      <c r="W873" s="28"/>
      <c r="X873" s="28"/>
      <c r="Y873" s="28"/>
      <c r="Z873" s="28"/>
      <c r="AA873" s="28"/>
      <c r="AB873" s="28"/>
      <c r="AC873" s="28"/>
      <c r="AD873" s="28"/>
      <c r="AE873" s="28"/>
      <c r="AF873" s="28"/>
      <c r="AG873" s="28"/>
      <c r="AH873" s="28"/>
      <c r="AI873" s="28"/>
      <c r="AJ873" s="28"/>
      <c r="AK873" s="28"/>
      <c r="AL873" s="28"/>
      <c r="AM873" s="28"/>
      <c r="AN873" s="28"/>
      <c r="AO873" s="28"/>
      <c r="AP873" s="29"/>
    </row>
    <row r="874" spans="1:42" outlineLevel="1" x14ac:dyDescent="0.25">
      <c r="A874" s="12"/>
      <c r="B874" s="13"/>
      <c r="C874" s="45" t="s">
        <v>574</v>
      </c>
      <c r="D874" s="45"/>
      <c r="E874" s="15" t="s">
        <v>342</v>
      </c>
      <c r="F874" s="179">
        <f>Data!$E$355</f>
        <v>47000</v>
      </c>
      <c r="G874" s="165"/>
      <c r="H874" s="165"/>
      <c r="I874" s="165"/>
      <c r="J874" s="165"/>
      <c r="K874" s="165"/>
      <c r="L874" s="165"/>
      <c r="M874" s="165"/>
      <c r="N874" s="165"/>
      <c r="O874" s="165"/>
      <c r="P874" s="165"/>
      <c r="Q874" s="165"/>
      <c r="R874" s="165"/>
      <c r="S874" s="165"/>
      <c r="T874" s="165"/>
      <c r="U874" s="28"/>
      <c r="V874" s="28"/>
      <c r="W874" s="28"/>
      <c r="X874" s="28"/>
      <c r="Y874" s="28"/>
      <c r="Z874" s="28"/>
      <c r="AA874" s="28"/>
      <c r="AB874" s="28"/>
      <c r="AC874" s="28"/>
      <c r="AD874" s="28"/>
      <c r="AE874" s="28"/>
      <c r="AF874" s="28"/>
      <c r="AG874" s="28"/>
      <c r="AH874" s="28"/>
      <c r="AI874" s="28"/>
      <c r="AJ874" s="28"/>
      <c r="AK874" s="28"/>
      <c r="AL874" s="28"/>
      <c r="AM874" s="28"/>
      <c r="AN874" s="28"/>
      <c r="AO874" s="28"/>
      <c r="AP874" s="29"/>
    </row>
    <row r="875" spans="1:42" outlineLevel="1" x14ac:dyDescent="0.25">
      <c r="A875" s="12"/>
      <c r="B875" s="13"/>
      <c r="C875" s="45" t="s">
        <v>518</v>
      </c>
      <c r="D875" s="45"/>
      <c r="E875" s="15" t="s">
        <v>142</v>
      </c>
      <c r="F875" s="179"/>
      <c r="G875" s="186">
        <f>F873*Data!$G$16/1000</f>
        <v>12789</v>
      </c>
      <c r="H875" s="165"/>
      <c r="I875" s="165"/>
      <c r="J875" s="165"/>
      <c r="K875" s="165"/>
      <c r="L875" s="165"/>
      <c r="M875" s="165"/>
      <c r="N875" s="165"/>
      <c r="O875" s="165"/>
      <c r="P875" s="165"/>
      <c r="Q875" s="165"/>
      <c r="R875" s="165"/>
      <c r="S875" s="165"/>
      <c r="T875" s="165"/>
      <c r="U875" s="28"/>
      <c r="V875" s="28"/>
      <c r="W875" s="28"/>
      <c r="X875" s="28"/>
      <c r="Y875" s="28"/>
      <c r="Z875" s="28"/>
      <c r="AA875" s="28"/>
      <c r="AB875" s="28"/>
      <c r="AC875" s="28"/>
      <c r="AD875" s="28"/>
      <c r="AE875" s="28"/>
      <c r="AF875" s="28"/>
      <c r="AG875" s="28"/>
      <c r="AH875" s="28"/>
      <c r="AI875" s="28"/>
      <c r="AJ875" s="28"/>
      <c r="AK875" s="28"/>
      <c r="AL875" s="28"/>
      <c r="AM875" s="28"/>
      <c r="AN875" s="28"/>
      <c r="AO875" s="28"/>
      <c r="AP875" s="29"/>
    </row>
    <row r="876" spans="1:42" outlineLevel="1" x14ac:dyDescent="0.25">
      <c r="A876" s="12"/>
      <c r="B876" s="13"/>
      <c r="C876" s="45" t="s">
        <v>575</v>
      </c>
      <c r="D876" s="45"/>
      <c r="E876" s="15" t="s">
        <v>142</v>
      </c>
      <c r="F876" s="179"/>
      <c r="G876" s="186">
        <f>G875+SUM(H876:AO876)</f>
        <v>18303.603287558239</v>
      </c>
      <c r="H876" s="165">
        <f>IF(SUM(H822:H824)&gt;0,($F$874*Data!G$16*Data!G$9)/1000,0)</f>
        <v>0</v>
      </c>
      <c r="I876" s="165">
        <f>IF(SUM(I822:I824)&gt;0,($F$874*Data!H$16*Data!H$9)/1000,0)</f>
        <v>0</v>
      </c>
      <c r="J876" s="165">
        <f>IF(SUM(J822:J824)&gt;0,($F$874*Data!I$16*Data!I$9)/1000,0)</f>
        <v>0</v>
      </c>
      <c r="K876" s="165">
        <f>IF(SUM(K822:K824)&gt;0,($F$874*Data!J$16*Data!J$9)/1000,0)</f>
        <v>0</v>
      </c>
      <c r="L876" s="165">
        <f>IF(SUM(L822:L824)&gt;0,($F$874*Data!K$16*Data!K$9)/1000,0)</f>
        <v>0</v>
      </c>
      <c r="M876" s="165">
        <f>IF(SUM(M822:M824)&gt;0,($F$874*Data!L$16*Data!L$9)/1000,0)</f>
        <v>0</v>
      </c>
      <c r="N876" s="165">
        <f>IF(SUM(N822:N824)&gt;0,($F$874*Data!M$16*Data!M$9)/1000,0)</f>
        <v>0</v>
      </c>
      <c r="O876" s="165">
        <f>IF(SUM(O822:O824)&gt;0,($F$874*Data!N$16*Data!N$9)/1000,0)</f>
        <v>0</v>
      </c>
      <c r="P876" s="165">
        <f>IF(SUM(P822:P824)&gt;0,($F$874*Data!O$16*Data!O$9)/1000,0)</f>
        <v>0</v>
      </c>
      <c r="Q876" s="165">
        <f>IF(SUM(Q822:Q824)&gt;0,($F$874*Data!P$16*Data!P$9)/1000,0)</f>
        <v>5514.6032875582396</v>
      </c>
      <c r="R876" s="165">
        <f>IF(SUM(R822:R824)&gt;0,($F$874*Data!Q$16*Data!Q$9)/1000,0)</f>
        <v>0</v>
      </c>
      <c r="S876" s="165">
        <f>IF(SUM(S822:S824)&gt;0,($F$874*Data!R$16*Data!R$9)/1000,0)</f>
        <v>0</v>
      </c>
      <c r="T876" s="165">
        <f>IF(SUM(T822:T824)&gt;0,($F$874*Data!S$16*Data!S$9)/1000,0)</f>
        <v>0</v>
      </c>
      <c r="U876" s="165">
        <f>IF(SUM(U822:U824)&gt;0,($F$874*Data!T$16*Data!T$9)/1000,0)</f>
        <v>0</v>
      </c>
      <c r="V876" s="165">
        <f>IF(SUM(V822:V824)&gt;0,($F$874*Data!U$16*Data!U$9)/1000,0)</f>
        <v>0</v>
      </c>
      <c r="W876" s="165">
        <f>IF(SUM(W822:W824)&gt;0,($F$874*Data!V$16*Data!V$9)/1000,0)</f>
        <v>0</v>
      </c>
      <c r="X876" s="165">
        <f>IF(SUM(X822:X824)&gt;0,($F$874*Data!W$16*Data!W$9)/1000,0)</f>
        <v>0</v>
      </c>
      <c r="Y876" s="165">
        <f>IF(SUM(Y822:Y824)&gt;0,($F$874*Data!X$16*Data!X$9)/1000,0)</f>
        <v>0</v>
      </c>
      <c r="Z876" s="165">
        <f>IF(SUM(Z822:Z824)&gt;0,($F$874*Data!Y$16*Data!Y$9)/1000,0)</f>
        <v>0</v>
      </c>
      <c r="AA876" s="165">
        <f>IF(SUM(AA822:AA824)&gt;0,($F$874*Data!Z$16*Data!Z$9)/1000,0)</f>
        <v>0</v>
      </c>
      <c r="AB876" s="165">
        <f>IF(SUM(AB822:AB824)&gt;0,($F$874*Data!AA$16*Data!AA$9)/1000,0)</f>
        <v>0</v>
      </c>
      <c r="AC876" s="165">
        <f>IF(SUM(AC822:AC824)&gt;0,($F$874*Data!AB$16*Data!AB$9)/1000,0)</f>
        <v>0</v>
      </c>
      <c r="AD876" s="165">
        <f>IF(SUM(AD822:AD824)&gt;0,($F$874*Data!AC$16*Data!AC$9)/1000,0)</f>
        <v>0</v>
      </c>
      <c r="AE876" s="165">
        <f>IF(SUM(AE822:AE824)&gt;0,($F$874*Data!AD$16*Data!AD$9)/1000,0)</f>
        <v>0</v>
      </c>
      <c r="AF876" s="165">
        <f>IF(SUM(AF822:AF824)&gt;0,($F$874*Data!AE$16*Data!AE$9)/1000,0)</f>
        <v>0</v>
      </c>
      <c r="AG876" s="165">
        <f>IF(SUM(AG822:AG824)&gt;0,($F$874*Data!AF$16*Data!AF$9)/1000,0)</f>
        <v>0</v>
      </c>
      <c r="AH876" s="165">
        <f>IF(SUM(AH822:AH824)&gt;0,($F$874*Data!AG$16*Data!AG$9)/1000,0)</f>
        <v>0</v>
      </c>
      <c r="AI876" s="165">
        <f>IF(SUM(AI822:AI824)&gt;0,($F$874*Data!AH$16*Data!AH$9)/1000,0)</f>
        <v>0</v>
      </c>
      <c r="AJ876" s="165">
        <f>IF(SUM(AJ822:AJ824)&gt;0,($F$874*Data!AI$16*Data!AI$9)/1000,0)</f>
        <v>0</v>
      </c>
      <c r="AK876" s="165">
        <f>IF(SUM(AK822:AK824)&gt;0,($F$874*Data!AJ$16*Data!AJ$9)/1000,0)</f>
        <v>0</v>
      </c>
      <c r="AL876" s="165">
        <f>IF(SUM(AL822:AL824)&gt;0,($F$874*Data!AK$16*Data!AK$9)/1000,0)</f>
        <v>0</v>
      </c>
      <c r="AM876" s="165">
        <f>IF(SUM(AM822:AM824)&gt;0,($F$874*Data!AL$16*Data!AL$9)/1000,0)</f>
        <v>0</v>
      </c>
      <c r="AN876" s="165">
        <f>IF(SUM(AN822:AN824)&gt;0,($F$874*Data!AM$16*Data!AM$9)/1000,0)</f>
        <v>0</v>
      </c>
      <c r="AO876" s="165">
        <f>IF(SUM(AO822:AO824)&gt;0,($F$874*Data!AN$16*Data!AN$9)/1000,0)</f>
        <v>0</v>
      </c>
      <c r="AP876" s="29"/>
    </row>
    <row r="877" spans="1:42" outlineLevel="1" x14ac:dyDescent="0.25">
      <c r="A877" s="12"/>
      <c r="B877" s="13"/>
      <c r="C877" s="45" t="s">
        <v>518</v>
      </c>
      <c r="D877" s="45"/>
      <c r="E877" s="15" t="s">
        <v>261</v>
      </c>
      <c r="F877" s="179"/>
      <c r="G877" s="184">
        <f>(G875+SUM(H876:AO876))/(SUM(I662:AN662))</f>
        <v>9.7775658587383758E-3</v>
      </c>
      <c r="H877" s="165"/>
      <c r="I877" s="165"/>
      <c r="J877" s="165"/>
      <c r="K877" s="165"/>
      <c r="L877" s="165"/>
      <c r="M877" s="165"/>
      <c r="N877" s="165"/>
      <c r="O877" s="165"/>
      <c r="P877" s="165"/>
      <c r="Q877" s="165"/>
      <c r="R877" s="165"/>
      <c r="S877" s="165"/>
      <c r="T877" s="165"/>
      <c r="U877" s="28"/>
      <c r="V877" s="28"/>
      <c r="W877" s="28"/>
      <c r="X877" s="28"/>
      <c r="Y877" s="28"/>
      <c r="Z877" s="28"/>
      <c r="AA877" s="28"/>
      <c r="AB877" s="28"/>
      <c r="AC877" s="28"/>
      <c r="AD877" s="28"/>
      <c r="AE877" s="28"/>
      <c r="AF877" s="28"/>
      <c r="AG877" s="28"/>
      <c r="AH877" s="28"/>
      <c r="AI877" s="28"/>
      <c r="AJ877" s="28"/>
      <c r="AK877" s="28"/>
      <c r="AL877" s="28"/>
      <c r="AM877" s="28"/>
      <c r="AN877" s="28"/>
      <c r="AO877" s="28"/>
      <c r="AP877" s="29"/>
    </row>
    <row r="878" spans="1:42" outlineLevel="1" x14ac:dyDescent="0.25">
      <c r="A878" s="12"/>
      <c r="B878" s="13"/>
      <c r="C878" s="20"/>
      <c r="D878" s="19"/>
      <c r="E878" s="15"/>
      <c r="F878" s="16"/>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7"/>
    </row>
    <row r="879" spans="1:42" outlineLevel="1" x14ac:dyDescent="0.25">
      <c r="A879" s="12"/>
      <c r="B879" s="13"/>
      <c r="C879" s="20" t="s">
        <v>519</v>
      </c>
      <c r="D879" s="19"/>
      <c r="E879" s="15"/>
      <c r="F879" s="16"/>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7"/>
    </row>
    <row r="880" spans="1:42" outlineLevel="1" x14ac:dyDescent="0.25">
      <c r="A880" s="12"/>
      <c r="B880" s="13"/>
      <c r="C880" t="s">
        <v>520</v>
      </c>
      <c r="D880" s="14"/>
      <c r="E880" s="15" t="s">
        <v>521</v>
      </c>
      <c r="F880" s="16"/>
      <c r="G880" s="14"/>
      <c r="H880" s="141"/>
      <c r="I880" s="141">
        <f t="shared" ref="I880:AO880" si="281">I662</f>
        <v>93600</v>
      </c>
      <c r="J880" s="141">
        <f t="shared" si="281"/>
        <v>93600</v>
      </c>
      <c r="K880" s="141">
        <f t="shared" si="281"/>
        <v>93600</v>
      </c>
      <c r="L880" s="141">
        <f t="shared" si="281"/>
        <v>93600</v>
      </c>
      <c r="M880" s="141">
        <f t="shared" si="281"/>
        <v>93600</v>
      </c>
      <c r="N880" s="141">
        <f t="shared" si="281"/>
        <v>93600</v>
      </c>
      <c r="O880" s="141">
        <f t="shared" si="281"/>
        <v>93600</v>
      </c>
      <c r="P880" s="141">
        <f t="shared" si="281"/>
        <v>93600</v>
      </c>
      <c r="Q880" s="141">
        <f t="shared" si="281"/>
        <v>93600</v>
      </c>
      <c r="R880" s="141">
        <f t="shared" si="281"/>
        <v>93600</v>
      </c>
      <c r="S880" s="141">
        <f t="shared" si="281"/>
        <v>93600</v>
      </c>
      <c r="T880" s="141">
        <f t="shared" si="281"/>
        <v>93600</v>
      </c>
      <c r="U880" s="141">
        <f t="shared" si="281"/>
        <v>93600</v>
      </c>
      <c r="V880" s="141">
        <f t="shared" si="281"/>
        <v>93600</v>
      </c>
      <c r="W880" s="141">
        <f t="shared" si="281"/>
        <v>93600</v>
      </c>
      <c r="X880" s="141">
        <f t="shared" si="281"/>
        <v>93600</v>
      </c>
      <c r="Y880" s="141">
        <f t="shared" si="281"/>
        <v>93600</v>
      </c>
      <c r="Z880" s="141">
        <f t="shared" si="281"/>
        <v>93600</v>
      </c>
      <c r="AA880" s="141">
        <f t="shared" si="281"/>
        <v>93600</v>
      </c>
      <c r="AB880" s="141">
        <f t="shared" si="281"/>
        <v>93600</v>
      </c>
      <c r="AC880" s="141">
        <f t="shared" si="281"/>
        <v>0</v>
      </c>
      <c r="AD880" s="141">
        <f t="shared" si="281"/>
        <v>0</v>
      </c>
      <c r="AE880" s="141">
        <f t="shared" si="281"/>
        <v>0</v>
      </c>
      <c r="AF880" s="141">
        <f t="shared" si="281"/>
        <v>0</v>
      </c>
      <c r="AG880" s="141">
        <f t="shared" si="281"/>
        <v>0</v>
      </c>
      <c r="AH880" s="141">
        <f t="shared" si="281"/>
        <v>0</v>
      </c>
      <c r="AI880" s="141">
        <f t="shared" si="281"/>
        <v>0</v>
      </c>
      <c r="AJ880" s="141">
        <f t="shared" si="281"/>
        <v>0</v>
      </c>
      <c r="AK880" s="141">
        <f t="shared" si="281"/>
        <v>0</v>
      </c>
      <c r="AL880" s="141">
        <f t="shared" si="281"/>
        <v>0</v>
      </c>
      <c r="AM880" s="141">
        <f t="shared" si="281"/>
        <v>0</v>
      </c>
      <c r="AN880" s="141">
        <f t="shared" si="281"/>
        <v>0</v>
      </c>
      <c r="AO880" s="141">
        <f t="shared" si="281"/>
        <v>0</v>
      </c>
      <c r="AP880" s="14"/>
    </row>
    <row r="881" spans="1:42" outlineLevel="1" x14ac:dyDescent="0.25">
      <c r="A881" s="12"/>
      <c r="B881" s="13"/>
      <c r="C881" s="20" t="s">
        <v>483</v>
      </c>
      <c r="D881" s="14"/>
      <c r="E881" s="15"/>
      <c r="F881" s="16"/>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59"/>
      <c r="AN881" s="159"/>
      <c r="AO881" s="159"/>
      <c r="AP881" s="14"/>
    </row>
    <row r="882" spans="1:42" ht="14.25" customHeight="1" outlineLevel="1" x14ac:dyDescent="0.25">
      <c r="A882" s="54"/>
      <c r="B882" s="13"/>
      <c r="C882" s="14" t="s">
        <v>205</v>
      </c>
      <c r="D882" s="14"/>
      <c r="E882" s="70" t="s">
        <v>352</v>
      </c>
      <c r="F882" s="201">
        <f>Data!E596/1000</f>
        <v>0</v>
      </c>
      <c r="G882" s="56"/>
      <c r="H882" s="56"/>
      <c r="I882" s="56">
        <f>I$880*$F$882</f>
        <v>0</v>
      </c>
      <c r="J882" s="56">
        <f t="shared" ref="J882:AO882" si="282">J$880*$F$882</f>
        <v>0</v>
      </c>
      <c r="K882" s="56">
        <f t="shared" si="282"/>
        <v>0</v>
      </c>
      <c r="L882" s="56">
        <f t="shared" si="282"/>
        <v>0</v>
      </c>
      <c r="M882" s="56">
        <f t="shared" si="282"/>
        <v>0</v>
      </c>
      <c r="N882" s="56">
        <f t="shared" si="282"/>
        <v>0</v>
      </c>
      <c r="O882" s="56">
        <f t="shared" si="282"/>
        <v>0</v>
      </c>
      <c r="P882" s="56">
        <f t="shared" si="282"/>
        <v>0</v>
      </c>
      <c r="Q882" s="56">
        <f t="shared" si="282"/>
        <v>0</v>
      </c>
      <c r="R882" s="56">
        <f t="shared" si="282"/>
        <v>0</v>
      </c>
      <c r="S882" s="56">
        <f t="shared" si="282"/>
        <v>0</v>
      </c>
      <c r="T882" s="56">
        <f t="shared" si="282"/>
        <v>0</v>
      </c>
      <c r="U882" s="56">
        <f t="shared" si="282"/>
        <v>0</v>
      </c>
      <c r="V882" s="56">
        <f t="shared" si="282"/>
        <v>0</v>
      </c>
      <c r="W882" s="56">
        <f t="shared" si="282"/>
        <v>0</v>
      </c>
      <c r="X882" s="56">
        <f t="shared" si="282"/>
        <v>0</v>
      </c>
      <c r="Y882" s="56">
        <f t="shared" si="282"/>
        <v>0</v>
      </c>
      <c r="Z882" s="56">
        <f t="shared" si="282"/>
        <v>0</v>
      </c>
      <c r="AA882" s="56">
        <f t="shared" si="282"/>
        <v>0</v>
      </c>
      <c r="AB882" s="56">
        <f t="shared" si="282"/>
        <v>0</v>
      </c>
      <c r="AC882" s="56">
        <f t="shared" si="282"/>
        <v>0</v>
      </c>
      <c r="AD882" s="56">
        <f t="shared" si="282"/>
        <v>0</v>
      </c>
      <c r="AE882" s="56">
        <f t="shared" si="282"/>
        <v>0</v>
      </c>
      <c r="AF882" s="56">
        <f t="shared" si="282"/>
        <v>0</v>
      </c>
      <c r="AG882" s="56">
        <f t="shared" si="282"/>
        <v>0</v>
      </c>
      <c r="AH882" s="56">
        <f t="shared" si="282"/>
        <v>0</v>
      </c>
      <c r="AI882" s="56">
        <f t="shared" si="282"/>
        <v>0</v>
      </c>
      <c r="AJ882" s="56">
        <f t="shared" si="282"/>
        <v>0</v>
      </c>
      <c r="AK882" s="56">
        <f t="shared" si="282"/>
        <v>0</v>
      </c>
      <c r="AL882" s="56">
        <f t="shared" si="282"/>
        <v>0</v>
      </c>
      <c r="AM882" s="56">
        <f t="shared" si="282"/>
        <v>0</v>
      </c>
      <c r="AN882" s="56">
        <f t="shared" si="282"/>
        <v>0</v>
      </c>
      <c r="AO882" s="56">
        <f t="shared" si="282"/>
        <v>0</v>
      </c>
      <c r="AP882" s="29"/>
    </row>
    <row r="883" spans="1:42" outlineLevel="1" x14ac:dyDescent="0.25">
      <c r="A883" s="54"/>
      <c r="B883" s="13"/>
      <c r="C883" s="14" t="s">
        <v>484</v>
      </c>
      <c r="D883" s="14"/>
      <c r="E883" s="70" t="s">
        <v>352</v>
      </c>
      <c r="F883" s="201">
        <f>Data!E597</f>
        <v>0.14558901827984225</v>
      </c>
      <c r="G883" s="56"/>
      <c r="H883" s="56"/>
      <c r="I883" s="56">
        <f>I$880*$F$883</f>
        <v>13627.132110993234</v>
      </c>
      <c r="J883" s="56">
        <f t="shared" ref="J883:AO883" si="283">J$880*$F$883</f>
        <v>13627.132110993234</v>
      </c>
      <c r="K883" s="56">
        <f t="shared" si="283"/>
        <v>13627.132110993234</v>
      </c>
      <c r="L883" s="56">
        <f t="shared" si="283"/>
        <v>13627.132110993234</v>
      </c>
      <c r="M883" s="56">
        <f t="shared" si="283"/>
        <v>13627.132110993234</v>
      </c>
      <c r="N883" s="56">
        <f t="shared" si="283"/>
        <v>13627.132110993234</v>
      </c>
      <c r="O883" s="56">
        <f t="shared" si="283"/>
        <v>13627.132110993234</v>
      </c>
      <c r="P883" s="56">
        <f t="shared" si="283"/>
        <v>13627.132110993234</v>
      </c>
      <c r="Q883" s="56">
        <f t="shared" si="283"/>
        <v>13627.132110993234</v>
      </c>
      <c r="R883" s="56">
        <f t="shared" si="283"/>
        <v>13627.132110993234</v>
      </c>
      <c r="S883" s="56">
        <f t="shared" si="283"/>
        <v>13627.132110993234</v>
      </c>
      <c r="T883" s="56">
        <f t="shared" si="283"/>
        <v>13627.132110993234</v>
      </c>
      <c r="U883" s="56">
        <f t="shared" si="283"/>
        <v>13627.132110993234</v>
      </c>
      <c r="V883" s="56">
        <f t="shared" si="283"/>
        <v>13627.132110993234</v>
      </c>
      <c r="W883" s="56">
        <f t="shared" si="283"/>
        <v>13627.132110993234</v>
      </c>
      <c r="X883" s="56">
        <f t="shared" si="283"/>
        <v>13627.132110993234</v>
      </c>
      <c r="Y883" s="56">
        <f t="shared" si="283"/>
        <v>13627.132110993234</v>
      </c>
      <c r="Z883" s="56">
        <f t="shared" si="283"/>
        <v>13627.132110993234</v>
      </c>
      <c r="AA883" s="56">
        <f t="shared" si="283"/>
        <v>13627.132110993234</v>
      </c>
      <c r="AB883" s="56">
        <f t="shared" si="283"/>
        <v>13627.132110993234</v>
      </c>
      <c r="AC883" s="56">
        <f t="shared" si="283"/>
        <v>0</v>
      </c>
      <c r="AD883" s="56">
        <f t="shared" si="283"/>
        <v>0</v>
      </c>
      <c r="AE883" s="56">
        <f t="shared" si="283"/>
        <v>0</v>
      </c>
      <c r="AF883" s="56">
        <f t="shared" si="283"/>
        <v>0</v>
      </c>
      <c r="AG883" s="56">
        <f t="shared" si="283"/>
        <v>0</v>
      </c>
      <c r="AH883" s="56">
        <f t="shared" si="283"/>
        <v>0</v>
      </c>
      <c r="AI883" s="56">
        <f t="shared" si="283"/>
        <v>0</v>
      </c>
      <c r="AJ883" s="56">
        <f t="shared" si="283"/>
        <v>0</v>
      </c>
      <c r="AK883" s="56">
        <f t="shared" si="283"/>
        <v>0</v>
      </c>
      <c r="AL883" s="56">
        <f t="shared" si="283"/>
        <v>0</v>
      </c>
      <c r="AM883" s="56">
        <f t="shared" si="283"/>
        <v>0</v>
      </c>
      <c r="AN883" s="56">
        <f t="shared" si="283"/>
        <v>0</v>
      </c>
      <c r="AO883" s="56">
        <f t="shared" si="283"/>
        <v>0</v>
      </c>
      <c r="AP883" s="29"/>
    </row>
    <row r="884" spans="1:42" outlineLevel="1" x14ac:dyDescent="0.25">
      <c r="A884" s="54"/>
      <c r="B884" s="13"/>
      <c r="C884" s="14" t="s">
        <v>285</v>
      </c>
      <c r="D884" s="14"/>
      <c r="E884" s="70" t="s">
        <v>352</v>
      </c>
      <c r="F884" s="201">
        <f>Data!E598/1000</f>
        <v>0</v>
      </c>
      <c r="G884" s="56"/>
      <c r="H884" s="56"/>
      <c r="I884" s="56">
        <f>I$880*$F$884</f>
        <v>0</v>
      </c>
      <c r="J884" s="56">
        <f t="shared" ref="J884:AO884" si="284">J$880*$F$884</f>
        <v>0</v>
      </c>
      <c r="K884" s="56">
        <f t="shared" si="284"/>
        <v>0</v>
      </c>
      <c r="L884" s="56">
        <f t="shared" si="284"/>
        <v>0</v>
      </c>
      <c r="M884" s="56">
        <f t="shared" si="284"/>
        <v>0</v>
      </c>
      <c r="N884" s="56">
        <f t="shared" si="284"/>
        <v>0</v>
      </c>
      <c r="O884" s="56">
        <f t="shared" si="284"/>
        <v>0</v>
      </c>
      <c r="P884" s="56">
        <f t="shared" si="284"/>
        <v>0</v>
      </c>
      <c r="Q884" s="56">
        <f t="shared" si="284"/>
        <v>0</v>
      </c>
      <c r="R884" s="56">
        <f t="shared" si="284"/>
        <v>0</v>
      </c>
      <c r="S884" s="56">
        <f t="shared" si="284"/>
        <v>0</v>
      </c>
      <c r="T884" s="56">
        <f t="shared" si="284"/>
        <v>0</v>
      </c>
      <c r="U884" s="56">
        <f t="shared" si="284"/>
        <v>0</v>
      </c>
      <c r="V884" s="56">
        <f t="shared" si="284"/>
        <v>0</v>
      </c>
      <c r="W884" s="56">
        <f t="shared" si="284"/>
        <v>0</v>
      </c>
      <c r="X884" s="56">
        <f t="shared" si="284"/>
        <v>0</v>
      </c>
      <c r="Y884" s="56">
        <f t="shared" si="284"/>
        <v>0</v>
      </c>
      <c r="Z884" s="56">
        <f t="shared" si="284"/>
        <v>0</v>
      </c>
      <c r="AA884" s="56">
        <f t="shared" si="284"/>
        <v>0</v>
      </c>
      <c r="AB884" s="56">
        <f t="shared" si="284"/>
        <v>0</v>
      </c>
      <c r="AC884" s="56">
        <f t="shared" si="284"/>
        <v>0</v>
      </c>
      <c r="AD884" s="56">
        <f t="shared" si="284"/>
        <v>0</v>
      </c>
      <c r="AE884" s="56">
        <f t="shared" si="284"/>
        <v>0</v>
      </c>
      <c r="AF884" s="56">
        <f t="shared" si="284"/>
        <v>0</v>
      </c>
      <c r="AG884" s="56">
        <f t="shared" si="284"/>
        <v>0</v>
      </c>
      <c r="AH884" s="56">
        <f t="shared" si="284"/>
        <v>0</v>
      </c>
      <c r="AI884" s="56">
        <f t="shared" si="284"/>
        <v>0</v>
      </c>
      <c r="AJ884" s="56">
        <f t="shared" si="284"/>
        <v>0</v>
      </c>
      <c r="AK884" s="56">
        <f t="shared" si="284"/>
        <v>0</v>
      </c>
      <c r="AL884" s="56">
        <f t="shared" si="284"/>
        <v>0</v>
      </c>
      <c r="AM884" s="56">
        <f t="shared" si="284"/>
        <v>0</v>
      </c>
      <c r="AN884" s="56">
        <f t="shared" si="284"/>
        <v>0</v>
      </c>
      <c r="AO884" s="56">
        <f t="shared" si="284"/>
        <v>0</v>
      </c>
      <c r="AP884" s="29"/>
    </row>
    <row r="885" spans="1:42" outlineLevel="1" x14ac:dyDescent="0.25">
      <c r="A885" s="54"/>
      <c r="B885" s="13"/>
      <c r="C885" s="14" t="s">
        <v>220</v>
      </c>
      <c r="D885" s="14"/>
      <c r="E885" s="70" t="s">
        <v>352</v>
      </c>
      <c r="F885" s="201">
        <f>Data!E599/1000</f>
        <v>0</v>
      </c>
      <c r="G885" s="56"/>
      <c r="H885" s="56"/>
      <c r="I885" s="56">
        <f>I$880*$F$885</f>
        <v>0</v>
      </c>
      <c r="J885" s="56">
        <f t="shared" ref="J885:AO885" si="285">J$880*$F$885</f>
        <v>0</v>
      </c>
      <c r="K885" s="56">
        <f t="shared" si="285"/>
        <v>0</v>
      </c>
      <c r="L885" s="56">
        <f t="shared" si="285"/>
        <v>0</v>
      </c>
      <c r="M885" s="56">
        <f t="shared" si="285"/>
        <v>0</v>
      </c>
      <c r="N885" s="56">
        <f t="shared" si="285"/>
        <v>0</v>
      </c>
      <c r="O885" s="56">
        <f t="shared" si="285"/>
        <v>0</v>
      </c>
      <c r="P885" s="56">
        <f t="shared" si="285"/>
        <v>0</v>
      </c>
      <c r="Q885" s="56">
        <f t="shared" si="285"/>
        <v>0</v>
      </c>
      <c r="R885" s="56">
        <f t="shared" si="285"/>
        <v>0</v>
      </c>
      <c r="S885" s="56">
        <f t="shared" si="285"/>
        <v>0</v>
      </c>
      <c r="T885" s="56">
        <f t="shared" si="285"/>
        <v>0</v>
      </c>
      <c r="U885" s="56">
        <f t="shared" si="285"/>
        <v>0</v>
      </c>
      <c r="V885" s="56">
        <f t="shared" si="285"/>
        <v>0</v>
      </c>
      <c r="W885" s="56">
        <f t="shared" si="285"/>
        <v>0</v>
      </c>
      <c r="X885" s="56">
        <f t="shared" si="285"/>
        <v>0</v>
      </c>
      <c r="Y885" s="56">
        <f t="shared" si="285"/>
        <v>0</v>
      </c>
      <c r="Z885" s="56">
        <f t="shared" si="285"/>
        <v>0</v>
      </c>
      <c r="AA885" s="56">
        <f t="shared" si="285"/>
        <v>0</v>
      </c>
      <c r="AB885" s="56">
        <f t="shared" si="285"/>
        <v>0</v>
      </c>
      <c r="AC885" s="56">
        <f t="shared" si="285"/>
        <v>0</v>
      </c>
      <c r="AD885" s="56">
        <f t="shared" si="285"/>
        <v>0</v>
      </c>
      <c r="AE885" s="56">
        <f t="shared" si="285"/>
        <v>0</v>
      </c>
      <c r="AF885" s="56">
        <f t="shared" si="285"/>
        <v>0</v>
      </c>
      <c r="AG885" s="56">
        <f t="shared" si="285"/>
        <v>0</v>
      </c>
      <c r="AH885" s="56">
        <f t="shared" si="285"/>
        <v>0</v>
      </c>
      <c r="AI885" s="56">
        <f t="shared" si="285"/>
        <v>0</v>
      </c>
      <c r="AJ885" s="56">
        <f t="shared" si="285"/>
        <v>0</v>
      </c>
      <c r="AK885" s="56">
        <f t="shared" si="285"/>
        <v>0</v>
      </c>
      <c r="AL885" s="56">
        <f t="shared" si="285"/>
        <v>0</v>
      </c>
      <c r="AM885" s="56">
        <f t="shared" si="285"/>
        <v>0</v>
      </c>
      <c r="AN885" s="56">
        <f t="shared" si="285"/>
        <v>0</v>
      </c>
      <c r="AO885" s="56">
        <f t="shared" si="285"/>
        <v>0</v>
      </c>
      <c r="AP885" s="29"/>
    </row>
    <row r="886" spans="1:42" outlineLevel="1" x14ac:dyDescent="0.25">
      <c r="A886" s="54"/>
      <c r="B886" s="13"/>
      <c r="C886" s="14" t="s">
        <v>212</v>
      </c>
      <c r="D886" s="14"/>
      <c r="E886" s="70" t="s">
        <v>352</v>
      </c>
      <c r="F886" s="201">
        <f>Data!E600/1000</f>
        <v>0</v>
      </c>
      <c r="G886" s="56"/>
      <c r="H886" s="56"/>
      <c r="I886" s="56">
        <f>I$880*$F$886</f>
        <v>0</v>
      </c>
      <c r="J886" s="56">
        <f t="shared" ref="J886:AO886" si="286">J$880*$F$886</f>
        <v>0</v>
      </c>
      <c r="K886" s="56">
        <f t="shared" si="286"/>
        <v>0</v>
      </c>
      <c r="L886" s="56">
        <f t="shared" si="286"/>
        <v>0</v>
      </c>
      <c r="M886" s="56">
        <f t="shared" si="286"/>
        <v>0</v>
      </c>
      <c r="N886" s="56">
        <f t="shared" si="286"/>
        <v>0</v>
      </c>
      <c r="O886" s="56">
        <f t="shared" si="286"/>
        <v>0</v>
      </c>
      <c r="P886" s="56">
        <f t="shared" si="286"/>
        <v>0</v>
      </c>
      <c r="Q886" s="56">
        <f t="shared" si="286"/>
        <v>0</v>
      </c>
      <c r="R886" s="56">
        <f t="shared" si="286"/>
        <v>0</v>
      </c>
      <c r="S886" s="56">
        <f t="shared" si="286"/>
        <v>0</v>
      </c>
      <c r="T886" s="56">
        <f t="shared" si="286"/>
        <v>0</v>
      </c>
      <c r="U886" s="56">
        <f t="shared" si="286"/>
        <v>0</v>
      </c>
      <c r="V886" s="56">
        <f t="shared" si="286"/>
        <v>0</v>
      </c>
      <c r="W886" s="56">
        <f t="shared" si="286"/>
        <v>0</v>
      </c>
      <c r="X886" s="56">
        <f t="shared" si="286"/>
        <v>0</v>
      </c>
      <c r="Y886" s="56">
        <f t="shared" si="286"/>
        <v>0</v>
      </c>
      <c r="Z886" s="56">
        <f t="shared" si="286"/>
        <v>0</v>
      </c>
      <c r="AA886" s="56">
        <f t="shared" si="286"/>
        <v>0</v>
      </c>
      <c r="AB886" s="56">
        <f t="shared" si="286"/>
        <v>0</v>
      </c>
      <c r="AC886" s="56">
        <f t="shared" si="286"/>
        <v>0</v>
      </c>
      <c r="AD886" s="56">
        <f t="shared" si="286"/>
        <v>0</v>
      </c>
      <c r="AE886" s="56">
        <f t="shared" si="286"/>
        <v>0</v>
      </c>
      <c r="AF886" s="56">
        <f t="shared" si="286"/>
        <v>0</v>
      </c>
      <c r="AG886" s="56">
        <f t="shared" si="286"/>
        <v>0</v>
      </c>
      <c r="AH886" s="56">
        <f t="shared" si="286"/>
        <v>0</v>
      </c>
      <c r="AI886" s="56">
        <f t="shared" si="286"/>
        <v>0</v>
      </c>
      <c r="AJ886" s="56">
        <f t="shared" si="286"/>
        <v>0</v>
      </c>
      <c r="AK886" s="56">
        <f t="shared" si="286"/>
        <v>0</v>
      </c>
      <c r="AL886" s="56">
        <f t="shared" si="286"/>
        <v>0</v>
      </c>
      <c r="AM886" s="56">
        <f t="shared" si="286"/>
        <v>0</v>
      </c>
      <c r="AN886" s="56">
        <f t="shared" si="286"/>
        <v>0</v>
      </c>
      <c r="AO886" s="56">
        <f t="shared" si="286"/>
        <v>0</v>
      </c>
      <c r="AP886" s="29"/>
    </row>
    <row r="887" spans="1:42" outlineLevel="1" x14ac:dyDescent="0.25">
      <c r="A887" s="54"/>
      <c r="B887" s="13"/>
      <c r="C887" s="14" t="s">
        <v>485</v>
      </c>
      <c r="D887" s="14"/>
      <c r="E887" s="70" t="s">
        <v>352</v>
      </c>
      <c r="F887" s="201">
        <f>Data!E601/1000</f>
        <v>0</v>
      </c>
      <c r="G887" s="56"/>
      <c r="H887" s="56"/>
      <c r="I887" s="56">
        <f>I$880*$F$887</f>
        <v>0</v>
      </c>
      <c r="J887" s="56">
        <f t="shared" ref="J887:AO887" si="287">J$880*$F$887</f>
        <v>0</v>
      </c>
      <c r="K887" s="56">
        <f t="shared" si="287"/>
        <v>0</v>
      </c>
      <c r="L887" s="56">
        <f t="shared" si="287"/>
        <v>0</v>
      </c>
      <c r="M887" s="56">
        <f t="shared" si="287"/>
        <v>0</v>
      </c>
      <c r="N887" s="56">
        <f t="shared" si="287"/>
        <v>0</v>
      </c>
      <c r="O887" s="56">
        <f t="shared" si="287"/>
        <v>0</v>
      </c>
      <c r="P887" s="56">
        <f t="shared" si="287"/>
        <v>0</v>
      </c>
      <c r="Q887" s="56">
        <f t="shared" si="287"/>
        <v>0</v>
      </c>
      <c r="R887" s="56">
        <f t="shared" si="287"/>
        <v>0</v>
      </c>
      <c r="S887" s="56">
        <f t="shared" si="287"/>
        <v>0</v>
      </c>
      <c r="T887" s="56">
        <f t="shared" si="287"/>
        <v>0</v>
      </c>
      <c r="U887" s="56">
        <f t="shared" si="287"/>
        <v>0</v>
      </c>
      <c r="V887" s="56">
        <f t="shared" si="287"/>
        <v>0</v>
      </c>
      <c r="W887" s="56">
        <f t="shared" si="287"/>
        <v>0</v>
      </c>
      <c r="X887" s="56">
        <f t="shared" si="287"/>
        <v>0</v>
      </c>
      <c r="Y887" s="56">
        <f t="shared" si="287"/>
        <v>0</v>
      </c>
      <c r="Z887" s="56">
        <f t="shared" si="287"/>
        <v>0</v>
      </c>
      <c r="AA887" s="56">
        <f t="shared" si="287"/>
        <v>0</v>
      </c>
      <c r="AB887" s="56">
        <f t="shared" si="287"/>
        <v>0</v>
      </c>
      <c r="AC887" s="56">
        <f t="shared" si="287"/>
        <v>0</v>
      </c>
      <c r="AD887" s="56">
        <f t="shared" si="287"/>
        <v>0</v>
      </c>
      <c r="AE887" s="56">
        <f t="shared" si="287"/>
        <v>0</v>
      </c>
      <c r="AF887" s="56">
        <f t="shared" si="287"/>
        <v>0</v>
      </c>
      <c r="AG887" s="56">
        <f t="shared" si="287"/>
        <v>0</v>
      </c>
      <c r="AH887" s="56">
        <f t="shared" si="287"/>
        <v>0</v>
      </c>
      <c r="AI887" s="56">
        <f t="shared" si="287"/>
        <v>0</v>
      </c>
      <c r="AJ887" s="56">
        <f t="shared" si="287"/>
        <v>0</v>
      </c>
      <c r="AK887" s="56">
        <f t="shared" si="287"/>
        <v>0</v>
      </c>
      <c r="AL887" s="56">
        <f t="shared" si="287"/>
        <v>0</v>
      </c>
      <c r="AM887" s="56">
        <f t="shared" si="287"/>
        <v>0</v>
      </c>
      <c r="AN887" s="56">
        <f t="shared" si="287"/>
        <v>0</v>
      </c>
      <c r="AO887" s="56">
        <f t="shared" si="287"/>
        <v>0</v>
      </c>
      <c r="AP887" s="29"/>
    </row>
    <row r="888" spans="1:42" outlineLevel="1" x14ac:dyDescent="0.25">
      <c r="A888" s="54"/>
      <c r="B888" s="13"/>
      <c r="C888" s="14" t="s">
        <v>214</v>
      </c>
      <c r="D888" s="14"/>
      <c r="E888" s="70" t="s">
        <v>352</v>
      </c>
      <c r="F888" s="201">
        <f>Data!E602/1000</f>
        <v>7.7953456755433772E-5</v>
      </c>
      <c r="G888" s="56"/>
      <c r="H888" s="56"/>
      <c r="I888" s="56">
        <f>I$880*$F$888</f>
        <v>7.2964435523086006</v>
      </c>
      <c r="J888" s="56">
        <f t="shared" ref="J888:AO888" si="288">J$880*$F$888</f>
        <v>7.2964435523086006</v>
      </c>
      <c r="K888" s="56">
        <f t="shared" si="288"/>
        <v>7.2964435523086006</v>
      </c>
      <c r="L888" s="56">
        <f t="shared" si="288"/>
        <v>7.2964435523086006</v>
      </c>
      <c r="M888" s="56">
        <f t="shared" si="288"/>
        <v>7.2964435523086006</v>
      </c>
      <c r="N888" s="56">
        <f t="shared" si="288"/>
        <v>7.2964435523086006</v>
      </c>
      <c r="O888" s="56">
        <f t="shared" si="288"/>
        <v>7.2964435523086006</v>
      </c>
      <c r="P888" s="56">
        <f t="shared" si="288"/>
        <v>7.2964435523086006</v>
      </c>
      <c r="Q888" s="56">
        <f t="shared" si="288"/>
        <v>7.2964435523086006</v>
      </c>
      <c r="R888" s="56">
        <f t="shared" si="288"/>
        <v>7.2964435523086006</v>
      </c>
      <c r="S888" s="56">
        <f t="shared" si="288"/>
        <v>7.2964435523086006</v>
      </c>
      <c r="T888" s="56">
        <f t="shared" si="288"/>
        <v>7.2964435523086006</v>
      </c>
      <c r="U888" s="56">
        <f t="shared" si="288"/>
        <v>7.2964435523086006</v>
      </c>
      <c r="V888" s="56">
        <f t="shared" si="288"/>
        <v>7.2964435523086006</v>
      </c>
      <c r="W888" s="56">
        <f t="shared" si="288"/>
        <v>7.2964435523086006</v>
      </c>
      <c r="X888" s="56">
        <f t="shared" si="288"/>
        <v>7.2964435523086006</v>
      </c>
      <c r="Y888" s="56">
        <f t="shared" si="288"/>
        <v>7.2964435523086006</v>
      </c>
      <c r="Z888" s="56">
        <f t="shared" si="288"/>
        <v>7.2964435523086006</v>
      </c>
      <c r="AA888" s="56">
        <f t="shared" si="288"/>
        <v>7.2964435523086006</v>
      </c>
      <c r="AB888" s="56">
        <f t="shared" si="288"/>
        <v>7.2964435523086006</v>
      </c>
      <c r="AC888" s="56">
        <f t="shared" si="288"/>
        <v>0</v>
      </c>
      <c r="AD888" s="56">
        <f t="shared" si="288"/>
        <v>0</v>
      </c>
      <c r="AE888" s="56">
        <f t="shared" si="288"/>
        <v>0</v>
      </c>
      <c r="AF888" s="56">
        <f t="shared" si="288"/>
        <v>0</v>
      </c>
      <c r="AG888" s="56">
        <f t="shared" si="288"/>
        <v>0</v>
      </c>
      <c r="AH888" s="56">
        <f t="shared" si="288"/>
        <v>0</v>
      </c>
      <c r="AI888" s="56">
        <f t="shared" si="288"/>
        <v>0</v>
      </c>
      <c r="AJ888" s="56">
        <f t="shared" si="288"/>
        <v>0</v>
      </c>
      <c r="AK888" s="56">
        <f t="shared" si="288"/>
        <v>0</v>
      </c>
      <c r="AL888" s="56">
        <f t="shared" si="288"/>
        <v>0</v>
      </c>
      <c r="AM888" s="56">
        <f t="shared" si="288"/>
        <v>0</v>
      </c>
      <c r="AN888" s="56">
        <f t="shared" si="288"/>
        <v>0</v>
      </c>
      <c r="AO888" s="56">
        <f t="shared" si="288"/>
        <v>0</v>
      </c>
      <c r="AP888" s="29"/>
    </row>
    <row r="889" spans="1:42" outlineLevel="1" x14ac:dyDescent="0.25">
      <c r="A889" s="12"/>
      <c r="B889" s="13"/>
      <c r="C889" s="14"/>
      <c r="D889" s="14"/>
      <c r="E889" s="15"/>
      <c r="F889" s="16"/>
      <c r="G889" s="159"/>
      <c r="H889" s="159"/>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14"/>
    </row>
    <row r="890" spans="1:42" outlineLevel="1" x14ac:dyDescent="0.25">
      <c r="A890" s="54"/>
      <c r="B890" s="13"/>
      <c r="C890" s="14" t="s">
        <v>205</v>
      </c>
      <c r="D890" s="14"/>
      <c r="E890" s="70" t="s">
        <v>474</v>
      </c>
      <c r="F890" s="200">
        <f>Data!$E$35/1000</f>
        <v>3.4099438202247192E-3</v>
      </c>
      <c r="G890" s="56"/>
      <c r="H890" s="56"/>
      <c r="I890" s="56">
        <f>I882*F890</f>
        <v>0</v>
      </c>
      <c r="J890" s="56">
        <f t="shared" ref="J890" si="289">J882*G890</f>
        <v>0</v>
      </c>
      <c r="K890" s="56">
        <f t="shared" ref="K890" si="290">K882*H890</f>
        <v>0</v>
      </c>
      <c r="L890" s="56">
        <f t="shared" ref="L890" si="291">L882*I890</f>
        <v>0</v>
      </c>
      <c r="M890" s="56">
        <f t="shared" ref="M890" si="292">M882*J890</f>
        <v>0</v>
      </c>
      <c r="N890" s="56">
        <f t="shared" ref="N890" si="293">N882*K890</f>
        <v>0</v>
      </c>
      <c r="O890" s="56">
        <f t="shared" ref="O890" si="294">O882*L890</f>
        <v>0</v>
      </c>
      <c r="P890" s="56">
        <f t="shared" ref="P890" si="295">P882*M890</f>
        <v>0</v>
      </c>
      <c r="Q890" s="56">
        <f t="shared" ref="Q890" si="296">Q882*N890</f>
        <v>0</v>
      </c>
      <c r="R890" s="56">
        <f t="shared" ref="R890" si="297">R882*O890</f>
        <v>0</v>
      </c>
      <c r="S890" s="56">
        <f t="shared" ref="S890" si="298">S882*P890</f>
        <v>0</v>
      </c>
      <c r="T890" s="56">
        <f t="shared" ref="T890" si="299">T882*Q890</f>
        <v>0</v>
      </c>
      <c r="U890" s="56">
        <f t="shared" ref="U890" si="300">U882*R890</f>
        <v>0</v>
      </c>
      <c r="V890" s="56">
        <f t="shared" ref="V890" si="301">V882*S890</f>
        <v>0</v>
      </c>
      <c r="W890" s="56">
        <f t="shared" ref="W890" si="302">W882*T890</f>
        <v>0</v>
      </c>
      <c r="X890" s="56">
        <f t="shared" ref="X890" si="303">X882*U890</f>
        <v>0</v>
      </c>
      <c r="Y890" s="56">
        <f t="shared" ref="Y890" si="304">Y882*V890</f>
        <v>0</v>
      </c>
      <c r="Z890" s="56">
        <f t="shared" ref="Z890" si="305">Z882*W890</f>
        <v>0</v>
      </c>
      <c r="AA890" s="56">
        <f t="shared" ref="AA890" si="306">AA882*X890</f>
        <v>0</v>
      </c>
      <c r="AB890" s="56">
        <f t="shared" ref="AB890" si="307">AB882*Y890</f>
        <v>0</v>
      </c>
      <c r="AC890" s="56">
        <f t="shared" ref="AC890" si="308">AC882*Z890</f>
        <v>0</v>
      </c>
      <c r="AD890" s="56">
        <f t="shared" ref="AD890" si="309">AD882*AA890</f>
        <v>0</v>
      </c>
      <c r="AE890" s="56">
        <f t="shared" ref="AE890" si="310">AE882*AB890</f>
        <v>0</v>
      </c>
      <c r="AF890" s="56">
        <f t="shared" ref="AF890" si="311">AF882*AC890</f>
        <v>0</v>
      </c>
      <c r="AG890" s="56">
        <f t="shared" ref="AG890" si="312">AG882*AD890</f>
        <v>0</v>
      </c>
      <c r="AH890" s="56">
        <f t="shared" ref="AH890" si="313">AH882*AE890</f>
        <v>0</v>
      </c>
      <c r="AI890" s="56">
        <f t="shared" ref="AI890" si="314">AI882*AF890</f>
        <v>0</v>
      </c>
      <c r="AJ890" s="56">
        <f t="shared" ref="AJ890" si="315">AJ882*AG890</f>
        <v>0</v>
      </c>
      <c r="AK890" s="56">
        <f t="shared" ref="AK890" si="316">AK882*AH890</f>
        <v>0</v>
      </c>
      <c r="AL890" s="56">
        <f t="shared" ref="AL890" si="317">AL882*AI890</f>
        <v>0</v>
      </c>
      <c r="AM890" s="56">
        <f t="shared" ref="AM890" si="318">AM882*AJ890</f>
        <v>0</v>
      </c>
      <c r="AN890" s="56">
        <f t="shared" ref="AN890" si="319">AN882*AK890</f>
        <v>0</v>
      </c>
      <c r="AO890" s="56">
        <f t="shared" ref="AO890" si="320">AO882*AL890</f>
        <v>0</v>
      </c>
      <c r="AP890" s="29"/>
    </row>
    <row r="891" spans="1:42" outlineLevel="1" x14ac:dyDescent="0.25">
      <c r="A891" s="54"/>
      <c r="B891" s="13"/>
      <c r="C891" s="14" t="s">
        <v>484</v>
      </c>
      <c r="D891" s="14"/>
      <c r="E891" s="70" t="s">
        <v>474</v>
      </c>
      <c r="F891" s="200"/>
      <c r="G891" s="56"/>
      <c r="H891" s="56"/>
      <c r="I891" s="56">
        <f>I883*Data!H$16/1000</f>
        <v>1321.8318147663438</v>
      </c>
      <c r="J891" s="56">
        <f>J883*Data!I$16/1000</f>
        <v>1458.1031358762762</v>
      </c>
      <c r="K891" s="56">
        <f>K883*Data!J$16/1000</f>
        <v>1580.7473248752151</v>
      </c>
      <c r="L891" s="56">
        <f>L883*Data!K$16/1000</f>
        <v>1717.0186459851475</v>
      </c>
      <c r="M891" s="56">
        <f>M883*Data!L$16/1000</f>
        <v>1853.2899670950799</v>
      </c>
      <c r="N891" s="56">
        <f>N883*Data!M$16/1000</f>
        <v>1989.5612882050123</v>
      </c>
      <c r="O891" s="56">
        <f>O883*Data!N$16/1000</f>
        <v>2112.2054772039514</v>
      </c>
      <c r="P891" s="56">
        <f>P883*Data!O$16/1000</f>
        <v>2193.9682698699107</v>
      </c>
      <c r="Q891" s="56">
        <f>Q883*Data!P$16/1000</f>
        <v>2275.73106253587</v>
      </c>
      <c r="R891" s="56">
        <f>R883*Data!Q$16/1000</f>
        <v>2371.1209873128228</v>
      </c>
      <c r="S891" s="56">
        <f>S883*Data!R$16/1000</f>
        <v>2452.8837799787821</v>
      </c>
      <c r="T891" s="56">
        <f>T883*Data!S$16/1000</f>
        <v>2534.6465726447418</v>
      </c>
      <c r="U891" s="56">
        <f>U883*Data!T$16/1000</f>
        <v>2616.4093653107011</v>
      </c>
      <c r="V891" s="56">
        <f>V883*Data!U$16/1000</f>
        <v>2698.1721579766604</v>
      </c>
      <c r="W891" s="56">
        <f>W883*Data!V$16/1000</f>
        <v>2779.9349506426197</v>
      </c>
      <c r="X891" s="56">
        <f>X883*Data!W$16/1000</f>
        <v>2861.697743308579</v>
      </c>
      <c r="Y891" s="56">
        <f>Y883*Data!X$16/1000</f>
        <v>2943.4605359745383</v>
      </c>
      <c r="Z891" s="56">
        <f>Z883*Data!Y$16/1000</f>
        <v>3025.2233286404976</v>
      </c>
      <c r="AA891" s="56">
        <f>AA883*Data!Z$16/1000</f>
        <v>3106.9861213064573</v>
      </c>
      <c r="AB891" s="56">
        <f>AB883*Data!AA$16/1000</f>
        <v>3202.3760460834096</v>
      </c>
      <c r="AC891" s="56">
        <f>AC883*Data!AB$16/1000</f>
        <v>0</v>
      </c>
      <c r="AD891" s="56">
        <f>AD883*Data!AC$16/1000</f>
        <v>0</v>
      </c>
      <c r="AE891" s="56">
        <f>AE883*Data!AD$16/1000</f>
        <v>0</v>
      </c>
      <c r="AF891" s="56">
        <f>AF883*Data!AE$16/1000</f>
        <v>0</v>
      </c>
      <c r="AG891" s="56">
        <f>AG883*Data!AF$16/1000</f>
        <v>0</v>
      </c>
      <c r="AH891" s="56">
        <f>AH883*Data!AG$16/1000</f>
        <v>0</v>
      </c>
      <c r="AI891" s="56">
        <f>AI883*Data!AH$16/1000</f>
        <v>0</v>
      </c>
      <c r="AJ891" s="56">
        <f>AJ883*Data!AI$16/1000</f>
        <v>0</v>
      </c>
      <c r="AK891" s="56">
        <f>AK883*Data!AJ$16/1000</f>
        <v>0</v>
      </c>
      <c r="AL891" s="56">
        <f>AL883*Data!AK$16/1000</f>
        <v>0</v>
      </c>
      <c r="AM891" s="56">
        <f>AM883*Data!AL$16/1000</f>
        <v>0</v>
      </c>
      <c r="AN891" s="56">
        <f>AN883*Data!AM$16/1000</f>
        <v>0</v>
      </c>
      <c r="AO891" s="56">
        <f>AO883*Data!AN$16/1000</f>
        <v>0</v>
      </c>
      <c r="AP891" s="29"/>
    </row>
    <row r="892" spans="1:42" outlineLevel="1" x14ac:dyDescent="0.25">
      <c r="A892" s="54"/>
      <c r="B892" s="13"/>
      <c r="C892" s="14" t="s">
        <v>285</v>
      </c>
      <c r="D892" s="14"/>
      <c r="E892" s="70" t="s">
        <v>474</v>
      </c>
      <c r="F892" s="200">
        <f>Data!$E$36/1000</f>
        <v>1.0822865168539326</v>
      </c>
      <c r="G892" s="56"/>
      <c r="H892" s="56"/>
      <c r="I892" s="56">
        <f>I884*$F$892</f>
        <v>0</v>
      </c>
      <c r="J892" s="56">
        <f t="shared" ref="J892:AO892" si="321">J884*$F$892</f>
        <v>0</v>
      </c>
      <c r="K892" s="56">
        <f t="shared" si="321"/>
        <v>0</v>
      </c>
      <c r="L892" s="56">
        <f t="shared" si="321"/>
        <v>0</v>
      </c>
      <c r="M892" s="56">
        <f t="shared" si="321"/>
        <v>0</v>
      </c>
      <c r="N892" s="56">
        <f t="shared" si="321"/>
        <v>0</v>
      </c>
      <c r="O892" s="56">
        <f t="shared" si="321"/>
        <v>0</v>
      </c>
      <c r="P892" s="56">
        <f t="shared" si="321"/>
        <v>0</v>
      </c>
      <c r="Q892" s="56">
        <f t="shared" si="321"/>
        <v>0</v>
      </c>
      <c r="R892" s="56">
        <f t="shared" si="321"/>
        <v>0</v>
      </c>
      <c r="S892" s="56">
        <f t="shared" si="321"/>
        <v>0</v>
      </c>
      <c r="T892" s="56">
        <f t="shared" si="321"/>
        <v>0</v>
      </c>
      <c r="U892" s="56">
        <f t="shared" si="321"/>
        <v>0</v>
      </c>
      <c r="V892" s="56">
        <f t="shared" si="321"/>
        <v>0</v>
      </c>
      <c r="W892" s="56">
        <f t="shared" si="321"/>
        <v>0</v>
      </c>
      <c r="X892" s="56">
        <f t="shared" si="321"/>
        <v>0</v>
      </c>
      <c r="Y892" s="56">
        <f t="shared" si="321"/>
        <v>0</v>
      </c>
      <c r="Z892" s="56">
        <f t="shared" si="321"/>
        <v>0</v>
      </c>
      <c r="AA892" s="56">
        <f t="shared" si="321"/>
        <v>0</v>
      </c>
      <c r="AB892" s="56">
        <f t="shared" si="321"/>
        <v>0</v>
      </c>
      <c r="AC892" s="56">
        <f t="shared" si="321"/>
        <v>0</v>
      </c>
      <c r="AD892" s="56">
        <f t="shared" si="321"/>
        <v>0</v>
      </c>
      <c r="AE892" s="56">
        <f t="shared" si="321"/>
        <v>0</v>
      </c>
      <c r="AF892" s="56">
        <f t="shared" si="321"/>
        <v>0</v>
      </c>
      <c r="AG892" s="56">
        <f t="shared" si="321"/>
        <v>0</v>
      </c>
      <c r="AH892" s="56">
        <f t="shared" si="321"/>
        <v>0</v>
      </c>
      <c r="AI892" s="56">
        <f t="shared" si="321"/>
        <v>0</v>
      </c>
      <c r="AJ892" s="56">
        <f t="shared" si="321"/>
        <v>0</v>
      </c>
      <c r="AK892" s="56">
        <f t="shared" si="321"/>
        <v>0</v>
      </c>
      <c r="AL892" s="56">
        <f t="shared" si="321"/>
        <v>0</v>
      </c>
      <c r="AM892" s="56">
        <f t="shared" si="321"/>
        <v>0</v>
      </c>
      <c r="AN892" s="56">
        <f t="shared" si="321"/>
        <v>0</v>
      </c>
      <c r="AO892" s="56">
        <f t="shared" si="321"/>
        <v>0</v>
      </c>
      <c r="AP892" s="29"/>
    </row>
    <row r="893" spans="1:42" outlineLevel="1" x14ac:dyDescent="0.25">
      <c r="A893" s="54"/>
      <c r="B893" s="13"/>
      <c r="C893" s="14" t="s">
        <v>220</v>
      </c>
      <c r="D893" s="14"/>
      <c r="E893" s="70" t="s">
        <v>474</v>
      </c>
      <c r="F893" s="200">
        <f>Data!$E$37/1000</f>
        <v>371.00188764044947</v>
      </c>
      <c r="G893" s="56"/>
      <c r="H893" s="56"/>
      <c r="I893" s="56">
        <f>I885*$F$893</f>
        <v>0</v>
      </c>
      <c r="J893" s="56">
        <f t="shared" ref="J893:AO893" si="322">J885*$F$893</f>
        <v>0</v>
      </c>
      <c r="K893" s="56">
        <f t="shared" si="322"/>
        <v>0</v>
      </c>
      <c r="L893" s="56">
        <f t="shared" si="322"/>
        <v>0</v>
      </c>
      <c r="M893" s="56">
        <f t="shared" si="322"/>
        <v>0</v>
      </c>
      <c r="N893" s="56">
        <f t="shared" si="322"/>
        <v>0</v>
      </c>
      <c r="O893" s="56">
        <f t="shared" si="322"/>
        <v>0</v>
      </c>
      <c r="P893" s="56">
        <f t="shared" si="322"/>
        <v>0</v>
      </c>
      <c r="Q893" s="56">
        <f t="shared" si="322"/>
        <v>0</v>
      </c>
      <c r="R893" s="56">
        <f t="shared" si="322"/>
        <v>0</v>
      </c>
      <c r="S893" s="56">
        <f t="shared" si="322"/>
        <v>0</v>
      </c>
      <c r="T893" s="56">
        <f t="shared" si="322"/>
        <v>0</v>
      </c>
      <c r="U893" s="56">
        <f t="shared" si="322"/>
        <v>0</v>
      </c>
      <c r="V893" s="56">
        <f t="shared" si="322"/>
        <v>0</v>
      </c>
      <c r="W893" s="56">
        <f t="shared" si="322"/>
        <v>0</v>
      </c>
      <c r="X893" s="56">
        <f t="shared" si="322"/>
        <v>0</v>
      </c>
      <c r="Y893" s="56">
        <f t="shared" si="322"/>
        <v>0</v>
      </c>
      <c r="Z893" s="56">
        <f t="shared" si="322"/>
        <v>0</v>
      </c>
      <c r="AA893" s="56">
        <f t="shared" si="322"/>
        <v>0</v>
      </c>
      <c r="AB893" s="56">
        <f t="shared" si="322"/>
        <v>0</v>
      </c>
      <c r="AC893" s="56">
        <f t="shared" si="322"/>
        <v>0</v>
      </c>
      <c r="AD893" s="56">
        <f t="shared" si="322"/>
        <v>0</v>
      </c>
      <c r="AE893" s="56">
        <f t="shared" si="322"/>
        <v>0</v>
      </c>
      <c r="AF893" s="56">
        <f t="shared" si="322"/>
        <v>0</v>
      </c>
      <c r="AG893" s="56">
        <f t="shared" si="322"/>
        <v>0</v>
      </c>
      <c r="AH893" s="56">
        <f t="shared" si="322"/>
        <v>0</v>
      </c>
      <c r="AI893" s="56">
        <f t="shared" si="322"/>
        <v>0</v>
      </c>
      <c r="AJ893" s="56">
        <f t="shared" si="322"/>
        <v>0</v>
      </c>
      <c r="AK893" s="56">
        <f t="shared" si="322"/>
        <v>0</v>
      </c>
      <c r="AL893" s="56">
        <f t="shared" si="322"/>
        <v>0</v>
      </c>
      <c r="AM893" s="56">
        <f t="shared" si="322"/>
        <v>0</v>
      </c>
      <c r="AN893" s="56">
        <f t="shared" si="322"/>
        <v>0</v>
      </c>
      <c r="AO893" s="56">
        <f t="shared" si="322"/>
        <v>0</v>
      </c>
      <c r="AP893" s="29"/>
    </row>
    <row r="894" spans="1:42" outlineLevel="1" x14ac:dyDescent="0.25">
      <c r="A894" s="54"/>
      <c r="B894" s="13"/>
      <c r="C894" s="14" t="s">
        <v>212</v>
      </c>
      <c r="D894" s="14"/>
      <c r="E894" s="70" t="s">
        <v>474</v>
      </c>
      <c r="F894" s="200">
        <f>Data!$E$39/1000</f>
        <v>0</v>
      </c>
      <c r="G894" s="56"/>
      <c r="H894" s="56"/>
      <c r="I894" s="56">
        <f>I886*$F$894</f>
        <v>0</v>
      </c>
      <c r="J894" s="56">
        <f t="shared" ref="J894:AO894" si="323">J886*$F$894</f>
        <v>0</v>
      </c>
      <c r="K894" s="56">
        <f t="shared" si="323"/>
        <v>0</v>
      </c>
      <c r="L894" s="56">
        <f t="shared" si="323"/>
        <v>0</v>
      </c>
      <c r="M894" s="56">
        <f t="shared" si="323"/>
        <v>0</v>
      </c>
      <c r="N894" s="56">
        <f t="shared" si="323"/>
        <v>0</v>
      </c>
      <c r="O894" s="56">
        <f t="shared" si="323"/>
        <v>0</v>
      </c>
      <c r="P894" s="56">
        <f t="shared" si="323"/>
        <v>0</v>
      </c>
      <c r="Q894" s="56">
        <f t="shared" si="323"/>
        <v>0</v>
      </c>
      <c r="R894" s="56">
        <f t="shared" si="323"/>
        <v>0</v>
      </c>
      <c r="S894" s="56">
        <f t="shared" si="323"/>
        <v>0</v>
      </c>
      <c r="T894" s="56">
        <f t="shared" si="323"/>
        <v>0</v>
      </c>
      <c r="U894" s="56">
        <f t="shared" si="323"/>
        <v>0</v>
      </c>
      <c r="V894" s="56">
        <f t="shared" si="323"/>
        <v>0</v>
      </c>
      <c r="W894" s="56">
        <f t="shared" si="323"/>
        <v>0</v>
      </c>
      <c r="X894" s="56">
        <f t="shared" si="323"/>
        <v>0</v>
      </c>
      <c r="Y894" s="56">
        <f t="shared" si="323"/>
        <v>0</v>
      </c>
      <c r="Z894" s="56">
        <f t="shared" si="323"/>
        <v>0</v>
      </c>
      <c r="AA894" s="56">
        <f t="shared" si="323"/>
        <v>0</v>
      </c>
      <c r="AB894" s="56">
        <f t="shared" si="323"/>
        <v>0</v>
      </c>
      <c r="AC894" s="56">
        <f t="shared" si="323"/>
        <v>0</v>
      </c>
      <c r="AD894" s="56">
        <f t="shared" si="323"/>
        <v>0</v>
      </c>
      <c r="AE894" s="56">
        <f t="shared" si="323"/>
        <v>0</v>
      </c>
      <c r="AF894" s="56">
        <f t="shared" si="323"/>
        <v>0</v>
      </c>
      <c r="AG894" s="56">
        <f t="shared" si="323"/>
        <v>0</v>
      </c>
      <c r="AH894" s="56">
        <f t="shared" si="323"/>
        <v>0</v>
      </c>
      <c r="AI894" s="56">
        <f t="shared" si="323"/>
        <v>0</v>
      </c>
      <c r="AJ894" s="56">
        <f t="shared" si="323"/>
        <v>0</v>
      </c>
      <c r="AK894" s="56">
        <f t="shared" si="323"/>
        <v>0</v>
      </c>
      <c r="AL894" s="56">
        <f t="shared" si="323"/>
        <v>0</v>
      </c>
      <c r="AM894" s="56">
        <f t="shared" si="323"/>
        <v>0</v>
      </c>
      <c r="AN894" s="56">
        <f t="shared" si="323"/>
        <v>0</v>
      </c>
      <c r="AO894" s="56">
        <f t="shared" si="323"/>
        <v>0</v>
      </c>
      <c r="AP894" s="29"/>
    </row>
    <row r="895" spans="1:42" outlineLevel="1" x14ac:dyDescent="0.25">
      <c r="A895" s="54"/>
      <c r="B895" s="13"/>
      <c r="C895" s="14" t="s">
        <v>485</v>
      </c>
      <c r="D895" s="14"/>
      <c r="E895" s="70" t="s">
        <v>474</v>
      </c>
      <c r="F895" s="200">
        <f>Data!$E$40/1000</f>
        <v>605.20914606741576</v>
      </c>
      <c r="G895" s="56"/>
      <c r="H895" s="56"/>
      <c r="I895" s="56">
        <f>I887*$F$895</f>
        <v>0</v>
      </c>
      <c r="J895" s="56">
        <f t="shared" ref="J895:AO895" si="324">J887*$F$895</f>
        <v>0</v>
      </c>
      <c r="K895" s="56">
        <f t="shared" si="324"/>
        <v>0</v>
      </c>
      <c r="L895" s="56">
        <f t="shared" si="324"/>
        <v>0</v>
      </c>
      <c r="M895" s="56">
        <f t="shared" si="324"/>
        <v>0</v>
      </c>
      <c r="N895" s="56">
        <f t="shared" si="324"/>
        <v>0</v>
      </c>
      <c r="O895" s="56">
        <f t="shared" si="324"/>
        <v>0</v>
      </c>
      <c r="P895" s="56">
        <f t="shared" si="324"/>
        <v>0</v>
      </c>
      <c r="Q895" s="56">
        <f t="shared" si="324"/>
        <v>0</v>
      </c>
      <c r="R895" s="56">
        <f t="shared" si="324"/>
        <v>0</v>
      </c>
      <c r="S895" s="56">
        <f t="shared" si="324"/>
        <v>0</v>
      </c>
      <c r="T895" s="56">
        <f t="shared" si="324"/>
        <v>0</v>
      </c>
      <c r="U895" s="56">
        <f t="shared" si="324"/>
        <v>0</v>
      </c>
      <c r="V895" s="56">
        <f t="shared" si="324"/>
        <v>0</v>
      </c>
      <c r="W895" s="56">
        <f t="shared" si="324"/>
        <v>0</v>
      </c>
      <c r="X895" s="56">
        <f t="shared" si="324"/>
        <v>0</v>
      </c>
      <c r="Y895" s="56">
        <f t="shared" si="324"/>
        <v>0</v>
      </c>
      <c r="Z895" s="56">
        <f t="shared" si="324"/>
        <v>0</v>
      </c>
      <c r="AA895" s="56">
        <f t="shared" si="324"/>
        <v>0</v>
      </c>
      <c r="AB895" s="56">
        <f t="shared" si="324"/>
        <v>0</v>
      </c>
      <c r="AC895" s="56">
        <f t="shared" si="324"/>
        <v>0</v>
      </c>
      <c r="AD895" s="56">
        <f t="shared" si="324"/>
        <v>0</v>
      </c>
      <c r="AE895" s="56">
        <f t="shared" si="324"/>
        <v>0</v>
      </c>
      <c r="AF895" s="56">
        <f t="shared" si="324"/>
        <v>0</v>
      </c>
      <c r="AG895" s="56">
        <f t="shared" si="324"/>
        <v>0</v>
      </c>
      <c r="AH895" s="56">
        <f t="shared" si="324"/>
        <v>0</v>
      </c>
      <c r="AI895" s="56">
        <f t="shared" si="324"/>
        <v>0</v>
      </c>
      <c r="AJ895" s="56">
        <f t="shared" si="324"/>
        <v>0</v>
      </c>
      <c r="AK895" s="56">
        <f t="shared" si="324"/>
        <v>0</v>
      </c>
      <c r="AL895" s="56">
        <f t="shared" si="324"/>
        <v>0</v>
      </c>
      <c r="AM895" s="56">
        <f t="shared" si="324"/>
        <v>0</v>
      </c>
      <c r="AN895" s="56">
        <f t="shared" si="324"/>
        <v>0</v>
      </c>
      <c r="AO895" s="56">
        <f t="shared" si="324"/>
        <v>0</v>
      </c>
      <c r="AP895" s="29"/>
    </row>
    <row r="896" spans="1:42" outlineLevel="1" x14ac:dyDescent="0.25">
      <c r="A896" s="54"/>
      <c r="B896" s="13"/>
      <c r="C896" s="14" t="s">
        <v>214</v>
      </c>
      <c r="D896" s="14"/>
      <c r="E896" s="70" t="s">
        <v>474</v>
      </c>
      <c r="F896" s="200">
        <f>Data!$E$41/1000</f>
        <v>0</v>
      </c>
      <c r="G896" s="56"/>
      <c r="H896" s="56"/>
      <c r="I896" s="56">
        <f>I888*$F$896</f>
        <v>0</v>
      </c>
      <c r="J896" s="56">
        <f t="shared" ref="J896:AO896" si="325">J888*$F$896</f>
        <v>0</v>
      </c>
      <c r="K896" s="56">
        <f t="shared" si="325"/>
        <v>0</v>
      </c>
      <c r="L896" s="56">
        <f t="shared" si="325"/>
        <v>0</v>
      </c>
      <c r="M896" s="56">
        <f t="shared" si="325"/>
        <v>0</v>
      </c>
      <c r="N896" s="56">
        <f t="shared" si="325"/>
        <v>0</v>
      </c>
      <c r="O896" s="56">
        <f t="shared" si="325"/>
        <v>0</v>
      </c>
      <c r="P896" s="56">
        <f t="shared" si="325"/>
        <v>0</v>
      </c>
      <c r="Q896" s="56">
        <f t="shared" si="325"/>
        <v>0</v>
      </c>
      <c r="R896" s="56">
        <f t="shared" si="325"/>
        <v>0</v>
      </c>
      <c r="S896" s="56">
        <f t="shared" si="325"/>
        <v>0</v>
      </c>
      <c r="T896" s="56">
        <f t="shared" si="325"/>
        <v>0</v>
      </c>
      <c r="U896" s="56">
        <f t="shared" si="325"/>
        <v>0</v>
      </c>
      <c r="V896" s="56">
        <f t="shared" si="325"/>
        <v>0</v>
      </c>
      <c r="W896" s="56">
        <f t="shared" si="325"/>
        <v>0</v>
      </c>
      <c r="X896" s="56">
        <f t="shared" si="325"/>
        <v>0</v>
      </c>
      <c r="Y896" s="56">
        <f t="shared" si="325"/>
        <v>0</v>
      </c>
      <c r="Z896" s="56">
        <f t="shared" si="325"/>
        <v>0</v>
      </c>
      <c r="AA896" s="56">
        <f t="shared" si="325"/>
        <v>0</v>
      </c>
      <c r="AB896" s="56">
        <f t="shared" si="325"/>
        <v>0</v>
      </c>
      <c r="AC896" s="56">
        <f t="shared" si="325"/>
        <v>0</v>
      </c>
      <c r="AD896" s="56">
        <f t="shared" si="325"/>
        <v>0</v>
      </c>
      <c r="AE896" s="56">
        <f t="shared" si="325"/>
        <v>0</v>
      </c>
      <c r="AF896" s="56">
        <f t="shared" si="325"/>
        <v>0</v>
      </c>
      <c r="AG896" s="56">
        <f t="shared" si="325"/>
        <v>0</v>
      </c>
      <c r="AH896" s="56">
        <f t="shared" si="325"/>
        <v>0</v>
      </c>
      <c r="AI896" s="56">
        <f t="shared" si="325"/>
        <v>0</v>
      </c>
      <c r="AJ896" s="56">
        <f t="shared" si="325"/>
        <v>0</v>
      </c>
      <c r="AK896" s="56">
        <f t="shared" si="325"/>
        <v>0</v>
      </c>
      <c r="AL896" s="56">
        <f t="shared" si="325"/>
        <v>0</v>
      </c>
      <c r="AM896" s="56">
        <f t="shared" si="325"/>
        <v>0</v>
      </c>
      <c r="AN896" s="56">
        <f t="shared" si="325"/>
        <v>0</v>
      </c>
      <c r="AO896" s="56">
        <f t="shared" si="325"/>
        <v>0</v>
      </c>
      <c r="AP896" s="29"/>
    </row>
    <row r="897" spans="1:42" outlineLevel="1" x14ac:dyDescent="0.25">
      <c r="A897" s="12"/>
      <c r="B897" s="13"/>
      <c r="C897" s="20" t="s">
        <v>536</v>
      </c>
      <c r="D897" s="14"/>
      <c r="E897" s="70" t="s">
        <v>474</v>
      </c>
      <c r="F897" s="16"/>
      <c r="G897" s="159"/>
      <c r="H897" s="185"/>
      <c r="I897" s="185">
        <f t="shared" ref="I897:J897" si="326">SUM(I890:I896)</f>
        <v>1321.8318147663438</v>
      </c>
      <c r="J897" s="185">
        <f t="shared" si="326"/>
        <v>1458.1031358762762</v>
      </c>
      <c r="K897" s="185">
        <f t="shared" ref="K897" si="327">SUM(K890:K896)</f>
        <v>1580.7473248752151</v>
      </c>
      <c r="L897" s="185">
        <f t="shared" ref="L897" si="328">SUM(L890:L896)</f>
        <v>1717.0186459851475</v>
      </c>
      <c r="M897" s="185">
        <f t="shared" ref="M897" si="329">SUM(M890:M896)</f>
        <v>1853.2899670950799</v>
      </c>
      <c r="N897" s="185">
        <f t="shared" ref="N897" si="330">SUM(N890:N896)</f>
        <v>1989.5612882050123</v>
      </c>
      <c r="O897" s="185">
        <f t="shared" ref="O897" si="331">SUM(O890:O896)</f>
        <v>2112.2054772039514</v>
      </c>
      <c r="P897" s="185">
        <f t="shared" ref="P897" si="332">SUM(P890:P896)</f>
        <v>2193.9682698699107</v>
      </c>
      <c r="Q897" s="185">
        <f t="shared" ref="Q897" si="333">SUM(Q890:Q896)</f>
        <v>2275.73106253587</v>
      </c>
      <c r="R897" s="185">
        <f t="shared" ref="R897" si="334">SUM(R890:R896)</f>
        <v>2371.1209873128228</v>
      </c>
      <c r="S897" s="185">
        <f t="shared" ref="S897" si="335">SUM(S890:S896)</f>
        <v>2452.8837799787821</v>
      </c>
      <c r="T897" s="185">
        <f t="shared" ref="T897" si="336">SUM(T890:T896)</f>
        <v>2534.6465726447418</v>
      </c>
      <c r="U897" s="185">
        <f t="shared" ref="U897" si="337">SUM(U890:U896)</f>
        <v>2616.4093653107011</v>
      </c>
      <c r="V897" s="185">
        <f t="shared" ref="V897" si="338">SUM(V890:V896)</f>
        <v>2698.1721579766604</v>
      </c>
      <c r="W897" s="185">
        <f t="shared" ref="W897" si="339">SUM(W890:W896)</f>
        <v>2779.9349506426197</v>
      </c>
      <c r="X897" s="185">
        <f t="shared" ref="X897" si="340">SUM(X890:X896)</f>
        <v>2861.697743308579</v>
      </c>
      <c r="Y897" s="185">
        <f t="shared" ref="Y897" si="341">SUM(Y890:Y896)</f>
        <v>2943.4605359745383</v>
      </c>
      <c r="Z897" s="185">
        <f t="shared" ref="Z897" si="342">SUM(Z890:Z896)</f>
        <v>3025.2233286404976</v>
      </c>
      <c r="AA897" s="185">
        <f t="shared" ref="AA897" si="343">SUM(AA890:AA896)</f>
        <v>3106.9861213064573</v>
      </c>
      <c r="AB897" s="185">
        <f t="shared" ref="AB897" si="344">SUM(AB890:AB896)</f>
        <v>3202.3760460834096</v>
      </c>
      <c r="AC897" s="185">
        <f t="shared" ref="AC897" si="345">SUM(AC890:AC896)</f>
        <v>0</v>
      </c>
      <c r="AD897" s="185">
        <f t="shared" ref="AD897" si="346">SUM(AD890:AD896)</f>
        <v>0</v>
      </c>
      <c r="AE897" s="185">
        <f t="shared" ref="AE897" si="347">SUM(AE890:AE896)</f>
        <v>0</v>
      </c>
      <c r="AF897" s="185">
        <f t="shared" ref="AF897" si="348">SUM(AF890:AF896)</f>
        <v>0</v>
      </c>
      <c r="AG897" s="185">
        <f t="shared" ref="AG897" si="349">SUM(AG890:AG896)</f>
        <v>0</v>
      </c>
      <c r="AH897" s="185">
        <f t="shared" ref="AH897" si="350">SUM(AH890:AH896)</f>
        <v>0</v>
      </c>
      <c r="AI897" s="185">
        <f t="shared" ref="AI897" si="351">SUM(AI890:AI896)</f>
        <v>0</v>
      </c>
      <c r="AJ897" s="185">
        <f t="shared" ref="AJ897" si="352">SUM(AJ890:AJ896)</f>
        <v>0</v>
      </c>
      <c r="AK897" s="185">
        <f t="shared" ref="AK897" si="353">SUM(AK890:AK896)</f>
        <v>0</v>
      </c>
      <c r="AL897" s="185">
        <f t="shared" ref="AL897" si="354">SUM(AL890:AL896)</f>
        <v>0</v>
      </c>
      <c r="AM897" s="185">
        <f t="shared" ref="AM897" si="355">SUM(AM890:AM896)</f>
        <v>0</v>
      </c>
      <c r="AN897" s="185">
        <f t="shared" ref="AN897" si="356">SUM(AN890:AN896)</f>
        <v>0</v>
      </c>
      <c r="AO897" s="185">
        <f t="shared" ref="AO897" si="357">SUM(AO890:AO896)</f>
        <v>0</v>
      </c>
      <c r="AP897" s="14"/>
    </row>
    <row r="898" spans="1:42" outlineLevel="1" x14ac:dyDescent="0.25">
      <c r="A898" s="12"/>
      <c r="B898" s="13"/>
      <c r="C898" s="14"/>
      <c r="D898" s="14"/>
      <c r="E898" s="15"/>
      <c r="F898" s="16"/>
      <c r="G898" s="159"/>
      <c r="H898" s="159"/>
      <c r="I898" s="185"/>
      <c r="J898" s="159"/>
      <c r="K898" s="159"/>
      <c r="L898" s="159"/>
      <c r="M898" s="159"/>
      <c r="N898" s="159"/>
      <c r="O898" s="159"/>
      <c r="P898" s="159"/>
      <c r="Q898" s="159"/>
      <c r="R898" s="159"/>
      <c r="S898" s="159"/>
      <c r="T898" s="159"/>
      <c r="U898" s="159"/>
      <c r="V898" s="159"/>
      <c r="W898" s="159"/>
      <c r="X898" s="14"/>
      <c r="Y898" s="14"/>
      <c r="Z898" s="14"/>
      <c r="AA898" s="14"/>
      <c r="AB898" s="14"/>
      <c r="AC898" s="14"/>
      <c r="AD898" s="14"/>
      <c r="AE898" s="14"/>
      <c r="AF898" s="14"/>
      <c r="AG898" s="14"/>
      <c r="AH898" s="14"/>
      <c r="AI898" s="14"/>
      <c r="AJ898" s="14"/>
      <c r="AK898" s="14"/>
      <c r="AL898" s="14"/>
      <c r="AM898" s="14"/>
      <c r="AN898" s="14"/>
      <c r="AO898" s="14"/>
      <c r="AP898" s="14"/>
    </row>
    <row r="899" spans="1:42" outlineLevel="1" x14ac:dyDescent="0.25">
      <c r="A899" s="12"/>
      <c r="B899" s="13"/>
      <c r="C899" s="14" t="s">
        <v>523</v>
      </c>
      <c r="D899" s="14"/>
      <c r="E899" s="15" t="s">
        <v>474</v>
      </c>
      <c r="F899" s="48"/>
      <c r="G899" s="185"/>
      <c r="H899" s="185"/>
      <c r="I899" s="185">
        <f>I897*Data!H$9</f>
        <v>1270.9921295830227</v>
      </c>
      <c r="J899" s="185">
        <f>J897*Data!I$9</f>
        <v>1348.0983134950777</v>
      </c>
      <c r="K899" s="185">
        <f>K897*Data!J$9</f>
        <v>1405.2786157928558</v>
      </c>
      <c r="L899" s="185">
        <f>L897*Data!K$9</f>
        <v>1467.7147346642889</v>
      </c>
      <c r="M899" s="185">
        <f>M897*Data!L$9</f>
        <v>1523.2692606405928</v>
      </c>
      <c r="N899" s="185">
        <f>N897*Data!M$9</f>
        <v>1572.379185898802</v>
      </c>
      <c r="O899" s="185">
        <f>O897*Data!N$9</f>
        <v>1605.1025672702474</v>
      </c>
      <c r="P899" s="185">
        <f>P897*Data!O$9</f>
        <v>1603.1111248790928</v>
      </c>
      <c r="Q899" s="185">
        <f>Q897*Data!P$9</f>
        <v>1598.8984582824203</v>
      </c>
      <c r="R899" s="185">
        <f>R897*Data!Q$9</f>
        <v>1601.8443789793939</v>
      </c>
      <c r="S899" s="185">
        <f>S897*Data!R$9</f>
        <v>1593.3465308150471</v>
      </c>
      <c r="T899" s="185">
        <f>T897*Data!S$9</f>
        <v>1583.1327710021299</v>
      </c>
      <c r="U899" s="185">
        <f>U897*Data!T$9</f>
        <v>1571.3476635256873</v>
      </c>
      <c r="V899" s="185">
        <f>V897*Data!U$9</f>
        <v>1558.1271903950626</v>
      </c>
      <c r="W899" s="185">
        <f>W897*Data!V$9</f>
        <v>1543.5991979438263</v>
      </c>
      <c r="X899" s="185">
        <f>X897*Data!W$9</f>
        <v>1527.8838214941716</v>
      </c>
      <c r="Y899" s="185">
        <f>Y897*Data!X$9</f>
        <v>1511.0938893898401</v>
      </c>
      <c r="Z899" s="185">
        <f>Z897*Data!Y$9</f>
        <v>1493.3353073564122</v>
      </c>
      <c r="AA899" s="185">
        <f>AA897*Data!Z$9</f>
        <v>1474.7074241045652</v>
      </c>
      <c r="AB899" s="185">
        <f>AB897*Data!AA$9</f>
        <v>1461.5226242601755</v>
      </c>
      <c r="AC899" s="185">
        <f>AC897*Data!AB$9</f>
        <v>0</v>
      </c>
      <c r="AD899" s="185">
        <f>AD897*Data!AC$9</f>
        <v>0</v>
      </c>
      <c r="AE899" s="185">
        <f>AE897*Data!AD$9</f>
        <v>0</v>
      </c>
      <c r="AF899" s="185">
        <f>AF897*Data!AE$9</f>
        <v>0</v>
      </c>
      <c r="AG899" s="185">
        <f>AG897*Data!AF$9</f>
        <v>0</v>
      </c>
      <c r="AH899" s="185">
        <f>AH897*Data!AG$9</f>
        <v>0</v>
      </c>
      <c r="AI899" s="185">
        <f>AI897*Data!AH$9</f>
        <v>0</v>
      </c>
      <c r="AJ899" s="185">
        <f>AJ897*Data!AI$9</f>
        <v>0</v>
      </c>
      <c r="AK899" s="185">
        <f>AK897*Data!AJ$9</f>
        <v>0</v>
      </c>
      <c r="AL899" s="185">
        <f>AL897*Data!AK$9</f>
        <v>0</v>
      </c>
      <c r="AM899" s="185">
        <f>AM897*Data!AL$9</f>
        <v>0</v>
      </c>
      <c r="AN899" s="185">
        <f>AN897*Data!AM$9</f>
        <v>0</v>
      </c>
      <c r="AO899" s="185">
        <f>AO897*Data!AN$9</f>
        <v>0</v>
      </c>
      <c r="AP899" s="14"/>
    </row>
    <row r="900" spans="1:42" outlineLevel="1" x14ac:dyDescent="0.25">
      <c r="A900" s="12"/>
      <c r="B900" s="13"/>
      <c r="C900" s="14" t="s">
        <v>489</v>
      </c>
      <c r="D900" s="13"/>
      <c r="E900" s="15" t="s">
        <v>142</v>
      </c>
      <c r="F900" s="16"/>
      <c r="G900" s="159">
        <f>SUM(H899:AO899)</f>
        <v>30314.785189772716</v>
      </c>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row>
    <row r="901" spans="1:42" outlineLevel="1" x14ac:dyDescent="0.25">
      <c r="A901" s="12"/>
      <c r="B901" s="13"/>
      <c r="C901" s="41" t="s">
        <v>62</v>
      </c>
      <c r="D901" s="41"/>
      <c r="E901" s="15" t="s">
        <v>261</v>
      </c>
      <c r="F901" s="16"/>
      <c r="G901" s="184">
        <f>G900/(SUM(H880:AO880))</f>
        <v>1.6193795507357219E-2</v>
      </c>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7"/>
    </row>
    <row r="902" spans="1:42" outlineLevel="1" x14ac:dyDescent="0.25">
      <c r="A902" s="12"/>
      <c r="B902" s="13"/>
      <c r="C902" s="14"/>
      <c r="D902" s="14"/>
      <c r="E902" s="15"/>
      <c r="F902" s="16"/>
      <c r="G902" s="14"/>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17"/>
    </row>
    <row r="903" spans="1:42" outlineLevel="1" x14ac:dyDescent="0.25">
      <c r="A903" s="12"/>
      <c r="B903" s="13"/>
      <c r="C903" s="45"/>
      <c r="D903" s="45"/>
      <c r="E903" s="15"/>
      <c r="F903" s="16"/>
      <c r="G903" s="14"/>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9"/>
    </row>
    <row r="904" spans="1:42" outlineLevel="1" x14ac:dyDescent="0.25">
      <c r="A904" s="12"/>
      <c r="B904" s="13"/>
      <c r="C904" s="37" t="s">
        <v>578</v>
      </c>
      <c r="D904" s="37"/>
      <c r="E904" s="38"/>
      <c r="F904" s="39"/>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17"/>
    </row>
    <row r="905" spans="1:42" outlineLevel="1" x14ac:dyDescent="0.25">
      <c r="A905" s="12"/>
      <c r="B905" s="13"/>
      <c r="C905" s="14"/>
      <c r="D905" s="14"/>
      <c r="E905" s="15"/>
      <c r="F905" s="16"/>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7"/>
    </row>
    <row r="906" spans="1:42" outlineLevel="1" x14ac:dyDescent="0.25">
      <c r="A906" s="12"/>
      <c r="B906" s="13"/>
      <c r="C906" s="20" t="s">
        <v>252</v>
      </c>
      <c r="D906" s="14"/>
      <c r="E906" s="15"/>
      <c r="F906" s="16"/>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row>
    <row r="907" spans="1:42" outlineLevel="1" x14ac:dyDescent="0.25">
      <c r="A907" s="12"/>
      <c r="B907" s="13"/>
      <c r="C907" t="s">
        <v>520</v>
      </c>
      <c r="D907" s="14"/>
      <c r="E907" s="15" t="s">
        <v>521</v>
      </c>
      <c r="F907" s="16"/>
      <c r="G907" s="14"/>
      <c r="H907" s="141"/>
      <c r="I907" s="141">
        <f t="shared" ref="I907:AO907" si="358">I657</f>
        <v>93600</v>
      </c>
      <c r="J907" s="141">
        <f t="shared" si="358"/>
        <v>93600</v>
      </c>
      <c r="K907" s="141">
        <f t="shared" si="358"/>
        <v>93600</v>
      </c>
      <c r="L907" s="141">
        <f t="shared" si="358"/>
        <v>93600</v>
      </c>
      <c r="M907" s="141">
        <f t="shared" si="358"/>
        <v>93600</v>
      </c>
      <c r="N907" s="141">
        <f t="shared" si="358"/>
        <v>93600</v>
      </c>
      <c r="O907" s="141">
        <f t="shared" si="358"/>
        <v>93600</v>
      </c>
      <c r="P907" s="141">
        <f t="shared" si="358"/>
        <v>93600</v>
      </c>
      <c r="Q907" s="141">
        <f t="shared" si="358"/>
        <v>93600</v>
      </c>
      <c r="R907" s="141">
        <f t="shared" si="358"/>
        <v>93600</v>
      </c>
      <c r="S907" s="141">
        <f t="shared" si="358"/>
        <v>93600</v>
      </c>
      <c r="T907" s="141">
        <f t="shared" si="358"/>
        <v>93600</v>
      </c>
      <c r="U907" s="141">
        <f t="shared" si="358"/>
        <v>0</v>
      </c>
      <c r="V907" s="141">
        <f t="shared" si="358"/>
        <v>0</v>
      </c>
      <c r="W907" s="141">
        <f t="shared" si="358"/>
        <v>0</v>
      </c>
      <c r="X907" s="141">
        <f t="shared" si="358"/>
        <v>0</v>
      </c>
      <c r="Y907" s="141">
        <f t="shared" si="358"/>
        <v>0</v>
      </c>
      <c r="Z907" s="141">
        <f t="shared" si="358"/>
        <v>0</v>
      </c>
      <c r="AA907" s="141">
        <f t="shared" si="358"/>
        <v>0</v>
      </c>
      <c r="AB907" s="141">
        <f t="shared" si="358"/>
        <v>0</v>
      </c>
      <c r="AC907" s="141">
        <f t="shared" si="358"/>
        <v>0</v>
      </c>
      <c r="AD907" s="141">
        <f t="shared" si="358"/>
        <v>0</v>
      </c>
      <c r="AE907" s="141">
        <f t="shared" si="358"/>
        <v>0</v>
      </c>
      <c r="AF907" s="141">
        <f t="shared" si="358"/>
        <v>0</v>
      </c>
      <c r="AG907" s="141">
        <f t="shared" si="358"/>
        <v>0</v>
      </c>
      <c r="AH907" s="141">
        <f t="shared" si="358"/>
        <v>0</v>
      </c>
      <c r="AI907" s="141">
        <f t="shared" si="358"/>
        <v>0</v>
      </c>
      <c r="AJ907" s="141">
        <f t="shared" si="358"/>
        <v>0</v>
      </c>
      <c r="AK907" s="141">
        <f t="shared" si="358"/>
        <v>0</v>
      </c>
      <c r="AL907" s="141">
        <f t="shared" si="358"/>
        <v>0</v>
      </c>
      <c r="AM907" s="141">
        <f t="shared" si="358"/>
        <v>0</v>
      </c>
      <c r="AN907" s="141">
        <f t="shared" si="358"/>
        <v>0</v>
      </c>
      <c r="AO907" s="141">
        <f t="shared" si="358"/>
        <v>0</v>
      </c>
      <c r="AP907" s="14"/>
    </row>
    <row r="908" spans="1:42" outlineLevel="1" x14ac:dyDescent="0.25">
      <c r="A908" s="12"/>
      <c r="B908" s="13"/>
      <c r="C908" s="14" t="s">
        <v>535</v>
      </c>
      <c r="D908" s="14"/>
      <c r="E908" s="15"/>
      <c r="F908" s="16"/>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159"/>
      <c r="AG908" s="14"/>
      <c r="AH908" s="14"/>
      <c r="AI908" s="14"/>
      <c r="AJ908" s="14"/>
      <c r="AK908" s="14"/>
      <c r="AL908" s="14"/>
      <c r="AM908" s="14"/>
      <c r="AN908" s="14"/>
      <c r="AO908" s="14"/>
      <c r="AP908" s="14"/>
    </row>
    <row r="909" spans="1:42" ht="14.25" customHeight="1" outlineLevel="1" x14ac:dyDescent="0.25">
      <c r="A909" s="54"/>
      <c r="B909" s="13"/>
      <c r="C909" s="14" t="s">
        <v>205</v>
      </c>
      <c r="D909" s="14"/>
      <c r="E909" s="70" t="s">
        <v>352</v>
      </c>
      <c r="F909" s="200">
        <f>Data!E556/1000</f>
        <v>3.0107355222942197E-3</v>
      </c>
      <c r="G909" s="56"/>
      <c r="H909" s="56"/>
      <c r="I909" s="56">
        <f>I$907*$F$909</f>
        <v>281.80484488673898</v>
      </c>
      <c r="J909" s="56">
        <f t="shared" ref="J909:AP909" si="359">J$907*$F$909</f>
        <v>281.80484488673898</v>
      </c>
      <c r="K909" s="56">
        <f t="shared" si="359"/>
        <v>281.80484488673898</v>
      </c>
      <c r="L909" s="56">
        <f t="shared" si="359"/>
        <v>281.80484488673898</v>
      </c>
      <c r="M909" s="56">
        <f t="shared" si="359"/>
        <v>281.80484488673898</v>
      </c>
      <c r="N909" s="56">
        <f t="shared" si="359"/>
        <v>281.80484488673898</v>
      </c>
      <c r="O909" s="56">
        <f t="shared" si="359"/>
        <v>281.80484488673898</v>
      </c>
      <c r="P909" s="56">
        <f t="shared" si="359"/>
        <v>281.80484488673898</v>
      </c>
      <c r="Q909" s="56">
        <f t="shared" si="359"/>
        <v>281.80484488673898</v>
      </c>
      <c r="R909" s="56">
        <f t="shared" si="359"/>
        <v>281.80484488673898</v>
      </c>
      <c r="S909" s="56">
        <f t="shared" si="359"/>
        <v>281.80484488673898</v>
      </c>
      <c r="T909" s="56">
        <f t="shared" si="359"/>
        <v>281.80484488673898</v>
      </c>
      <c r="U909" s="56">
        <f t="shared" si="359"/>
        <v>0</v>
      </c>
      <c r="V909" s="56">
        <f t="shared" si="359"/>
        <v>0</v>
      </c>
      <c r="W909" s="56">
        <f t="shared" si="359"/>
        <v>0</v>
      </c>
      <c r="X909" s="56">
        <f t="shared" si="359"/>
        <v>0</v>
      </c>
      <c r="Y909" s="56">
        <f t="shared" si="359"/>
        <v>0</v>
      </c>
      <c r="Z909" s="56">
        <f t="shared" si="359"/>
        <v>0</v>
      </c>
      <c r="AA909" s="56">
        <f t="shared" si="359"/>
        <v>0</v>
      </c>
      <c r="AB909" s="56">
        <f t="shared" si="359"/>
        <v>0</v>
      </c>
      <c r="AC909" s="56">
        <f t="shared" si="359"/>
        <v>0</v>
      </c>
      <c r="AD909" s="56">
        <f t="shared" si="359"/>
        <v>0</v>
      </c>
      <c r="AE909" s="56">
        <f t="shared" si="359"/>
        <v>0</v>
      </c>
      <c r="AF909" s="56">
        <f t="shared" si="359"/>
        <v>0</v>
      </c>
      <c r="AG909" s="56">
        <f t="shared" si="359"/>
        <v>0</v>
      </c>
      <c r="AH909" s="56">
        <f t="shared" si="359"/>
        <v>0</v>
      </c>
      <c r="AI909" s="56">
        <f t="shared" si="359"/>
        <v>0</v>
      </c>
      <c r="AJ909" s="56">
        <f t="shared" si="359"/>
        <v>0</v>
      </c>
      <c r="AK909" s="56">
        <f t="shared" si="359"/>
        <v>0</v>
      </c>
      <c r="AL909" s="56">
        <f t="shared" si="359"/>
        <v>0</v>
      </c>
      <c r="AM909" s="56">
        <f t="shared" si="359"/>
        <v>0</v>
      </c>
      <c r="AN909" s="56">
        <f t="shared" si="359"/>
        <v>0</v>
      </c>
      <c r="AO909" s="56">
        <f t="shared" si="359"/>
        <v>0</v>
      </c>
      <c r="AP909" s="56">
        <f t="shared" si="359"/>
        <v>0</v>
      </c>
    </row>
    <row r="910" spans="1:42" outlineLevel="1" x14ac:dyDescent="0.25">
      <c r="A910" s="54"/>
      <c r="B910" s="13"/>
      <c r="C910" s="14" t="s">
        <v>484</v>
      </c>
      <c r="D910" s="14"/>
      <c r="E910" s="70" t="s">
        <v>352</v>
      </c>
      <c r="F910" s="200">
        <f>Data!E557/1000</f>
        <v>2.2565026878869472</v>
      </c>
      <c r="G910" s="56"/>
      <c r="H910" s="56"/>
      <c r="I910" s="56">
        <f>I$907*$F$910</f>
        <v>211208.65158621827</v>
      </c>
      <c r="J910" s="56">
        <f t="shared" ref="J910:AP910" si="360">J$907*$F$910</f>
        <v>211208.65158621827</v>
      </c>
      <c r="K910" s="56">
        <f t="shared" si="360"/>
        <v>211208.65158621827</v>
      </c>
      <c r="L910" s="56">
        <f t="shared" si="360"/>
        <v>211208.65158621827</v>
      </c>
      <c r="M910" s="56">
        <f t="shared" si="360"/>
        <v>211208.65158621827</v>
      </c>
      <c r="N910" s="56">
        <f t="shared" si="360"/>
        <v>211208.65158621827</v>
      </c>
      <c r="O910" s="56">
        <f t="shared" si="360"/>
        <v>211208.65158621827</v>
      </c>
      <c r="P910" s="56">
        <f t="shared" si="360"/>
        <v>211208.65158621827</v>
      </c>
      <c r="Q910" s="56">
        <f t="shared" si="360"/>
        <v>211208.65158621827</v>
      </c>
      <c r="R910" s="56">
        <f t="shared" si="360"/>
        <v>211208.65158621827</v>
      </c>
      <c r="S910" s="56">
        <f t="shared" si="360"/>
        <v>211208.65158621827</v>
      </c>
      <c r="T910" s="56">
        <f t="shared" si="360"/>
        <v>211208.65158621827</v>
      </c>
      <c r="U910" s="56">
        <f t="shared" si="360"/>
        <v>0</v>
      </c>
      <c r="V910" s="56">
        <f t="shared" si="360"/>
        <v>0</v>
      </c>
      <c r="W910" s="56">
        <f t="shared" si="360"/>
        <v>0</v>
      </c>
      <c r="X910" s="56">
        <f t="shared" si="360"/>
        <v>0</v>
      </c>
      <c r="Y910" s="56">
        <f t="shared" si="360"/>
        <v>0</v>
      </c>
      <c r="Z910" s="56">
        <f t="shared" si="360"/>
        <v>0</v>
      </c>
      <c r="AA910" s="56">
        <f t="shared" si="360"/>
        <v>0</v>
      </c>
      <c r="AB910" s="56">
        <f t="shared" si="360"/>
        <v>0</v>
      </c>
      <c r="AC910" s="56">
        <f t="shared" si="360"/>
        <v>0</v>
      </c>
      <c r="AD910" s="56">
        <f t="shared" si="360"/>
        <v>0</v>
      </c>
      <c r="AE910" s="56">
        <f t="shared" si="360"/>
        <v>0</v>
      </c>
      <c r="AF910" s="56">
        <f t="shared" si="360"/>
        <v>0</v>
      </c>
      <c r="AG910" s="56">
        <f t="shared" si="360"/>
        <v>0</v>
      </c>
      <c r="AH910" s="56">
        <f t="shared" si="360"/>
        <v>0</v>
      </c>
      <c r="AI910" s="56">
        <f t="shared" si="360"/>
        <v>0</v>
      </c>
      <c r="AJ910" s="56">
        <f t="shared" si="360"/>
        <v>0</v>
      </c>
      <c r="AK910" s="56">
        <f t="shared" si="360"/>
        <v>0</v>
      </c>
      <c r="AL910" s="56">
        <f t="shared" si="360"/>
        <v>0</v>
      </c>
      <c r="AM910" s="56">
        <f t="shared" si="360"/>
        <v>0</v>
      </c>
      <c r="AN910" s="56">
        <f t="shared" si="360"/>
        <v>0</v>
      </c>
      <c r="AO910" s="56">
        <f t="shared" si="360"/>
        <v>0</v>
      </c>
      <c r="AP910" s="56">
        <f t="shared" si="360"/>
        <v>0</v>
      </c>
    </row>
    <row r="911" spans="1:42" outlineLevel="1" x14ac:dyDescent="0.25">
      <c r="A911" s="54"/>
      <c r="B911" s="13"/>
      <c r="C911" s="14" t="s">
        <v>285</v>
      </c>
      <c r="D911" s="14"/>
      <c r="E911" s="70" t="s">
        <v>352</v>
      </c>
      <c r="F911" s="200">
        <f>Data!E558/1000</f>
        <v>2.4674863588574204E-4</v>
      </c>
      <c r="G911" s="56"/>
      <c r="H911" s="56"/>
      <c r="I911" s="56">
        <f>I$907*$F$911</f>
        <v>23.095672318905454</v>
      </c>
      <c r="J911" s="56">
        <f t="shared" ref="J911:AP911" si="361">J$907*$F$911</f>
        <v>23.095672318905454</v>
      </c>
      <c r="K911" s="56">
        <f t="shared" si="361"/>
        <v>23.095672318905454</v>
      </c>
      <c r="L911" s="56">
        <f t="shared" si="361"/>
        <v>23.095672318905454</v>
      </c>
      <c r="M911" s="56">
        <f t="shared" si="361"/>
        <v>23.095672318905454</v>
      </c>
      <c r="N911" s="56">
        <f t="shared" si="361"/>
        <v>23.095672318905454</v>
      </c>
      <c r="O911" s="56">
        <f t="shared" si="361"/>
        <v>23.095672318905454</v>
      </c>
      <c r="P911" s="56">
        <f t="shared" si="361"/>
        <v>23.095672318905454</v>
      </c>
      <c r="Q911" s="56">
        <f t="shared" si="361"/>
        <v>23.095672318905454</v>
      </c>
      <c r="R911" s="56">
        <f t="shared" si="361"/>
        <v>23.095672318905454</v>
      </c>
      <c r="S911" s="56">
        <f t="shared" si="361"/>
        <v>23.095672318905454</v>
      </c>
      <c r="T911" s="56">
        <f t="shared" si="361"/>
        <v>23.095672318905454</v>
      </c>
      <c r="U911" s="56">
        <f t="shared" si="361"/>
        <v>0</v>
      </c>
      <c r="V911" s="56">
        <f t="shared" si="361"/>
        <v>0</v>
      </c>
      <c r="W911" s="56">
        <f t="shared" si="361"/>
        <v>0</v>
      </c>
      <c r="X911" s="56">
        <f t="shared" si="361"/>
        <v>0</v>
      </c>
      <c r="Y911" s="56">
        <f t="shared" si="361"/>
        <v>0</v>
      </c>
      <c r="Z911" s="56">
        <f t="shared" si="361"/>
        <v>0</v>
      </c>
      <c r="AA911" s="56">
        <f t="shared" si="361"/>
        <v>0</v>
      </c>
      <c r="AB911" s="56">
        <f t="shared" si="361"/>
        <v>0</v>
      </c>
      <c r="AC911" s="56">
        <f t="shared" si="361"/>
        <v>0</v>
      </c>
      <c r="AD911" s="56">
        <f t="shared" si="361"/>
        <v>0</v>
      </c>
      <c r="AE911" s="56">
        <f t="shared" si="361"/>
        <v>0</v>
      </c>
      <c r="AF911" s="56">
        <f t="shared" si="361"/>
        <v>0</v>
      </c>
      <c r="AG911" s="56">
        <f t="shared" si="361"/>
        <v>0</v>
      </c>
      <c r="AH911" s="56">
        <f t="shared" si="361"/>
        <v>0</v>
      </c>
      <c r="AI911" s="56">
        <f t="shared" si="361"/>
        <v>0</v>
      </c>
      <c r="AJ911" s="56">
        <f t="shared" si="361"/>
        <v>0</v>
      </c>
      <c r="AK911" s="56">
        <f t="shared" si="361"/>
        <v>0</v>
      </c>
      <c r="AL911" s="56">
        <f t="shared" si="361"/>
        <v>0</v>
      </c>
      <c r="AM911" s="56">
        <f t="shared" si="361"/>
        <v>0</v>
      </c>
      <c r="AN911" s="56">
        <f t="shared" si="361"/>
        <v>0</v>
      </c>
      <c r="AO911" s="56">
        <f t="shared" si="361"/>
        <v>0</v>
      </c>
      <c r="AP911" s="56">
        <f t="shared" si="361"/>
        <v>0</v>
      </c>
    </row>
    <row r="912" spans="1:42" outlineLevel="1" x14ac:dyDescent="0.25">
      <c r="A912" s="54"/>
      <c r="B912" s="13"/>
      <c r="C912" s="14" t="s">
        <v>220</v>
      </c>
      <c r="D912" s="14"/>
      <c r="E912" s="70" t="s">
        <v>352</v>
      </c>
      <c r="F912" s="200">
        <f>Data!E559/1000</f>
        <v>1.0386979165916608E-2</v>
      </c>
      <c r="G912" s="56"/>
      <c r="H912" s="56"/>
      <c r="I912" s="56">
        <f>I$907*$F$912</f>
        <v>972.22124992979445</v>
      </c>
      <c r="J912" s="56">
        <f t="shared" ref="J912:AP912" si="362">J$907*$F$912</f>
        <v>972.22124992979445</v>
      </c>
      <c r="K912" s="56">
        <f t="shared" si="362"/>
        <v>972.22124992979445</v>
      </c>
      <c r="L912" s="56">
        <f t="shared" si="362"/>
        <v>972.22124992979445</v>
      </c>
      <c r="M912" s="56">
        <f t="shared" si="362"/>
        <v>972.22124992979445</v>
      </c>
      <c r="N912" s="56">
        <f t="shared" si="362"/>
        <v>972.22124992979445</v>
      </c>
      <c r="O912" s="56">
        <f t="shared" si="362"/>
        <v>972.22124992979445</v>
      </c>
      <c r="P912" s="56">
        <f t="shared" si="362"/>
        <v>972.22124992979445</v>
      </c>
      <c r="Q912" s="56">
        <f t="shared" si="362"/>
        <v>972.22124992979445</v>
      </c>
      <c r="R912" s="56">
        <f t="shared" si="362"/>
        <v>972.22124992979445</v>
      </c>
      <c r="S912" s="56">
        <f t="shared" si="362"/>
        <v>972.22124992979445</v>
      </c>
      <c r="T912" s="56">
        <f t="shared" si="362"/>
        <v>972.22124992979445</v>
      </c>
      <c r="U912" s="56">
        <f t="shared" si="362"/>
        <v>0</v>
      </c>
      <c r="V912" s="56">
        <f t="shared" si="362"/>
        <v>0</v>
      </c>
      <c r="W912" s="56">
        <f t="shared" si="362"/>
        <v>0</v>
      </c>
      <c r="X912" s="56">
        <f t="shared" si="362"/>
        <v>0</v>
      </c>
      <c r="Y912" s="56">
        <f t="shared" si="362"/>
        <v>0</v>
      </c>
      <c r="Z912" s="56">
        <f t="shared" si="362"/>
        <v>0</v>
      </c>
      <c r="AA912" s="56">
        <f t="shared" si="362"/>
        <v>0</v>
      </c>
      <c r="AB912" s="56">
        <f t="shared" si="362"/>
        <v>0</v>
      </c>
      <c r="AC912" s="56">
        <f t="shared" si="362"/>
        <v>0</v>
      </c>
      <c r="AD912" s="56">
        <f t="shared" si="362"/>
        <v>0</v>
      </c>
      <c r="AE912" s="56">
        <f t="shared" si="362"/>
        <v>0</v>
      </c>
      <c r="AF912" s="56">
        <f t="shared" si="362"/>
        <v>0</v>
      </c>
      <c r="AG912" s="56">
        <f t="shared" si="362"/>
        <v>0</v>
      </c>
      <c r="AH912" s="56">
        <f t="shared" si="362"/>
        <v>0</v>
      </c>
      <c r="AI912" s="56">
        <f t="shared" si="362"/>
        <v>0</v>
      </c>
      <c r="AJ912" s="56">
        <f t="shared" si="362"/>
        <v>0</v>
      </c>
      <c r="AK912" s="56">
        <f t="shared" si="362"/>
        <v>0</v>
      </c>
      <c r="AL912" s="56">
        <f t="shared" si="362"/>
        <v>0</v>
      </c>
      <c r="AM912" s="56">
        <f t="shared" si="362"/>
        <v>0</v>
      </c>
      <c r="AN912" s="56">
        <f t="shared" si="362"/>
        <v>0</v>
      </c>
      <c r="AO912" s="56">
        <f t="shared" si="362"/>
        <v>0</v>
      </c>
      <c r="AP912" s="56">
        <f t="shared" si="362"/>
        <v>0</v>
      </c>
    </row>
    <row r="913" spans="1:42" outlineLevel="1" x14ac:dyDescent="0.25">
      <c r="A913" s="54"/>
      <c r="B913" s="13"/>
      <c r="C913" s="14" t="s">
        <v>212</v>
      </c>
      <c r="D913" s="14"/>
      <c r="E913" s="70" t="s">
        <v>352</v>
      </c>
      <c r="F913" s="200">
        <f>Data!E560/1000</f>
        <v>1.200162949787418E-3</v>
      </c>
      <c r="G913" s="56"/>
      <c r="H913" s="56"/>
      <c r="I913" s="56">
        <f>I$907*$F$913</f>
        <v>112.33525210010232</v>
      </c>
      <c r="J913" s="56">
        <f t="shared" ref="J913:AP913" si="363">J$907*$F$913</f>
        <v>112.33525210010232</v>
      </c>
      <c r="K913" s="56">
        <f t="shared" si="363"/>
        <v>112.33525210010232</v>
      </c>
      <c r="L913" s="56">
        <f t="shared" si="363"/>
        <v>112.33525210010232</v>
      </c>
      <c r="M913" s="56">
        <f t="shared" si="363"/>
        <v>112.33525210010232</v>
      </c>
      <c r="N913" s="56">
        <f t="shared" si="363"/>
        <v>112.33525210010232</v>
      </c>
      <c r="O913" s="56">
        <f t="shared" si="363"/>
        <v>112.33525210010232</v>
      </c>
      <c r="P913" s="56">
        <f t="shared" si="363"/>
        <v>112.33525210010232</v>
      </c>
      <c r="Q913" s="56">
        <f t="shared" si="363"/>
        <v>112.33525210010232</v>
      </c>
      <c r="R913" s="56">
        <f t="shared" si="363"/>
        <v>112.33525210010232</v>
      </c>
      <c r="S913" s="56">
        <f t="shared" si="363"/>
        <v>112.33525210010232</v>
      </c>
      <c r="T913" s="56">
        <f t="shared" si="363"/>
        <v>112.33525210010232</v>
      </c>
      <c r="U913" s="56">
        <f t="shared" si="363"/>
        <v>0</v>
      </c>
      <c r="V913" s="56">
        <f t="shared" si="363"/>
        <v>0</v>
      </c>
      <c r="W913" s="56">
        <f t="shared" si="363"/>
        <v>0</v>
      </c>
      <c r="X913" s="56">
        <f t="shared" si="363"/>
        <v>0</v>
      </c>
      <c r="Y913" s="56">
        <f t="shared" si="363"/>
        <v>0</v>
      </c>
      <c r="Z913" s="56">
        <f t="shared" si="363"/>
        <v>0</v>
      </c>
      <c r="AA913" s="56">
        <f t="shared" si="363"/>
        <v>0</v>
      </c>
      <c r="AB913" s="56">
        <f t="shared" si="363"/>
        <v>0</v>
      </c>
      <c r="AC913" s="56">
        <f t="shared" si="363"/>
        <v>0</v>
      </c>
      <c r="AD913" s="56">
        <f t="shared" si="363"/>
        <v>0</v>
      </c>
      <c r="AE913" s="56">
        <f t="shared" si="363"/>
        <v>0</v>
      </c>
      <c r="AF913" s="56">
        <f t="shared" si="363"/>
        <v>0</v>
      </c>
      <c r="AG913" s="56">
        <f t="shared" si="363"/>
        <v>0</v>
      </c>
      <c r="AH913" s="56">
        <f t="shared" si="363"/>
        <v>0</v>
      </c>
      <c r="AI913" s="56">
        <f t="shared" si="363"/>
        <v>0</v>
      </c>
      <c r="AJ913" s="56">
        <f t="shared" si="363"/>
        <v>0</v>
      </c>
      <c r="AK913" s="56">
        <f t="shared" si="363"/>
        <v>0</v>
      </c>
      <c r="AL913" s="56">
        <f t="shared" si="363"/>
        <v>0</v>
      </c>
      <c r="AM913" s="56">
        <f t="shared" si="363"/>
        <v>0</v>
      </c>
      <c r="AN913" s="56">
        <f t="shared" si="363"/>
        <v>0</v>
      </c>
      <c r="AO913" s="56">
        <f t="shared" si="363"/>
        <v>0</v>
      </c>
      <c r="AP913" s="56">
        <f t="shared" si="363"/>
        <v>0</v>
      </c>
    </row>
    <row r="914" spans="1:42" outlineLevel="1" x14ac:dyDescent="0.25">
      <c r="A914" s="54"/>
      <c r="B914" s="13"/>
      <c r="C914" s="14" t="s">
        <v>485</v>
      </c>
      <c r="D914" s="14"/>
      <c r="E914" s="70" t="s">
        <v>352</v>
      </c>
      <c r="F914" s="200">
        <f>Data!E561/1000</f>
        <v>2.8863348804976244E-4</v>
      </c>
      <c r="G914" s="56"/>
      <c r="H914" s="56"/>
      <c r="I914" s="56">
        <f>I$907*$F$914</f>
        <v>27.016094481457763</v>
      </c>
      <c r="J914" s="56">
        <f t="shared" ref="J914:AP914" si="364">J$907*$F$914</f>
        <v>27.016094481457763</v>
      </c>
      <c r="K914" s="56">
        <f t="shared" si="364"/>
        <v>27.016094481457763</v>
      </c>
      <c r="L914" s="56">
        <f t="shared" si="364"/>
        <v>27.016094481457763</v>
      </c>
      <c r="M914" s="56">
        <f t="shared" si="364"/>
        <v>27.016094481457763</v>
      </c>
      <c r="N914" s="56">
        <f t="shared" si="364"/>
        <v>27.016094481457763</v>
      </c>
      <c r="O914" s="56">
        <f t="shared" si="364"/>
        <v>27.016094481457763</v>
      </c>
      <c r="P914" s="56">
        <f t="shared" si="364"/>
        <v>27.016094481457763</v>
      </c>
      <c r="Q914" s="56">
        <f t="shared" si="364"/>
        <v>27.016094481457763</v>
      </c>
      <c r="R914" s="56">
        <f t="shared" si="364"/>
        <v>27.016094481457763</v>
      </c>
      <c r="S914" s="56">
        <f t="shared" si="364"/>
        <v>27.016094481457763</v>
      </c>
      <c r="T914" s="56">
        <f t="shared" si="364"/>
        <v>27.016094481457763</v>
      </c>
      <c r="U914" s="56">
        <f t="shared" si="364"/>
        <v>0</v>
      </c>
      <c r="V914" s="56">
        <f t="shared" si="364"/>
        <v>0</v>
      </c>
      <c r="W914" s="56">
        <f t="shared" si="364"/>
        <v>0</v>
      </c>
      <c r="X914" s="56">
        <f t="shared" si="364"/>
        <v>0</v>
      </c>
      <c r="Y914" s="56">
        <f t="shared" si="364"/>
        <v>0</v>
      </c>
      <c r="Z914" s="56">
        <f t="shared" si="364"/>
        <v>0</v>
      </c>
      <c r="AA914" s="56">
        <f t="shared" si="364"/>
        <v>0</v>
      </c>
      <c r="AB914" s="56">
        <f t="shared" si="364"/>
        <v>0</v>
      </c>
      <c r="AC914" s="56">
        <f t="shared" si="364"/>
        <v>0</v>
      </c>
      <c r="AD914" s="56">
        <f t="shared" si="364"/>
        <v>0</v>
      </c>
      <c r="AE914" s="56">
        <f t="shared" si="364"/>
        <v>0</v>
      </c>
      <c r="AF914" s="56">
        <f t="shared" si="364"/>
        <v>0</v>
      </c>
      <c r="AG914" s="56">
        <f t="shared" si="364"/>
        <v>0</v>
      </c>
      <c r="AH914" s="56">
        <f t="shared" si="364"/>
        <v>0</v>
      </c>
      <c r="AI914" s="56">
        <f t="shared" si="364"/>
        <v>0</v>
      </c>
      <c r="AJ914" s="56">
        <f t="shared" si="364"/>
        <v>0</v>
      </c>
      <c r="AK914" s="56">
        <f t="shared" si="364"/>
        <v>0</v>
      </c>
      <c r="AL914" s="56">
        <f t="shared" si="364"/>
        <v>0</v>
      </c>
      <c r="AM914" s="56">
        <f t="shared" si="364"/>
        <v>0</v>
      </c>
      <c r="AN914" s="56">
        <f t="shared" si="364"/>
        <v>0</v>
      </c>
      <c r="AO914" s="56">
        <f t="shared" si="364"/>
        <v>0</v>
      </c>
      <c r="AP914" s="56">
        <f t="shared" si="364"/>
        <v>0</v>
      </c>
    </row>
    <row r="915" spans="1:42" outlineLevel="1" x14ac:dyDescent="0.25">
      <c r="A915" s="54"/>
      <c r="B915" s="13"/>
      <c r="C915" s="14" t="s">
        <v>214</v>
      </c>
      <c r="D915" s="14"/>
      <c r="E915" s="70" t="s">
        <v>352</v>
      </c>
      <c r="F915" s="200">
        <f>Data!E562/1000</f>
        <v>4.1011833239969993E-5</v>
      </c>
      <c r="G915" s="56"/>
      <c r="H915" s="56"/>
      <c r="I915" s="56">
        <f>I$907*$F$915</f>
        <v>3.8387075912611914</v>
      </c>
      <c r="J915" s="56">
        <f t="shared" ref="J915:AP915" si="365">J$907*$F$915</f>
        <v>3.8387075912611914</v>
      </c>
      <c r="K915" s="56">
        <f t="shared" si="365"/>
        <v>3.8387075912611914</v>
      </c>
      <c r="L915" s="56">
        <f t="shared" si="365"/>
        <v>3.8387075912611914</v>
      </c>
      <c r="M915" s="56">
        <f t="shared" si="365"/>
        <v>3.8387075912611914</v>
      </c>
      <c r="N915" s="56">
        <f t="shared" si="365"/>
        <v>3.8387075912611914</v>
      </c>
      <c r="O915" s="56">
        <f t="shared" si="365"/>
        <v>3.8387075912611914</v>
      </c>
      <c r="P915" s="56">
        <f t="shared" si="365"/>
        <v>3.8387075912611914</v>
      </c>
      <c r="Q915" s="56">
        <f t="shared" si="365"/>
        <v>3.8387075912611914</v>
      </c>
      <c r="R915" s="56">
        <f t="shared" si="365"/>
        <v>3.8387075912611914</v>
      </c>
      <c r="S915" s="56">
        <f t="shared" si="365"/>
        <v>3.8387075912611914</v>
      </c>
      <c r="T915" s="56">
        <f t="shared" si="365"/>
        <v>3.8387075912611914</v>
      </c>
      <c r="U915" s="56">
        <f t="shared" si="365"/>
        <v>0</v>
      </c>
      <c r="V915" s="56">
        <f t="shared" si="365"/>
        <v>0</v>
      </c>
      <c r="W915" s="56">
        <f t="shared" si="365"/>
        <v>0</v>
      </c>
      <c r="X915" s="56">
        <f t="shared" si="365"/>
        <v>0</v>
      </c>
      <c r="Y915" s="56">
        <f t="shared" si="365"/>
        <v>0</v>
      </c>
      <c r="Z915" s="56">
        <f t="shared" si="365"/>
        <v>0</v>
      </c>
      <c r="AA915" s="56">
        <f t="shared" si="365"/>
        <v>0</v>
      </c>
      <c r="AB915" s="56">
        <f t="shared" si="365"/>
        <v>0</v>
      </c>
      <c r="AC915" s="56">
        <f t="shared" si="365"/>
        <v>0</v>
      </c>
      <c r="AD915" s="56">
        <f t="shared" si="365"/>
        <v>0</v>
      </c>
      <c r="AE915" s="56">
        <f t="shared" si="365"/>
        <v>0</v>
      </c>
      <c r="AF915" s="56">
        <f t="shared" si="365"/>
        <v>0</v>
      </c>
      <c r="AG915" s="56">
        <f t="shared" si="365"/>
        <v>0</v>
      </c>
      <c r="AH915" s="56">
        <f t="shared" si="365"/>
        <v>0</v>
      </c>
      <c r="AI915" s="56">
        <f t="shared" si="365"/>
        <v>0</v>
      </c>
      <c r="AJ915" s="56">
        <f t="shared" si="365"/>
        <v>0</v>
      </c>
      <c r="AK915" s="56">
        <f t="shared" si="365"/>
        <v>0</v>
      </c>
      <c r="AL915" s="56">
        <f t="shared" si="365"/>
        <v>0</v>
      </c>
      <c r="AM915" s="56">
        <f t="shared" si="365"/>
        <v>0</v>
      </c>
      <c r="AN915" s="56">
        <f t="shared" si="365"/>
        <v>0</v>
      </c>
      <c r="AO915" s="56">
        <f t="shared" si="365"/>
        <v>0</v>
      </c>
      <c r="AP915" s="56">
        <f t="shared" si="365"/>
        <v>0</v>
      </c>
    </row>
    <row r="916" spans="1:42" outlineLevel="1" x14ac:dyDescent="0.25">
      <c r="A916" s="12"/>
      <c r="B916" s="13"/>
      <c r="C916" s="14"/>
      <c r="D916" s="14"/>
      <c r="E916" s="15"/>
      <c r="F916" s="16"/>
      <c r="G916" s="159"/>
      <c r="H916" s="56"/>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159"/>
      <c r="AG916" s="159"/>
      <c r="AH916" s="159"/>
      <c r="AI916" s="159"/>
      <c r="AJ916" s="159"/>
      <c r="AK916" s="159"/>
      <c r="AL916" s="159"/>
      <c r="AM916" s="159"/>
      <c r="AN916" s="159"/>
      <c r="AO916" s="159"/>
      <c r="AP916" s="159"/>
    </row>
    <row r="917" spans="1:42" outlineLevel="1" x14ac:dyDescent="0.25">
      <c r="A917" s="54"/>
      <c r="B917" s="13"/>
      <c r="C917" s="14" t="s">
        <v>205</v>
      </c>
      <c r="D917" s="14"/>
      <c r="E917" s="70" t="s">
        <v>474</v>
      </c>
      <c r="F917" s="200">
        <f>Data!$E$35/1000</f>
        <v>3.4099438202247192E-3</v>
      </c>
      <c r="G917" s="56"/>
      <c r="H917" s="56"/>
      <c r="I917" s="56">
        <f>I909*$F$917</f>
        <v>0.96093868933092119</v>
      </c>
      <c r="J917" s="56">
        <f t="shared" ref="J917:AP917" si="366">J909*$F$917</f>
        <v>0.96093868933092119</v>
      </c>
      <c r="K917" s="56">
        <f t="shared" si="366"/>
        <v>0.96093868933092119</v>
      </c>
      <c r="L917" s="56">
        <f t="shared" si="366"/>
        <v>0.96093868933092119</v>
      </c>
      <c r="M917" s="56">
        <f t="shared" si="366"/>
        <v>0.96093868933092119</v>
      </c>
      <c r="N917" s="56">
        <f t="shared" si="366"/>
        <v>0.96093868933092119</v>
      </c>
      <c r="O917" s="56">
        <f t="shared" si="366"/>
        <v>0.96093868933092119</v>
      </c>
      <c r="P917" s="56">
        <f t="shared" si="366"/>
        <v>0.96093868933092119</v>
      </c>
      <c r="Q917" s="56">
        <f t="shared" si="366"/>
        <v>0.96093868933092119</v>
      </c>
      <c r="R917" s="56">
        <f t="shared" si="366"/>
        <v>0.96093868933092119</v>
      </c>
      <c r="S917" s="56">
        <f t="shared" si="366"/>
        <v>0.96093868933092119</v>
      </c>
      <c r="T917" s="56">
        <f t="shared" si="366"/>
        <v>0.96093868933092119</v>
      </c>
      <c r="U917" s="56">
        <f t="shared" si="366"/>
        <v>0</v>
      </c>
      <c r="V917" s="56">
        <f t="shared" si="366"/>
        <v>0</v>
      </c>
      <c r="W917" s="56">
        <f t="shared" si="366"/>
        <v>0</v>
      </c>
      <c r="X917" s="56">
        <f t="shared" si="366"/>
        <v>0</v>
      </c>
      <c r="Y917" s="56">
        <f t="shared" si="366"/>
        <v>0</v>
      </c>
      <c r="Z917" s="56">
        <f t="shared" si="366"/>
        <v>0</v>
      </c>
      <c r="AA917" s="56">
        <f t="shared" si="366"/>
        <v>0</v>
      </c>
      <c r="AB917" s="56">
        <f t="shared" si="366"/>
        <v>0</v>
      </c>
      <c r="AC917" s="56">
        <f t="shared" si="366"/>
        <v>0</v>
      </c>
      <c r="AD917" s="56">
        <f t="shared" si="366"/>
        <v>0</v>
      </c>
      <c r="AE917" s="56">
        <f t="shared" si="366"/>
        <v>0</v>
      </c>
      <c r="AF917" s="56">
        <f t="shared" si="366"/>
        <v>0</v>
      </c>
      <c r="AG917" s="56">
        <f t="shared" si="366"/>
        <v>0</v>
      </c>
      <c r="AH917" s="56">
        <f t="shared" si="366"/>
        <v>0</v>
      </c>
      <c r="AI917" s="56">
        <f t="shared" si="366"/>
        <v>0</v>
      </c>
      <c r="AJ917" s="56">
        <f t="shared" si="366"/>
        <v>0</v>
      </c>
      <c r="AK917" s="56">
        <f t="shared" si="366"/>
        <v>0</v>
      </c>
      <c r="AL917" s="56">
        <f t="shared" si="366"/>
        <v>0</v>
      </c>
      <c r="AM917" s="56">
        <f t="shared" si="366"/>
        <v>0</v>
      </c>
      <c r="AN917" s="56">
        <f t="shared" si="366"/>
        <v>0</v>
      </c>
      <c r="AO917" s="56">
        <f t="shared" si="366"/>
        <v>0</v>
      </c>
      <c r="AP917" s="56">
        <f t="shared" si="366"/>
        <v>0</v>
      </c>
    </row>
    <row r="918" spans="1:42" outlineLevel="1" x14ac:dyDescent="0.25">
      <c r="A918" s="54"/>
      <c r="B918" s="13"/>
      <c r="C918" s="14" t="s">
        <v>484</v>
      </c>
      <c r="D918" s="14"/>
      <c r="E918" s="70" t="s">
        <v>474</v>
      </c>
      <c r="F918" s="200"/>
      <c r="G918" s="56"/>
      <c r="H918" s="56"/>
      <c r="I918" s="56">
        <f>I910*Data!H$16/1000</f>
        <v>20487.239203863173</v>
      </c>
      <c r="J918" s="56">
        <f>J910*Data!I$16/1000</f>
        <v>22599.325719725355</v>
      </c>
      <c r="K918" s="56">
        <f>K910*Data!J$16/1000</f>
        <v>24500.203584001316</v>
      </c>
      <c r="L918" s="56">
        <f>L910*Data!K$16/1000</f>
        <v>26612.290099863501</v>
      </c>
      <c r="M918" s="56">
        <f>M910*Data!L$16/1000</f>
        <v>28724.376615725683</v>
      </c>
      <c r="N918" s="56">
        <f>N910*Data!M$16/1000</f>
        <v>30836.463131587865</v>
      </c>
      <c r="O918" s="56">
        <f>O910*Data!N$16/1000</f>
        <v>32737.340995863833</v>
      </c>
      <c r="P918" s="56">
        <f>P910*Data!O$16/1000</f>
        <v>34004.592905381141</v>
      </c>
      <c r="Q918" s="56">
        <f>Q910*Data!P$16/1000</f>
        <v>35271.844814898453</v>
      </c>
      <c r="R918" s="56">
        <f>R910*Data!Q$16/1000</f>
        <v>36750.305376001976</v>
      </c>
      <c r="S918" s="56">
        <f>S910*Data!R$16/1000</f>
        <v>38017.557285519288</v>
      </c>
      <c r="T918" s="56">
        <f>T910*Data!S$16/1000</f>
        <v>39284.8091950366</v>
      </c>
      <c r="U918" s="56">
        <f>U910*Data!T$16/1000</f>
        <v>0</v>
      </c>
      <c r="V918" s="56">
        <f>V910*Data!U$16/1000</f>
        <v>0</v>
      </c>
      <c r="W918" s="56">
        <f>W910*Data!V$16/1000</f>
        <v>0</v>
      </c>
      <c r="X918" s="56">
        <f>X910*Data!W$16/1000</f>
        <v>0</v>
      </c>
      <c r="Y918" s="56">
        <f>Y910*Data!X$16/1000</f>
        <v>0</v>
      </c>
      <c r="Z918" s="56">
        <f>Z910*Data!Y$16/1000</f>
        <v>0</v>
      </c>
      <c r="AA918" s="56">
        <f>AA910*Data!Z$16/1000</f>
        <v>0</v>
      </c>
      <c r="AB918" s="56">
        <f>AB910*Data!AA$16/1000</f>
        <v>0</v>
      </c>
      <c r="AC918" s="56">
        <f>AC910*Data!AB$16/1000</f>
        <v>0</v>
      </c>
      <c r="AD918" s="56">
        <f>AD910*Data!AC$16/1000</f>
        <v>0</v>
      </c>
      <c r="AE918" s="56">
        <f>AE910*Data!AD$16/1000</f>
        <v>0</v>
      </c>
      <c r="AF918" s="56">
        <f>AF910*Data!AE$16/1000</f>
        <v>0</v>
      </c>
      <c r="AG918" s="56">
        <f>AG910*Data!AF$16/1000</f>
        <v>0</v>
      </c>
      <c r="AH918" s="56">
        <f>AH910*Data!AG$16/1000</f>
        <v>0</v>
      </c>
      <c r="AI918" s="56">
        <f>AI910*Data!AH$16/1000</f>
        <v>0</v>
      </c>
      <c r="AJ918" s="56">
        <f>AJ910*Data!AI$16/1000</f>
        <v>0</v>
      </c>
      <c r="AK918" s="56">
        <f>AK910*Data!AJ$16/1000</f>
        <v>0</v>
      </c>
      <c r="AL918" s="56">
        <f>AL910*Data!AK$16/1000</f>
        <v>0</v>
      </c>
      <c r="AM918" s="56">
        <f>AM910*Data!AL$16/1000</f>
        <v>0</v>
      </c>
      <c r="AN918" s="56">
        <f>AN910*Data!AM$16/1000</f>
        <v>0</v>
      </c>
      <c r="AO918" s="56">
        <f>AO910*Data!AN$16/1000</f>
        <v>0</v>
      </c>
      <c r="AP918" s="56">
        <f>AP910*Data!AO$16/1000</f>
        <v>0</v>
      </c>
    </row>
    <row r="919" spans="1:42" outlineLevel="1" x14ac:dyDescent="0.25">
      <c r="A919" s="54"/>
      <c r="B919" s="13"/>
      <c r="C919" s="14" t="s">
        <v>285</v>
      </c>
      <c r="D919" s="14"/>
      <c r="E919" s="70" t="s">
        <v>474</v>
      </c>
      <c r="F919" s="200">
        <f>Data!$E$36/1000</f>
        <v>1.0822865168539326</v>
      </c>
      <c r="G919" s="56"/>
      <c r="H919" s="56"/>
      <c r="I919" s="56">
        <f>I911*$F$919</f>
        <v>24.996134748427973</v>
      </c>
      <c r="J919" s="56">
        <f t="shared" ref="J919:AP919" si="367">J911*$F$919</f>
        <v>24.996134748427973</v>
      </c>
      <c r="K919" s="56">
        <f t="shared" si="367"/>
        <v>24.996134748427973</v>
      </c>
      <c r="L919" s="56">
        <f t="shared" si="367"/>
        <v>24.996134748427973</v>
      </c>
      <c r="M919" s="56">
        <f t="shared" si="367"/>
        <v>24.996134748427973</v>
      </c>
      <c r="N919" s="56">
        <f t="shared" si="367"/>
        <v>24.996134748427973</v>
      </c>
      <c r="O919" s="56">
        <f t="shared" si="367"/>
        <v>24.996134748427973</v>
      </c>
      <c r="P919" s="56">
        <f t="shared" si="367"/>
        <v>24.996134748427973</v>
      </c>
      <c r="Q919" s="56">
        <f t="shared" si="367"/>
        <v>24.996134748427973</v>
      </c>
      <c r="R919" s="56">
        <f t="shared" si="367"/>
        <v>24.996134748427973</v>
      </c>
      <c r="S919" s="56">
        <f t="shared" si="367"/>
        <v>24.996134748427973</v>
      </c>
      <c r="T919" s="56">
        <f t="shared" si="367"/>
        <v>24.996134748427973</v>
      </c>
      <c r="U919" s="56">
        <f t="shared" si="367"/>
        <v>0</v>
      </c>
      <c r="V919" s="56">
        <f t="shared" si="367"/>
        <v>0</v>
      </c>
      <c r="W919" s="56">
        <f t="shared" si="367"/>
        <v>0</v>
      </c>
      <c r="X919" s="56">
        <f t="shared" si="367"/>
        <v>0</v>
      </c>
      <c r="Y919" s="56">
        <f t="shared" si="367"/>
        <v>0</v>
      </c>
      <c r="Z919" s="56">
        <f t="shared" si="367"/>
        <v>0</v>
      </c>
      <c r="AA919" s="56">
        <f t="shared" si="367"/>
        <v>0</v>
      </c>
      <c r="AB919" s="56">
        <f t="shared" si="367"/>
        <v>0</v>
      </c>
      <c r="AC919" s="56">
        <f t="shared" si="367"/>
        <v>0</v>
      </c>
      <c r="AD919" s="56">
        <f t="shared" si="367"/>
        <v>0</v>
      </c>
      <c r="AE919" s="56">
        <f t="shared" si="367"/>
        <v>0</v>
      </c>
      <c r="AF919" s="56">
        <f t="shared" si="367"/>
        <v>0</v>
      </c>
      <c r="AG919" s="56">
        <f t="shared" si="367"/>
        <v>0</v>
      </c>
      <c r="AH919" s="56">
        <f t="shared" si="367"/>
        <v>0</v>
      </c>
      <c r="AI919" s="56">
        <f t="shared" si="367"/>
        <v>0</v>
      </c>
      <c r="AJ919" s="56">
        <f t="shared" si="367"/>
        <v>0</v>
      </c>
      <c r="AK919" s="56">
        <f t="shared" si="367"/>
        <v>0</v>
      </c>
      <c r="AL919" s="56">
        <f t="shared" si="367"/>
        <v>0</v>
      </c>
      <c r="AM919" s="56">
        <f t="shared" si="367"/>
        <v>0</v>
      </c>
      <c r="AN919" s="56">
        <f t="shared" si="367"/>
        <v>0</v>
      </c>
      <c r="AO919" s="56">
        <f t="shared" si="367"/>
        <v>0</v>
      </c>
      <c r="AP919" s="56">
        <f t="shared" si="367"/>
        <v>0</v>
      </c>
    </row>
    <row r="920" spans="1:42" outlineLevel="1" x14ac:dyDescent="0.25">
      <c r="A920" s="54"/>
      <c r="B920" s="13"/>
      <c r="C920" s="14" t="s">
        <v>220</v>
      </c>
      <c r="D920" s="14"/>
      <c r="E920" s="70" t="s">
        <v>474</v>
      </c>
      <c r="F920" s="200">
        <f>Data!$E$37/1000</f>
        <v>371.00188764044947</v>
      </c>
      <c r="G920" s="56"/>
      <c r="H920" s="56"/>
      <c r="I920" s="56">
        <f>I912*$F$920</f>
        <v>360695.91892811091</v>
      </c>
      <c r="J920" s="56">
        <f t="shared" ref="J920:AP920" si="368">J912*$F$920</f>
        <v>360695.91892811091</v>
      </c>
      <c r="K920" s="56">
        <f t="shared" si="368"/>
        <v>360695.91892811091</v>
      </c>
      <c r="L920" s="56">
        <f t="shared" si="368"/>
        <v>360695.91892811091</v>
      </c>
      <c r="M920" s="56">
        <f t="shared" si="368"/>
        <v>360695.91892811091</v>
      </c>
      <c r="N920" s="56">
        <f t="shared" si="368"/>
        <v>360695.91892811091</v>
      </c>
      <c r="O920" s="56">
        <f t="shared" si="368"/>
        <v>360695.91892811091</v>
      </c>
      <c r="P920" s="56">
        <f t="shared" si="368"/>
        <v>360695.91892811091</v>
      </c>
      <c r="Q920" s="56">
        <f t="shared" si="368"/>
        <v>360695.91892811091</v>
      </c>
      <c r="R920" s="56">
        <f t="shared" si="368"/>
        <v>360695.91892811091</v>
      </c>
      <c r="S920" s="56">
        <f t="shared" si="368"/>
        <v>360695.91892811091</v>
      </c>
      <c r="T920" s="56">
        <f t="shared" si="368"/>
        <v>360695.91892811091</v>
      </c>
      <c r="U920" s="56">
        <f t="shared" si="368"/>
        <v>0</v>
      </c>
      <c r="V920" s="56">
        <f t="shared" si="368"/>
        <v>0</v>
      </c>
      <c r="W920" s="56">
        <f t="shared" si="368"/>
        <v>0</v>
      </c>
      <c r="X920" s="56">
        <f t="shared" si="368"/>
        <v>0</v>
      </c>
      <c r="Y920" s="56">
        <f t="shared" si="368"/>
        <v>0</v>
      </c>
      <c r="Z920" s="56">
        <f t="shared" si="368"/>
        <v>0</v>
      </c>
      <c r="AA920" s="56">
        <f t="shared" si="368"/>
        <v>0</v>
      </c>
      <c r="AB920" s="56">
        <f t="shared" si="368"/>
        <v>0</v>
      </c>
      <c r="AC920" s="56">
        <f t="shared" si="368"/>
        <v>0</v>
      </c>
      <c r="AD920" s="56">
        <f t="shared" si="368"/>
        <v>0</v>
      </c>
      <c r="AE920" s="56">
        <f t="shared" si="368"/>
        <v>0</v>
      </c>
      <c r="AF920" s="56">
        <f t="shared" si="368"/>
        <v>0</v>
      </c>
      <c r="AG920" s="56">
        <f t="shared" si="368"/>
        <v>0</v>
      </c>
      <c r="AH920" s="56">
        <f t="shared" si="368"/>
        <v>0</v>
      </c>
      <c r="AI920" s="56">
        <f t="shared" si="368"/>
        <v>0</v>
      </c>
      <c r="AJ920" s="56">
        <f t="shared" si="368"/>
        <v>0</v>
      </c>
      <c r="AK920" s="56">
        <f t="shared" si="368"/>
        <v>0</v>
      </c>
      <c r="AL920" s="56">
        <f t="shared" si="368"/>
        <v>0</v>
      </c>
      <c r="AM920" s="56">
        <f t="shared" si="368"/>
        <v>0</v>
      </c>
      <c r="AN920" s="56">
        <f t="shared" si="368"/>
        <v>0</v>
      </c>
      <c r="AO920" s="56">
        <f t="shared" si="368"/>
        <v>0</v>
      </c>
      <c r="AP920" s="56">
        <f t="shared" si="368"/>
        <v>0</v>
      </c>
    </row>
    <row r="921" spans="1:42" outlineLevel="1" x14ac:dyDescent="0.25">
      <c r="A921" s="54"/>
      <c r="B921" s="13"/>
      <c r="C921" s="14" t="s">
        <v>212</v>
      </c>
      <c r="D921" s="14"/>
      <c r="E921" s="70" t="s">
        <v>474</v>
      </c>
      <c r="F921" s="200">
        <f>Data!$E$39/1000</f>
        <v>0</v>
      </c>
      <c r="G921" s="56"/>
      <c r="H921" s="56"/>
      <c r="I921" s="56">
        <f>I913*$F$921</f>
        <v>0</v>
      </c>
      <c r="J921" s="56">
        <f t="shared" ref="J921:AP921" si="369">J913*$F$921</f>
        <v>0</v>
      </c>
      <c r="K921" s="56">
        <f t="shared" si="369"/>
        <v>0</v>
      </c>
      <c r="L921" s="56">
        <f t="shared" si="369"/>
        <v>0</v>
      </c>
      <c r="M921" s="56">
        <f t="shared" si="369"/>
        <v>0</v>
      </c>
      <c r="N921" s="56">
        <f t="shared" si="369"/>
        <v>0</v>
      </c>
      <c r="O921" s="56">
        <f t="shared" si="369"/>
        <v>0</v>
      </c>
      <c r="P921" s="56">
        <f t="shared" si="369"/>
        <v>0</v>
      </c>
      <c r="Q921" s="56">
        <f t="shared" si="369"/>
        <v>0</v>
      </c>
      <c r="R921" s="56">
        <f t="shared" si="369"/>
        <v>0</v>
      </c>
      <c r="S921" s="56">
        <f t="shared" si="369"/>
        <v>0</v>
      </c>
      <c r="T921" s="56">
        <f t="shared" si="369"/>
        <v>0</v>
      </c>
      <c r="U921" s="56">
        <f t="shared" si="369"/>
        <v>0</v>
      </c>
      <c r="V921" s="56">
        <f t="shared" si="369"/>
        <v>0</v>
      </c>
      <c r="W921" s="56">
        <f t="shared" si="369"/>
        <v>0</v>
      </c>
      <c r="X921" s="56">
        <f t="shared" si="369"/>
        <v>0</v>
      </c>
      <c r="Y921" s="56">
        <f t="shared" si="369"/>
        <v>0</v>
      </c>
      <c r="Z921" s="56">
        <f t="shared" si="369"/>
        <v>0</v>
      </c>
      <c r="AA921" s="56">
        <f t="shared" si="369"/>
        <v>0</v>
      </c>
      <c r="AB921" s="56">
        <f t="shared" si="369"/>
        <v>0</v>
      </c>
      <c r="AC921" s="56">
        <f t="shared" si="369"/>
        <v>0</v>
      </c>
      <c r="AD921" s="56">
        <f t="shared" si="369"/>
        <v>0</v>
      </c>
      <c r="AE921" s="56">
        <f t="shared" si="369"/>
        <v>0</v>
      </c>
      <c r="AF921" s="56">
        <f t="shared" si="369"/>
        <v>0</v>
      </c>
      <c r="AG921" s="56">
        <f t="shared" si="369"/>
        <v>0</v>
      </c>
      <c r="AH921" s="56">
        <f t="shared" si="369"/>
        <v>0</v>
      </c>
      <c r="AI921" s="56">
        <f t="shared" si="369"/>
        <v>0</v>
      </c>
      <c r="AJ921" s="56">
        <f t="shared" si="369"/>
        <v>0</v>
      </c>
      <c r="AK921" s="56">
        <f t="shared" si="369"/>
        <v>0</v>
      </c>
      <c r="AL921" s="56">
        <f t="shared" si="369"/>
        <v>0</v>
      </c>
      <c r="AM921" s="56">
        <f t="shared" si="369"/>
        <v>0</v>
      </c>
      <c r="AN921" s="56">
        <f t="shared" si="369"/>
        <v>0</v>
      </c>
      <c r="AO921" s="56">
        <f t="shared" si="369"/>
        <v>0</v>
      </c>
      <c r="AP921" s="56">
        <f t="shared" si="369"/>
        <v>0</v>
      </c>
    </row>
    <row r="922" spans="1:42" outlineLevel="1" x14ac:dyDescent="0.25">
      <c r="A922" s="54"/>
      <c r="B922" s="13"/>
      <c r="C922" s="14" t="s">
        <v>485</v>
      </c>
      <c r="D922" s="14"/>
      <c r="E922" s="70" t="s">
        <v>474</v>
      </c>
      <c r="F922" s="200">
        <f>Data!$E$40/1000</f>
        <v>605.20914606741576</v>
      </c>
      <c r="G922" s="56"/>
      <c r="H922" s="56"/>
      <c r="I922" s="56">
        <f>I914*$F$922</f>
        <v>16350.387471199676</v>
      </c>
      <c r="J922" s="56">
        <f t="shared" ref="J922:AP922" si="370">J914*$F$922</f>
        <v>16350.387471199676</v>
      </c>
      <c r="K922" s="56">
        <f t="shared" si="370"/>
        <v>16350.387471199676</v>
      </c>
      <c r="L922" s="56">
        <f t="shared" si="370"/>
        <v>16350.387471199676</v>
      </c>
      <c r="M922" s="56">
        <f t="shared" si="370"/>
        <v>16350.387471199676</v>
      </c>
      <c r="N922" s="56">
        <f t="shared" si="370"/>
        <v>16350.387471199676</v>
      </c>
      <c r="O922" s="56">
        <f t="shared" si="370"/>
        <v>16350.387471199676</v>
      </c>
      <c r="P922" s="56">
        <f t="shared" si="370"/>
        <v>16350.387471199676</v>
      </c>
      <c r="Q922" s="56">
        <f t="shared" si="370"/>
        <v>16350.387471199676</v>
      </c>
      <c r="R922" s="56">
        <f t="shared" si="370"/>
        <v>16350.387471199676</v>
      </c>
      <c r="S922" s="56">
        <f t="shared" si="370"/>
        <v>16350.387471199676</v>
      </c>
      <c r="T922" s="56">
        <f t="shared" si="370"/>
        <v>16350.387471199676</v>
      </c>
      <c r="U922" s="56">
        <f t="shared" si="370"/>
        <v>0</v>
      </c>
      <c r="V922" s="56">
        <f t="shared" si="370"/>
        <v>0</v>
      </c>
      <c r="W922" s="56">
        <f t="shared" si="370"/>
        <v>0</v>
      </c>
      <c r="X922" s="56">
        <f t="shared" si="370"/>
        <v>0</v>
      </c>
      <c r="Y922" s="56">
        <f t="shared" si="370"/>
        <v>0</v>
      </c>
      <c r="Z922" s="56">
        <f t="shared" si="370"/>
        <v>0</v>
      </c>
      <c r="AA922" s="56">
        <f t="shared" si="370"/>
        <v>0</v>
      </c>
      <c r="AB922" s="56">
        <f t="shared" si="370"/>
        <v>0</v>
      </c>
      <c r="AC922" s="56">
        <f t="shared" si="370"/>
        <v>0</v>
      </c>
      <c r="AD922" s="56">
        <f t="shared" si="370"/>
        <v>0</v>
      </c>
      <c r="AE922" s="56">
        <f t="shared" si="370"/>
        <v>0</v>
      </c>
      <c r="AF922" s="56">
        <f t="shared" si="370"/>
        <v>0</v>
      </c>
      <c r="AG922" s="56">
        <f t="shared" si="370"/>
        <v>0</v>
      </c>
      <c r="AH922" s="56">
        <f t="shared" si="370"/>
        <v>0</v>
      </c>
      <c r="AI922" s="56">
        <f t="shared" si="370"/>
        <v>0</v>
      </c>
      <c r="AJ922" s="56">
        <f t="shared" si="370"/>
        <v>0</v>
      </c>
      <c r="AK922" s="56">
        <f t="shared" si="370"/>
        <v>0</v>
      </c>
      <c r="AL922" s="56">
        <f t="shared" si="370"/>
        <v>0</v>
      </c>
      <c r="AM922" s="56">
        <f t="shared" si="370"/>
        <v>0</v>
      </c>
      <c r="AN922" s="56">
        <f t="shared" si="370"/>
        <v>0</v>
      </c>
      <c r="AO922" s="56">
        <f t="shared" si="370"/>
        <v>0</v>
      </c>
      <c r="AP922" s="56">
        <f t="shared" si="370"/>
        <v>0</v>
      </c>
    </row>
    <row r="923" spans="1:42" outlineLevel="1" x14ac:dyDescent="0.25">
      <c r="A923" s="54"/>
      <c r="B923" s="13"/>
      <c r="C923" s="14" t="s">
        <v>214</v>
      </c>
      <c r="D923" s="14"/>
      <c r="E923" s="70" t="s">
        <v>474</v>
      </c>
      <c r="F923" s="200">
        <f>Data!$E$41/1000</f>
        <v>0</v>
      </c>
      <c r="G923" s="56"/>
      <c r="H923" s="56"/>
      <c r="I923" s="56">
        <f>I915*$F$923</f>
        <v>0</v>
      </c>
      <c r="J923" s="56">
        <f t="shared" ref="J923:AP923" si="371">J915*$F$923</f>
        <v>0</v>
      </c>
      <c r="K923" s="56">
        <f t="shared" si="371"/>
        <v>0</v>
      </c>
      <c r="L923" s="56">
        <f t="shared" si="371"/>
        <v>0</v>
      </c>
      <c r="M923" s="56">
        <f t="shared" si="371"/>
        <v>0</v>
      </c>
      <c r="N923" s="56">
        <f t="shared" si="371"/>
        <v>0</v>
      </c>
      <c r="O923" s="56">
        <f t="shared" si="371"/>
        <v>0</v>
      </c>
      <c r="P923" s="56">
        <f t="shared" si="371"/>
        <v>0</v>
      </c>
      <c r="Q923" s="56">
        <f t="shared" si="371"/>
        <v>0</v>
      </c>
      <c r="R923" s="56">
        <f t="shared" si="371"/>
        <v>0</v>
      </c>
      <c r="S923" s="56">
        <f t="shared" si="371"/>
        <v>0</v>
      </c>
      <c r="T923" s="56">
        <f t="shared" si="371"/>
        <v>0</v>
      </c>
      <c r="U923" s="56">
        <f t="shared" si="371"/>
        <v>0</v>
      </c>
      <c r="V923" s="56">
        <f t="shared" si="371"/>
        <v>0</v>
      </c>
      <c r="W923" s="56">
        <f t="shared" si="371"/>
        <v>0</v>
      </c>
      <c r="X923" s="56">
        <f t="shared" si="371"/>
        <v>0</v>
      </c>
      <c r="Y923" s="56">
        <f t="shared" si="371"/>
        <v>0</v>
      </c>
      <c r="Z923" s="56">
        <f t="shared" si="371"/>
        <v>0</v>
      </c>
      <c r="AA923" s="56">
        <f t="shared" si="371"/>
        <v>0</v>
      </c>
      <c r="AB923" s="56">
        <f t="shared" si="371"/>
        <v>0</v>
      </c>
      <c r="AC923" s="56">
        <f t="shared" si="371"/>
        <v>0</v>
      </c>
      <c r="AD923" s="56">
        <f t="shared" si="371"/>
        <v>0</v>
      </c>
      <c r="AE923" s="56">
        <f t="shared" si="371"/>
        <v>0</v>
      </c>
      <c r="AF923" s="56">
        <f t="shared" si="371"/>
        <v>0</v>
      </c>
      <c r="AG923" s="56">
        <f t="shared" si="371"/>
        <v>0</v>
      </c>
      <c r="AH923" s="56">
        <f t="shared" si="371"/>
        <v>0</v>
      </c>
      <c r="AI923" s="56">
        <f t="shared" si="371"/>
        <v>0</v>
      </c>
      <c r="AJ923" s="56">
        <f t="shared" si="371"/>
        <v>0</v>
      </c>
      <c r="AK923" s="56">
        <f t="shared" si="371"/>
        <v>0</v>
      </c>
      <c r="AL923" s="56">
        <f t="shared" si="371"/>
        <v>0</v>
      </c>
      <c r="AM923" s="56">
        <f t="shared" si="371"/>
        <v>0</v>
      </c>
      <c r="AN923" s="56">
        <f t="shared" si="371"/>
        <v>0</v>
      </c>
      <c r="AO923" s="56">
        <f t="shared" si="371"/>
        <v>0</v>
      </c>
      <c r="AP923" s="56">
        <f t="shared" si="371"/>
        <v>0</v>
      </c>
    </row>
    <row r="924" spans="1:42" ht="13.5" customHeight="1" outlineLevel="1" x14ac:dyDescent="0.25">
      <c r="A924" s="12"/>
      <c r="B924" s="13"/>
      <c r="C924" s="20" t="s">
        <v>536</v>
      </c>
      <c r="D924" s="14"/>
      <c r="E924" s="70" t="s">
        <v>474</v>
      </c>
      <c r="F924" s="16"/>
      <c r="G924" s="159"/>
      <c r="H924" s="56"/>
      <c r="I924" s="185">
        <f>SUM(I917:I923)</f>
        <v>397559.50267661153</v>
      </c>
      <c r="J924" s="185">
        <f t="shared" ref="J924" si="372">SUM(J917:J923)</f>
        <v>399671.58919247368</v>
      </c>
      <c r="K924" s="185">
        <f t="shared" ref="K924" si="373">SUM(K917:K923)</f>
        <v>401572.46705674968</v>
      </c>
      <c r="L924" s="185">
        <f t="shared" ref="L924" si="374">SUM(L917:L923)</f>
        <v>403684.55357261183</v>
      </c>
      <c r="M924" s="185">
        <f t="shared" ref="M924" si="375">SUM(M917:M923)</f>
        <v>405796.64008847403</v>
      </c>
      <c r="N924" s="185">
        <f t="shared" ref="N924" si="376">SUM(N917:N923)</f>
        <v>407908.72660433623</v>
      </c>
      <c r="O924" s="185">
        <f t="shared" ref="O924" si="377">SUM(O917:O923)</f>
        <v>409809.60446861217</v>
      </c>
      <c r="P924" s="185">
        <f t="shared" ref="P924" si="378">SUM(P917:P923)</f>
        <v>411076.85637812951</v>
      </c>
      <c r="Q924" s="185">
        <f t="shared" ref="Q924" si="379">SUM(Q917:Q923)</f>
        <v>412344.10828764678</v>
      </c>
      <c r="R924" s="185">
        <f t="shared" ref="R924" si="380">SUM(R917:R923)</f>
        <v>413822.56884875032</v>
      </c>
      <c r="S924" s="185">
        <f t="shared" ref="S924" si="381">SUM(S917:S923)</f>
        <v>415089.82075826766</v>
      </c>
      <c r="T924" s="185">
        <f t="shared" ref="T924" si="382">SUM(T917:T923)</f>
        <v>416357.07266778493</v>
      </c>
      <c r="U924" s="185">
        <f t="shared" ref="U924" si="383">SUM(U917:U923)</f>
        <v>0</v>
      </c>
      <c r="V924" s="185">
        <f t="shared" ref="V924" si="384">SUM(V917:V923)</f>
        <v>0</v>
      </c>
      <c r="W924" s="185">
        <f t="shared" ref="W924" si="385">SUM(W917:W923)</f>
        <v>0</v>
      </c>
      <c r="X924" s="185">
        <f t="shared" ref="X924" si="386">SUM(X917:X923)</f>
        <v>0</v>
      </c>
      <c r="Y924" s="185">
        <f t="shared" ref="Y924" si="387">SUM(Y917:Y923)</f>
        <v>0</v>
      </c>
      <c r="Z924" s="185">
        <f t="shared" ref="Z924" si="388">SUM(Z917:Z923)</f>
        <v>0</v>
      </c>
      <c r="AA924" s="185">
        <f t="shared" ref="AA924" si="389">SUM(AA917:AA923)</f>
        <v>0</v>
      </c>
      <c r="AB924" s="185">
        <f t="shared" ref="AB924" si="390">SUM(AB917:AB923)</f>
        <v>0</v>
      </c>
      <c r="AC924" s="185">
        <f t="shared" ref="AC924" si="391">SUM(AC917:AC923)</f>
        <v>0</v>
      </c>
      <c r="AD924" s="185">
        <f t="shared" ref="AD924" si="392">SUM(AD917:AD923)</f>
        <v>0</v>
      </c>
      <c r="AE924" s="185">
        <f t="shared" ref="AE924" si="393">SUM(AE917:AE923)</f>
        <v>0</v>
      </c>
      <c r="AF924" s="185">
        <f t="shared" ref="AF924" si="394">SUM(AF917:AF923)</f>
        <v>0</v>
      </c>
      <c r="AG924" s="185">
        <f t="shared" ref="AG924" si="395">SUM(AG917:AG923)</f>
        <v>0</v>
      </c>
      <c r="AH924" s="185">
        <f t="shared" ref="AH924" si="396">SUM(AH917:AH923)</f>
        <v>0</v>
      </c>
      <c r="AI924" s="185">
        <f t="shared" ref="AI924" si="397">SUM(AI917:AI923)</f>
        <v>0</v>
      </c>
      <c r="AJ924" s="185">
        <f t="shared" ref="AJ924" si="398">SUM(AJ917:AJ923)</f>
        <v>0</v>
      </c>
      <c r="AK924" s="185">
        <f t="shared" ref="AK924" si="399">SUM(AK917:AK923)</f>
        <v>0</v>
      </c>
      <c r="AL924" s="185">
        <f t="shared" ref="AL924" si="400">SUM(AL917:AL923)</f>
        <v>0</v>
      </c>
      <c r="AM924" s="185">
        <f t="shared" ref="AM924" si="401">SUM(AM917:AM923)</f>
        <v>0</v>
      </c>
      <c r="AN924" s="185">
        <f t="shared" ref="AN924" si="402">SUM(AN917:AN923)</f>
        <v>0</v>
      </c>
      <c r="AO924" s="185">
        <f t="shared" ref="AO924" si="403">SUM(AO917:AO923)</f>
        <v>0</v>
      </c>
      <c r="AP924" s="185">
        <f t="shared" ref="AP924" si="404">SUM(AP917:AP923)</f>
        <v>0</v>
      </c>
    </row>
    <row r="925" spans="1:42" outlineLevel="1" x14ac:dyDescent="0.25">
      <c r="A925" s="12"/>
      <c r="B925" s="13"/>
      <c r="C925" s="14"/>
      <c r="D925" s="14"/>
      <c r="E925" s="15"/>
      <c r="F925" s="16"/>
      <c r="G925" s="159"/>
      <c r="H925" s="56"/>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159"/>
      <c r="AG925" s="159"/>
      <c r="AH925" s="159"/>
      <c r="AI925" s="159"/>
      <c r="AJ925" s="159"/>
      <c r="AK925" s="159"/>
      <c r="AL925" s="159"/>
      <c r="AM925" s="159"/>
      <c r="AN925" s="159"/>
      <c r="AO925" s="159"/>
      <c r="AP925" s="159"/>
    </row>
    <row r="926" spans="1:42" outlineLevel="1" x14ac:dyDescent="0.25">
      <c r="A926" s="12"/>
      <c r="B926" s="13"/>
      <c r="C926" s="14" t="s">
        <v>487</v>
      </c>
      <c r="D926" s="14"/>
      <c r="E926" s="15" t="s">
        <v>474</v>
      </c>
      <c r="F926" s="48"/>
      <c r="G926" s="185"/>
      <c r="H926" s="185"/>
      <c r="I926" s="185">
        <f>I924*Data!H$9</f>
        <v>382268.75257366488</v>
      </c>
      <c r="J926" s="185">
        <f>J924*Data!I$9</f>
        <v>369518.85095457989</v>
      </c>
      <c r="K926" s="185">
        <f>K924*Data!J$9</f>
        <v>356996.46095594636</v>
      </c>
      <c r="L926" s="185">
        <f>L924*Data!K$9</f>
        <v>345071.24824783241</v>
      </c>
      <c r="M926" s="185">
        <f>M924*Data!L$9</f>
        <v>333535.25832058536</v>
      </c>
      <c r="N926" s="185">
        <f>N924*Data!M$9</f>
        <v>322376.19180749368</v>
      </c>
      <c r="O926" s="185">
        <f>O924*Data!N$9</f>
        <v>311421.61845699028</v>
      </c>
      <c r="P926" s="185">
        <f>P924*Data!O$9</f>
        <v>300369.83245850651</v>
      </c>
      <c r="Q926" s="185">
        <f>Q924*Data!P$9</f>
        <v>289707.50097698154</v>
      </c>
      <c r="R926" s="185">
        <f>R924*Data!Q$9</f>
        <v>279563.69976566278</v>
      </c>
      <c r="S926" s="185">
        <f>S924*Data!R$9</f>
        <v>269634.43245058542</v>
      </c>
      <c r="T926" s="185">
        <f>T924*Data!S$9</f>
        <v>260055.39916009124</v>
      </c>
      <c r="U926" s="185">
        <f>U924*Data!T$9</f>
        <v>0</v>
      </c>
      <c r="V926" s="185">
        <f>V924*Data!U$9</f>
        <v>0</v>
      </c>
      <c r="W926" s="185">
        <f>W924*Data!V$9</f>
        <v>0</v>
      </c>
      <c r="X926" s="185">
        <f>X924*Data!W$9</f>
        <v>0</v>
      </c>
      <c r="Y926" s="185">
        <f>Y924*Data!X$9</f>
        <v>0</v>
      </c>
      <c r="Z926" s="185">
        <f>Z924*Data!Y$9</f>
        <v>0</v>
      </c>
      <c r="AA926" s="185">
        <f>AA924*Data!Z$9</f>
        <v>0</v>
      </c>
      <c r="AB926" s="185">
        <f>AB924*Data!AA$9</f>
        <v>0</v>
      </c>
      <c r="AC926" s="185">
        <f>AC924*Data!AB$9</f>
        <v>0</v>
      </c>
      <c r="AD926" s="185">
        <f>AD924*Data!AC$9</f>
        <v>0</v>
      </c>
      <c r="AE926" s="185">
        <f>AE924*Data!AD$9</f>
        <v>0</v>
      </c>
      <c r="AF926" s="185">
        <f>AF924*Data!AE$9</f>
        <v>0</v>
      </c>
      <c r="AG926" s="185">
        <f>AG924*Data!AF$9</f>
        <v>0</v>
      </c>
      <c r="AH926" s="185">
        <f>AH924*Data!AG$9</f>
        <v>0</v>
      </c>
      <c r="AI926" s="185">
        <f>AI924*Data!AH$9</f>
        <v>0</v>
      </c>
      <c r="AJ926" s="185">
        <f>AJ924*Data!AI$9</f>
        <v>0</v>
      </c>
      <c r="AK926" s="185">
        <f>AK924*Data!AJ$9</f>
        <v>0</v>
      </c>
      <c r="AL926" s="185">
        <f>AL924*Data!AK$9</f>
        <v>0</v>
      </c>
      <c r="AM926" s="185">
        <f>AM924*Data!AL$9</f>
        <v>0</v>
      </c>
      <c r="AN926" s="185">
        <f>AN924*Data!AM$9</f>
        <v>0</v>
      </c>
      <c r="AO926" s="185">
        <f>AO924*Data!AN$9</f>
        <v>0</v>
      </c>
      <c r="AP926" s="185">
        <f>AP924*Data!AO$9</f>
        <v>0</v>
      </c>
    </row>
    <row r="927" spans="1:42" outlineLevel="1" x14ac:dyDescent="0.25">
      <c r="A927" s="12"/>
      <c r="B927" s="13"/>
      <c r="C927" s="14" t="s">
        <v>488</v>
      </c>
      <c r="D927" s="13"/>
      <c r="E927" s="15" t="s">
        <v>142</v>
      </c>
      <c r="F927" s="16"/>
      <c r="G927" s="159">
        <f>SUM(H926:AP926)</f>
        <v>3820519.2461289205</v>
      </c>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row>
    <row r="928" spans="1:42" outlineLevel="1" x14ac:dyDescent="0.25">
      <c r="A928" s="12"/>
      <c r="B928" s="13"/>
      <c r="C928" s="20" t="s">
        <v>488</v>
      </c>
      <c r="D928" s="19"/>
      <c r="E928" s="15" t="s">
        <v>261</v>
      </c>
      <c r="F928" s="16"/>
      <c r="G928" s="183">
        <f>G927/(SUM(H907:AO907))</f>
        <v>3.4014594427785974</v>
      </c>
      <c r="H928" s="14"/>
      <c r="I928" s="159"/>
      <c r="J928" s="159"/>
      <c r="K928" s="159"/>
      <c r="L928" s="159"/>
      <c r="M928" s="159"/>
      <c r="N928" s="159"/>
      <c r="O928" s="159"/>
      <c r="P928" s="159"/>
      <c r="Q928" s="159"/>
      <c r="R928" s="159"/>
      <c r="S928" s="159"/>
      <c r="T928" s="159"/>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row>
    <row r="929" spans="1:42" outlineLevel="1" x14ac:dyDescent="0.25">
      <c r="A929" s="12"/>
      <c r="B929" s="13"/>
      <c r="C929" s="20"/>
      <c r="D929" s="19"/>
      <c r="E929" s="15"/>
      <c r="F929" s="16"/>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row>
    <row r="930" spans="1:42" ht="18.75" outlineLevel="1" x14ac:dyDescent="0.3">
      <c r="A930" s="12"/>
      <c r="B930" s="13"/>
      <c r="C930" s="226" t="str">
        <f>C813</f>
        <v>TCO 2: Immediate Diesel to BEB Bus Replacement</v>
      </c>
      <c r="D930" s="225"/>
      <c r="E930" s="15" t="s">
        <v>261</v>
      </c>
      <c r="F930" s="16"/>
      <c r="G930" s="224">
        <f>G868+G901+G877-G928</f>
        <v>-2.0973467038432614</v>
      </c>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row>
    <row r="931" spans="1:42" outlineLevel="1" x14ac:dyDescent="0.25">
      <c r="A931" s="12"/>
      <c r="B931" s="13"/>
      <c r="C931" s="187"/>
      <c r="D931" s="19"/>
      <c r="E931" s="15"/>
      <c r="F931" s="16"/>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row>
    <row r="932" spans="1:42" outlineLevel="1" x14ac:dyDescent="0.25">
      <c r="A932" s="12"/>
      <c r="B932" s="13"/>
      <c r="C932" s="24" t="s">
        <v>525</v>
      </c>
      <c r="D932" s="24"/>
      <c r="E932" s="25"/>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7"/>
    </row>
    <row r="933" spans="1:42" outlineLevel="1" x14ac:dyDescent="0.25">
      <c r="A933" s="12"/>
      <c r="B933" s="13"/>
      <c r="C933" s="13"/>
      <c r="D933" s="14"/>
      <c r="E933" s="15"/>
      <c r="F933" s="16"/>
      <c r="G933" s="14"/>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17"/>
    </row>
    <row r="934" spans="1:42" outlineLevel="1" x14ac:dyDescent="0.25">
      <c r="A934" s="12"/>
      <c r="B934" s="13"/>
      <c r="C934" s="37" t="s">
        <v>537</v>
      </c>
      <c r="D934" s="37"/>
      <c r="E934" s="38"/>
      <c r="F934" s="39"/>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17"/>
    </row>
    <row r="935" spans="1:42" outlineLevel="1" x14ac:dyDescent="0.25">
      <c r="A935" s="12"/>
      <c r="B935" s="13"/>
      <c r="C935" s="96" t="s">
        <v>526</v>
      </c>
      <c r="D935" s="14"/>
      <c r="E935" s="15" t="s">
        <v>142</v>
      </c>
      <c r="F935" s="16"/>
      <c r="G935" s="141">
        <f>G867</f>
        <v>2392680.6588096176</v>
      </c>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c r="AP935" s="17"/>
    </row>
    <row r="936" spans="1:42" outlineLevel="1" x14ac:dyDescent="0.25">
      <c r="A936" s="12"/>
      <c r="B936" s="13"/>
      <c r="C936" s="96" t="s">
        <v>527</v>
      </c>
      <c r="D936" s="14"/>
      <c r="E936" s="15" t="s">
        <v>474</v>
      </c>
      <c r="F936" s="16"/>
      <c r="G936" s="151">
        <f>G935/Data!$E$337</f>
        <v>119634.03294048089</v>
      </c>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c r="AP936" s="17"/>
    </row>
    <row r="937" spans="1:42" outlineLevel="1" x14ac:dyDescent="0.25">
      <c r="A937" s="12"/>
      <c r="B937" s="13"/>
      <c r="C937" s="96" t="s">
        <v>528</v>
      </c>
      <c r="D937" s="14"/>
      <c r="E937" s="15" t="s">
        <v>529</v>
      </c>
      <c r="F937" s="16"/>
      <c r="G937" s="151">
        <f>SUM(I883:AC883)</f>
        <v>272542.64221986471</v>
      </c>
      <c r="H937" s="14"/>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c r="AP937" s="17"/>
    </row>
    <row r="938" spans="1:42" outlineLevel="1" x14ac:dyDescent="0.25">
      <c r="A938" s="12"/>
      <c r="B938" s="13"/>
      <c r="C938" s="96" t="s">
        <v>530</v>
      </c>
      <c r="D938" s="14"/>
      <c r="E938" s="15" t="s">
        <v>531</v>
      </c>
      <c r="F938" s="16"/>
      <c r="G938" s="151">
        <f>G937/Data!$E$337</f>
        <v>13627.132110993236</v>
      </c>
      <c r="H938" s="14"/>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c r="AP938" s="17"/>
    </row>
    <row r="939" spans="1:42" outlineLevel="1" x14ac:dyDescent="0.25">
      <c r="A939" s="12"/>
      <c r="B939" s="13"/>
      <c r="C939" s="96" t="s">
        <v>579</v>
      </c>
      <c r="D939" s="14"/>
      <c r="E939" s="15" t="s">
        <v>531</v>
      </c>
      <c r="F939" s="16"/>
      <c r="G939" s="151">
        <f>SUM(I910:AB910)/Dashboard!$I$31</f>
        <v>211208.65158621827</v>
      </c>
      <c r="H939" s="14"/>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c r="AP939" s="17"/>
    </row>
    <row r="940" spans="1:42" outlineLevel="1" x14ac:dyDescent="0.25">
      <c r="A940" s="12"/>
      <c r="B940" s="13"/>
      <c r="C940" s="14"/>
      <c r="D940" s="14"/>
      <c r="E940" s="15"/>
      <c r="F940" s="16"/>
      <c r="G940" s="14"/>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c r="AP940" s="29"/>
    </row>
    <row r="941" spans="1:42" outlineLevel="1" x14ac:dyDescent="0.25">
      <c r="A941" s="12"/>
      <c r="B941" s="13"/>
      <c r="C941" s="37" t="s">
        <v>538</v>
      </c>
      <c r="D941" s="37"/>
      <c r="E941" s="38"/>
      <c r="F941" s="39"/>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17"/>
    </row>
    <row r="942" spans="1:42" outlineLevel="1" x14ac:dyDescent="0.25">
      <c r="A942" s="12"/>
      <c r="B942" s="13"/>
      <c r="C942" s="14" t="s">
        <v>580</v>
      </c>
      <c r="D942" s="14"/>
      <c r="E942" s="15" t="s">
        <v>142</v>
      </c>
      <c r="F942" s="16"/>
      <c r="G942" s="177">
        <f>G936-'Diesel (BAU)'!G268</f>
        <v>-217023.84817442021</v>
      </c>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17"/>
    </row>
    <row r="943" spans="1:42" outlineLevel="1" x14ac:dyDescent="0.25">
      <c r="A943" s="12"/>
      <c r="B943" s="13"/>
      <c r="C943" s="14" t="s">
        <v>540</v>
      </c>
      <c r="D943" s="44"/>
      <c r="E943" s="15" t="s">
        <v>529</v>
      </c>
      <c r="F943" s="16"/>
      <c r="G943" s="177">
        <f>'Diesel (BAU)'!G270-G938+G939</f>
        <v>408790.17106144328</v>
      </c>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17"/>
    </row>
    <row r="944" spans="1:42" ht="18.75" outlineLevel="1" x14ac:dyDescent="0.3">
      <c r="A944" s="12"/>
      <c r="B944" s="13"/>
      <c r="C944" s="221" t="s">
        <v>542</v>
      </c>
      <c r="D944" s="45"/>
      <c r="E944" s="15"/>
      <c r="F944" s="16"/>
      <c r="G944" s="220">
        <f>G942/G943</f>
        <v>-0.53089301929864752</v>
      </c>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c r="AP944" s="29"/>
    </row>
    <row r="945" spans="1:42" outlineLevel="1" x14ac:dyDescent="0.25">
      <c r="A945" s="12"/>
      <c r="C945" s="13"/>
      <c r="D945" s="45"/>
      <c r="E945" s="15"/>
      <c r="F945" s="16"/>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c r="AP945" s="29"/>
    </row>
    <row r="946" spans="1:42" outlineLevel="1" x14ac:dyDescent="0.25">
      <c r="A946" s="12"/>
      <c r="B946" s="13"/>
      <c r="C946" s="41"/>
      <c r="D946" s="41"/>
      <c r="E946" s="15"/>
      <c r="F946" s="16"/>
      <c r="G946" s="14"/>
      <c r="H946" s="141"/>
      <c r="I946" s="141"/>
      <c r="J946" s="141"/>
      <c r="K946" s="141"/>
      <c r="L946" s="141"/>
      <c r="M946" s="141"/>
      <c r="N946" s="141"/>
      <c r="O946" s="141"/>
      <c r="P946" s="141"/>
      <c r="Q946" s="141"/>
      <c r="R946" s="141"/>
      <c r="S946" s="141"/>
      <c r="T946" s="141"/>
      <c r="U946" s="141"/>
      <c r="V946" s="141"/>
      <c r="W946" s="141"/>
      <c r="X946" s="141"/>
      <c r="Y946" s="141"/>
      <c r="Z946" s="141"/>
      <c r="AA946" s="141"/>
      <c r="AB946" s="141"/>
      <c r="AC946" s="14"/>
      <c r="AD946" s="14"/>
      <c r="AE946" s="14"/>
      <c r="AF946" s="14"/>
      <c r="AG946" s="14"/>
      <c r="AH946" s="14"/>
      <c r="AI946" s="14"/>
      <c r="AJ946" s="14"/>
      <c r="AK946" s="14"/>
      <c r="AL946" s="14"/>
      <c r="AM946" s="14"/>
      <c r="AN946" s="14"/>
      <c r="AO946" s="14"/>
      <c r="AP946" s="17"/>
    </row>
    <row r="947" spans="1:42" x14ac:dyDescent="0.25">
      <c r="A947" s="261"/>
      <c r="B947" s="261"/>
      <c r="C947" s="261" t="s">
        <v>581</v>
      </c>
      <c r="D947" s="261"/>
      <c r="E947" s="262"/>
      <c r="F947" s="263"/>
      <c r="G947" s="263"/>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3"/>
      <c r="AD947" s="263"/>
      <c r="AE947" s="263"/>
      <c r="AF947" s="263"/>
      <c r="AG947" s="263"/>
      <c r="AH947" s="263"/>
      <c r="AI947" s="263"/>
      <c r="AJ947" s="263"/>
      <c r="AK947" s="263"/>
      <c r="AL947" s="263"/>
      <c r="AM947" s="263"/>
      <c r="AN947" s="263"/>
      <c r="AO947" s="263"/>
      <c r="AP947" s="265"/>
    </row>
    <row r="948" spans="1:42" outlineLevel="1" x14ac:dyDescent="0.25">
      <c r="A948" s="12"/>
      <c r="B948" s="13"/>
      <c r="C948" s="14"/>
      <c r="D948" s="14"/>
      <c r="E948" s="15"/>
      <c r="F948" s="16"/>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7"/>
    </row>
    <row r="949" spans="1:42" outlineLevel="1" x14ac:dyDescent="0.25">
      <c r="A949" s="12"/>
      <c r="B949" s="13"/>
      <c r="C949" s="14" t="s">
        <v>582</v>
      </c>
      <c r="D949" s="14"/>
      <c r="E949" s="15" t="s">
        <v>112</v>
      </c>
      <c r="F949" s="16"/>
      <c r="G949" s="159">
        <f>SUM($I$662:$AB$662)</f>
        <v>1872000</v>
      </c>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row>
    <row r="950" spans="1:42" outlineLevel="1" x14ac:dyDescent="0.25">
      <c r="A950" s="12"/>
      <c r="B950" s="13"/>
      <c r="C950" s="14" t="s">
        <v>595</v>
      </c>
      <c r="D950" s="14"/>
      <c r="E950" s="15" t="s">
        <v>112</v>
      </c>
      <c r="F950" s="16"/>
      <c r="G950" s="141">
        <f>Route!$H$35</f>
        <v>37440</v>
      </c>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row>
    <row r="951" spans="1:42" outlineLevel="1" x14ac:dyDescent="0.25">
      <c r="A951" s="12"/>
      <c r="B951" s="13"/>
      <c r="C951" s="20" t="s">
        <v>584</v>
      </c>
      <c r="D951" s="20"/>
      <c r="E951" s="21" t="s">
        <v>112</v>
      </c>
      <c r="F951" s="48"/>
      <c r="G951" s="378">
        <f>SUM(G949:G950)</f>
        <v>1909440</v>
      </c>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row>
    <row r="952" spans="1:42" outlineLevel="1" x14ac:dyDescent="0.25">
      <c r="A952" s="12"/>
      <c r="B952" s="13"/>
      <c r="C952" s="14"/>
      <c r="D952" s="14"/>
      <c r="E952" s="15"/>
      <c r="F952" s="16"/>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row>
    <row r="953" spans="1:42" outlineLevel="1" x14ac:dyDescent="0.25">
      <c r="A953" s="12"/>
      <c r="B953" s="13"/>
      <c r="C953" s="14" t="s">
        <v>585</v>
      </c>
      <c r="D953" s="19"/>
      <c r="E953" s="15" t="s">
        <v>142</v>
      </c>
      <c r="F953" s="16"/>
      <c r="G953" s="150">
        <f>G867</f>
        <v>2392680.6588096176</v>
      </c>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row>
    <row r="954" spans="1:42" outlineLevel="1" x14ac:dyDescent="0.25">
      <c r="A954" s="12"/>
      <c r="B954" s="13"/>
      <c r="C954" s="14" t="s">
        <v>586</v>
      </c>
      <c r="D954" s="19"/>
      <c r="E954" s="15" t="s">
        <v>142</v>
      </c>
      <c r="F954" s="16"/>
      <c r="G954" s="150">
        <f>Route!$G$61</f>
        <v>32852.076245401164</v>
      </c>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row>
    <row r="955" spans="1:42" outlineLevel="1" x14ac:dyDescent="0.25">
      <c r="A955" s="12"/>
      <c r="B955" s="13"/>
      <c r="C955" s="14" t="s">
        <v>587</v>
      </c>
      <c r="D955" s="19"/>
      <c r="E955" s="15" t="s">
        <v>588</v>
      </c>
      <c r="F955" s="16"/>
      <c r="G955" s="376">
        <f>SUM(G953:G954)</f>
        <v>2425532.7350550187</v>
      </c>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row>
    <row r="956" spans="1:42" outlineLevel="1" x14ac:dyDescent="0.25">
      <c r="A956" s="12"/>
      <c r="B956" s="13"/>
      <c r="C956" s="20" t="s">
        <v>587</v>
      </c>
      <c r="D956" s="19"/>
      <c r="E956" s="15" t="s">
        <v>261</v>
      </c>
      <c r="F956" s="16"/>
      <c r="G956" s="376">
        <f>G955/G951</f>
        <v>1.2702848662723201</v>
      </c>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row>
    <row r="957" spans="1:42" outlineLevel="1" x14ac:dyDescent="0.25">
      <c r="A957" s="12"/>
      <c r="B957" s="13"/>
      <c r="C957" s="20"/>
      <c r="D957" s="19"/>
      <c r="E957" s="15"/>
      <c r="F957" s="16"/>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row>
    <row r="958" spans="1:42" outlineLevel="1" x14ac:dyDescent="0.25">
      <c r="A958" s="12"/>
      <c r="B958" s="13"/>
      <c r="C958" s="14" t="s">
        <v>589</v>
      </c>
      <c r="D958" s="19"/>
      <c r="E958" s="15" t="s">
        <v>142</v>
      </c>
      <c r="F958" s="16"/>
      <c r="G958" s="56">
        <f>G876+G900</f>
        <v>48618.388477330955</v>
      </c>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row>
    <row r="959" spans="1:42" outlineLevel="1" x14ac:dyDescent="0.25">
      <c r="A959" s="12"/>
      <c r="B959" s="13"/>
      <c r="C959" s="14" t="s">
        <v>590</v>
      </c>
      <c r="D959" s="19"/>
      <c r="E959" s="15" t="s">
        <v>142</v>
      </c>
      <c r="F959" s="16"/>
      <c r="G959" s="150">
        <f>Route!$G$119</f>
        <v>100696.94441250921</v>
      </c>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row>
    <row r="960" spans="1:42" outlineLevel="1" x14ac:dyDescent="0.25">
      <c r="A960" s="12"/>
      <c r="B960" s="13"/>
      <c r="C960" s="20" t="s">
        <v>591</v>
      </c>
      <c r="D960" s="19"/>
      <c r="E960" s="15" t="s">
        <v>588</v>
      </c>
      <c r="F960" s="16"/>
      <c r="G960" s="376">
        <f>SUM(G958:G959)</f>
        <v>149315.33288984018</v>
      </c>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row>
    <row r="961" spans="1:42" outlineLevel="1" x14ac:dyDescent="0.25">
      <c r="A961" s="12"/>
      <c r="B961" s="13"/>
      <c r="C961" s="20" t="s">
        <v>592</v>
      </c>
      <c r="D961" s="19"/>
      <c r="E961" s="15" t="s">
        <v>261</v>
      </c>
      <c r="F961" s="16"/>
      <c r="G961" s="376">
        <f>G960/G951</f>
        <v>7.8198494265250634E-2</v>
      </c>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row>
    <row r="962" spans="1:42" outlineLevel="1" x14ac:dyDescent="0.25">
      <c r="A962" s="12"/>
      <c r="B962" s="13"/>
      <c r="C962" s="20" t="s">
        <v>593</v>
      </c>
      <c r="D962" s="19"/>
      <c r="E962" s="15"/>
      <c r="F962" s="16"/>
      <c r="G962" s="377"/>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row>
    <row r="963" spans="1:42" outlineLevel="1" x14ac:dyDescent="0.25">
      <c r="A963" s="12"/>
      <c r="B963" s="13"/>
      <c r="C963" s="20"/>
      <c r="D963" s="19"/>
      <c r="E963" s="15"/>
      <c r="F963" s="16"/>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row>
    <row r="964" spans="1:42" ht="18" customHeight="1" outlineLevel="1" x14ac:dyDescent="0.3">
      <c r="A964" s="12"/>
      <c r="B964" s="13"/>
      <c r="C964" s="226" t="str">
        <f>C947</f>
        <v>TCO 3: Immediate Diesel to BEB Bus Replacement with Diesel bus used for Mode Shift</v>
      </c>
      <c r="D964" s="226"/>
      <c r="E964" s="15" t="s">
        <v>261</v>
      </c>
      <c r="F964" s="16"/>
      <c r="G964" s="224">
        <f>+G956+G961</f>
        <v>1.3484833605375708</v>
      </c>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row>
    <row r="965" spans="1:42" ht="18" customHeight="1" outlineLevel="1" x14ac:dyDescent="0.25">
      <c r="A965" s="12"/>
      <c r="B965" s="13"/>
      <c r="C965" s="15"/>
      <c r="D965" s="15"/>
      <c r="E965" s="15"/>
      <c r="F965" s="16"/>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row>
    <row r="966" spans="1:42" outlineLevel="1" x14ac:dyDescent="0.25">
      <c r="A966" s="12"/>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row>
  </sheetData>
  <conditionalFormatting sqref="D59:D60">
    <cfRule type="expression" dxfId="444" priority="45">
      <formula>ISNA(D59)</formula>
    </cfRule>
    <cfRule type="expression" dxfId="443" priority="46">
      <formula>D$2&gt;=start_proj</formula>
    </cfRule>
  </conditionalFormatting>
  <conditionalFormatting sqref="D382:D383">
    <cfRule type="expression" dxfId="442" priority="33">
      <formula>ISNA(D382)</formula>
    </cfRule>
    <cfRule type="expression" dxfId="441" priority="34">
      <formula>D$2&gt;=start_proj</formula>
    </cfRule>
  </conditionalFormatting>
  <conditionalFormatting sqref="D700:D701">
    <cfRule type="expression" dxfId="440" priority="27">
      <formula>ISNA(D700)</formula>
    </cfRule>
    <cfRule type="expression" dxfId="439" priority="28">
      <formula>D$2&gt;=start_proj</formula>
    </cfRule>
  </conditionalFormatting>
  <conditionalFormatting sqref="G117:G121">
    <cfRule type="expression" dxfId="438" priority="243">
      <formula>ISNA(G117)</formula>
    </cfRule>
    <cfRule type="expression" dxfId="437" priority="244">
      <formula>G$2&gt;=start_proj</formula>
    </cfRule>
  </conditionalFormatting>
  <conditionalFormatting sqref="G235:G240">
    <cfRule type="expression" dxfId="436" priority="235">
      <formula>ISNA(G235)</formula>
    </cfRule>
    <cfRule type="expression" dxfId="435" priority="236">
      <formula>G$2&gt;=start_proj</formula>
    </cfRule>
  </conditionalFormatting>
  <conditionalFormatting sqref="G306:G308">
    <cfRule type="expression" dxfId="434" priority="290">
      <formula>H$2&gt;=start_proj</formula>
    </cfRule>
  </conditionalFormatting>
  <conditionalFormatting sqref="G306:G309 H308:AP309">
    <cfRule type="expression" dxfId="433" priority="287">
      <formula>ISNA(G306)</formula>
    </cfRule>
  </conditionalFormatting>
  <conditionalFormatting sqref="G438:G442">
    <cfRule type="expression" dxfId="432" priority="144">
      <formula>ISNA(G438)</formula>
    </cfRule>
    <cfRule type="expression" dxfId="431" priority="145">
      <formula>G$2&gt;=start_proj</formula>
    </cfRule>
  </conditionalFormatting>
  <conditionalFormatting sqref="G444">
    <cfRule type="expression" dxfId="430" priority="176">
      <formula>ISNA(G444)</formula>
    </cfRule>
    <cfRule type="expression" dxfId="429" priority="177">
      <formula>G$2&gt;=start_proj</formula>
    </cfRule>
  </conditionalFormatting>
  <conditionalFormatting sqref="G554:G558">
    <cfRule type="expression" dxfId="428" priority="148">
      <formula>ISNA(G554)</formula>
    </cfRule>
    <cfRule type="expression" dxfId="427" priority="149">
      <formula>G$2&gt;=start_proj</formula>
    </cfRule>
  </conditionalFormatting>
  <conditionalFormatting sqref="G624:G626">
    <cfRule type="expression" dxfId="426" priority="194">
      <formula>H$2&gt;=start_proj</formula>
    </cfRule>
  </conditionalFormatting>
  <conditionalFormatting sqref="G624:G627 H626:AP627">
    <cfRule type="expression" dxfId="425" priority="192">
      <formula>ISNA(G624)</formula>
    </cfRule>
  </conditionalFormatting>
  <conditionalFormatting sqref="G756:G760">
    <cfRule type="expression" dxfId="424" priority="55">
      <formula>ISNA(G756)</formula>
    </cfRule>
    <cfRule type="expression" dxfId="423" priority="56">
      <formula>G$2&gt;=start_proj</formula>
    </cfRule>
  </conditionalFormatting>
  <conditionalFormatting sqref="G762">
    <cfRule type="expression" dxfId="422" priority="87">
      <formula>ISNA(G762)</formula>
    </cfRule>
    <cfRule type="expression" dxfId="421" priority="88">
      <formula>G$2&gt;=start_proj</formula>
    </cfRule>
  </conditionalFormatting>
  <conditionalFormatting sqref="G872:G876">
    <cfRule type="expression" dxfId="420" priority="59">
      <formula>ISNA(G872)</formula>
    </cfRule>
    <cfRule type="expression" dxfId="419" priority="60">
      <formula>G$2&gt;=start_proj</formula>
    </cfRule>
  </conditionalFormatting>
  <conditionalFormatting sqref="G942:G944">
    <cfRule type="expression" dxfId="418" priority="105">
      <formula>H$2&gt;=start_proj</formula>
    </cfRule>
  </conditionalFormatting>
  <conditionalFormatting sqref="G942:G945 H944:AP945">
    <cfRule type="expression" dxfId="417" priority="103">
      <formula>ISNA(G942)</formula>
    </cfRule>
  </conditionalFormatting>
  <conditionalFormatting sqref="G254:H260">
    <cfRule type="expression" dxfId="416" priority="279">
      <formula>ISNA(G254)</formula>
    </cfRule>
    <cfRule type="expression" dxfId="415" priority="280">
      <formula>G$2&gt;=start_proj</formula>
    </cfRule>
  </conditionalFormatting>
  <conditionalFormatting sqref="G457:H463">
    <cfRule type="expression" dxfId="414" priority="174">
      <formula>ISNA(G457)</formula>
    </cfRule>
    <cfRule type="expression" dxfId="413" priority="175">
      <formula>G$2&gt;=start_proj</formula>
    </cfRule>
  </conditionalFormatting>
  <conditionalFormatting sqref="G572:H578">
    <cfRule type="expression" dxfId="412" priority="190">
      <formula>ISNA(G572)</formula>
    </cfRule>
    <cfRule type="expression" dxfId="411" priority="191">
      <formula>G$2&gt;=start_proj</formula>
    </cfRule>
  </conditionalFormatting>
  <conditionalFormatting sqref="G775:H781">
    <cfRule type="expression" dxfId="410" priority="85">
      <formula>ISNA(G775)</formula>
    </cfRule>
    <cfRule type="expression" dxfId="409" priority="86">
      <formula>G$2&gt;=start_proj</formula>
    </cfRule>
  </conditionalFormatting>
  <conditionalFormatting sqref="G890:H896">
    <cfRule type="expression" dxfId="408" priority="101">
      <formula>ISNA(G890)</formula>
    </cfRule>
    <cfRule type="expression" dxfId="407" priority="102">
      <formula>G$2&gt;=start_proj</formula>
    </cfRule>
  </conditionalFormatting>
  <conditionalFormatting sqref="J128:AP134 I128:I142 J135:AB135 J136:AP142">
    <cfRule type="expression" dxfId="406" priority="259">
      <formula>ISNA(I128)</formula>
    </cfRule>
    <cfRule type="expression" dxfId="405" priority="260">
      <formula>I$2&gt;=start_proj</formula>
    </cfRule>
  </conditionalFormatting>
  <conditionalFormatting sqref="G246:I246 J246:AP252 G247:H252 I247:I260 J253:AB253 J254:AP260">
    <cfRule type="expression" dxfId="404" priority="277">
      <formula>ISNA(G246)</formula>
    </cfRule>
    <cfRule type="expression" dxfId="403" priority="278">
      <formula>G$2&gt;=start_proj</formula>
    </cfRule>
  </conditionalFormatting>
  <conditionalFormatting sqref="G449:I449 J449:AP455 G450:H455 I450:I463 J456:AB456 J457:AP463">
    <cfRule type="expression" dxfId="402" priority="172">
      <formula>ISNA(G449)</formula>
    </cfRule>
    <cfRule type="expression" dxfId="401" priority="173">
      <formula>G$2&gt;=start_proj</formula>
    </cfRule>
  </conditionalFormatting>
  <conditionalFormatting sqref="G564:I564 AP564:AP570 J564:AO571 G565:H570 I565:I578 J572:AP578">
    <cfRule type="expression" dxfId="400" priority="188">
      <formula>ISNA(G564)</formula>
    </cfRule>
    <cfRule type="expression" dxfId="399" priority="189">
      <formula>G$2&gt;=start_proj</formula>
    </cfRule>
  </conditionalFormatting>
  <conditionalFormatting sqref="G767:I767 J767:AP773 G768:H773 I768:I781 J774:AB774 J775:AP781">
    <cfRule type="expression" dxfId="398" priority="83">
      <formula>ISNA(G767)</formula>
    </cfRule>
    <cfRule type="expression" dxfId="397" priority="84">
      <formula>G$2&gt;=start_proj</formula>
    </cfRule>
  </conditionalFormatting>
  <conditionalFormatting sqref="G882:I882 AP882:AP888 J882:AO889 G883:H888 I883:I896 J890:AP896">
    <cfRule type="expression" dxfId="396" priority="99">
      <formula>ISNA(G882)</formula>
    </cfRule>
    <cfRule type="expression" dxfId="395" priority="100">
      <formula>G$2&gt;=start_proj</formula>
    </cfRule>
  </conditionalFormatting>
  <conditionalFormatting sqref="G151:AP157">
    <cfRule type="expression" dxfId="394" priority="309">
      <formula>ISNA(G151)</formula>
    </cfRule>
    <cfRule type="expression" dxfId="393" priority="310">
      <formula>G$2&gt;=start_proj</formula>
    </cfRule>
  </conditionalFormatting>
  <conditionalFormatting sqref="G159:AP165">
    <cfRule type="expression" dxfId="392" priority="311">
      <formula>ISNA(G159)</formula>
    </cfRule>
    <cfRule type="expression" dxfId="391" priority="312">
      <formula>G$2&gt;=start_proj</formula>
    </cfRule>
  </conditionalFormatting>
  <conditionalFormatting sqref="G281:AP287">
    <cfRule type="expression" dxfId="390" priority="407">
      <formula>ISNA(G281)</formula>
    </cfRule>
    <cfRule type="expression" dxfId="389" priority="408">
      <formula>G$2&gt;=start_proj</formula>
    </cfRule>
  </conditionalFormatting>
  <conditionalFormatting sqref="G472:AP478">
    <cfRule type="expression" dxfId="388" priority="205">
      <formula>ISNA(G472)</formula>
    </cfRule>
    <cfRule type="expression" dxfId="387" priority="206">
      <formula>G$2&gt;=start_proj</formula>
    </cfRule>
  </conditionalFormatting>
  <conditionalFormatting sqref="G480:AP486">
    <cfRule type="expression" dxfId="386" priority="207">
      <formula>ISNA(G480)</formula>
    </cfRule>
    <cfRule type="expression" dxfId="385" priority="208">
      <formula>G$2&gt;=start_proj</formula>
    </cfRule>
  </conditionalFormatting>
  <conditionalFormatting sqref="G790:AP796">
    <cfRule type="expression" dxfId="384" priority="116">
      <formula>ISNA(G790)</formula>
    </cfRule>
    <cfRule type="expression" dxfId="383" priority="117">
      <formula>G$2&gt;=start_proj</formula>
    </cfRule>
  </conditionalFormatting>
  <conditionalFormatting sqref="G798:AP804">
    <cfRule type="expression" dxfId="382" priority="118">
      <formula>ISNA(G798)</formula>
    </cfRule>
    <cfRule type="expression" dxfId="381" priority="119">
      <formula>G$2&gt;=start_proj</formula>
    </cfRule>
  </conditionalFormatting>
  <conditionalFormatting sqref="H617 I617:AO621">
    <cfRule type="expression" dxfId="380" priority="197">
      <formula>ISNA(H617)</formula>
    </cfRule>
    <cfRule type="expression" dxfId="379" priority="198">
      <formula>H$2&gt;=start_proj</formula>
    </cfRule>
  </conditionalFormatting>
  <conditionalFormatting sqref="H223:T223 V223:X223 Z223:AA223 AC223:AP223">
    <cfRule type="expression" dxfId="378" priority="265">
      <formula>ISNA(H223)</formula>
    </cfRule>
  </conditionalFormatting>
  <conditionalFormatting sqref="H223:T223 V223:X223 Z223:AA223 AD223:AP223">
    <cfRule type="expression" dxfId="377" priority="266">
      <formula>H$2&gt;=start_proj</formula>
    </cfRule>
  </conditionalFormatting>
  <conditionalFormatting sqref="H544:T544 V544:X544 Z544:AA544 AC544:AP544">
    <cfRule type="expression" dxfId="376" priority="178">
      <formula>ISNA(H544)</formula>
    </cfRule>
  </conditionalFormatting>
  <conditionalFormatting sqref="H544:T544 V544:X544 Z544:AA544 AD544:AP544">
    <cfRule type="expression" dxfId="375" priority="179">
      <formula>H$2&gt;=start_proj</formula>
    </cfRule>
  </conditionalFormatting>
  <conditionalFormatting sqref="H862:T862 V862:X862 Z862:AA862 AC862:AP862">
    <cfRule type="expression" dxfId="374" priority="89">
      <formula>ISNA(H862)</formula>
    </cfRule>
  </conditionalFormatting>
  <conditionalFormatting sqref="H862:T862 V862:X862 Z862:AA862 AD862:AP862">
    <cfRule type="expression" dxfId="373" priority="90">
      <formula>H$2&gt;=start_proj</formula>
    </cfRule>
  </conditionalFormatting>
  <conditionalFormatting sqref="H97:AB98 AC98:AO98 H99:AO101">
    <cfRule type="expression" dxfId="372" priority="275">
      <formula>ISNA(H97)</formula>
    </cfRule>
    <cfRule type="expression" dxfId="371" priority="276">
      <formula>H$2&gt;=start_proj</formula>
    </cfRule>
  </conditionalFormatting>
  <conditionalFormatting sqref="H297:AO297">
    <cfRule type="expression" dxfId="370" priority="295">
      <formula>ISNA(H297)</formula>
    </cfRule>
    <cfRule type="expression" dxfId="369" priority="296">
      <formula>H$2&gt;=start_proj</formula>
    </cfRule>
  </conditionalFormatting>
  <conditionalFormatting sqref="H421:AO424">
    <cfRule type="expression" dxfId="368" priority="186">
      <formula>ISNA(H421)</formula>
    </cfRule>
    <cfRule type="expression" dxfId="367" priority="187">
      <formula>H$2&gt;=start_proj</formula>
    </cfRule>
  </conditionalFormatting>
  <conditionalFormatting sqref="H615:AO615">
    <cfRule type="expression" dxfId="366" priority="199">
      <formula>ISNA(H615)</formula>
    </cfRule>
    <cfRule type="expression" dxfId="365" priority="200">
      <formula>H$2&gt;=start_proj</formula>
    </cfRule>
  </conditionalFormatting>
  <conditionalFormatting sqref="H739:AO742">
    <cfRule type="expression" dxfId="364" priority="97">
      <formula>ISNA(H739)</formula>
    </cfRule>
    <cfRule type="expression" dxfId="363" priority="98">
      <formula>H$2&gt;=start_proj</formula>
    </cfRule>
  </conditionalFormatting>
  <conditionalFormatting sqref="H933:AO933">
    <cfRule type="expression" dxfId="362" priority="110">
      <formula>ISNA(H933)</formula>
    </cfRule>
    <cfRule type="expression" dxfId="361" priority="111">
      <formula>H$2&gt;=start_proj</formula>
    </cfRule>
  </conditionalFormatting>
  <conditionalFormatting sqref="H2:AP3">
    <cfRule type="cellIs" dxfId="360" priority="337" operator="equal">
      <formula>end_proj</formula>
    </cfRule>
    <cfRule type="expression" dxfId="359" priority="338">
      <formula>ISNA(H2)</formula>
    </cfRule>
    <cfRule type="cellIs" dxfId="358" priority="339" operator="equal">
      <formula>start_proj</formula>
    </cfRule>
    <cfRule type="cellIs" dxfId="357" priority="345" operator="equal">
      <formula>start_hist</formula>
    </cfRule>
    <cfRule type="cellIs" dxfId="356" priority="346" operator="greaterThan">
      <formula>start_proj</formula>
    </cfRule>
  </conditionalFormatting>
  <conditionalFormatting sqref="H34:AP43">
    <cfRule type="expression" dxfId="355" priority="325">
      <formula>ISNA(H34)</formula>
    </cfRule>
    <cfRule type="expression" dxfId="354" priority="326">
      <formula>H$2&gt;=start_proj</formula>
    </cfRule>
  </conditionalFormatting>
  <conditionalFormatting sqref="H50:AP50">
    <cfRule type="expression" dxfId="353" priority="313">
      <formula>ISNA(H50)</formula>
    </cfRule>
    <cfRule type="expression" dxfId="352" priority="314">
      <formula>H$2&gt;=start_proj</formula>
    </cfRule>
  </conditionalFormatting>
  <conditionalFormatting sqref="H56:AP65">
    <cfRule type="expression" dxfId="351" priority="43">
      <formula>ISNA(H56)</formula>
    </cfRule>
    <cfRule type="expression" dxfId="350" priority="44">
      <formula>H$2&gt;=start_proj</formula>
    </cfRule>
  </conditionalFormatting>
  <conditionalFormatting sqref="H69:AP72 H74:AP75">
    <cfRule type="expression" dxfId="349" priority="323">
      <formula>ISNA(H69)</formula>
    </cfRule>
    <cfRule type="expression" dxfId="348" priority="324">
      <formula>H$2&gt;=start_proj</formula>
    </cfRule>
  </conditionalFormatting>
  <conditionalFormatting sqref="H78:AP88">
    <cfRule type="expression" dxfId="347" priority="319">
      <formula>ISNA(H78)</formula>
    </cfRule>
    <cfRule type="expression" dxfId="346" priority="320">
      <formula>H$2&gt;=start_proj</formula>
    </cfRule>
  </conditionalFormatting>
  <conditionalFormatting sqref="H90:AP94">
    <cfRule type="expression" dxfId="345" priority="273">
      <formula>ISNA(H90)</formula>
    </cfRule>
    <cfRule type="expression" dxfId="344" priority="274">
      <formula>H$2&gt;=start_proj</formula>
    </cfRule>
  </conditionalFormatting>
  <conditionalFormatting sqref="H102:AP106">
    <cfRule type="expression" dxfId="343" priority="19">
      <formula>ISNA(H102)</formula>
    </cfRule>
    <cfRule type="expression" dxfId="342" priority="20">
      <formula>H$2&gt;=start_proj</formula>
    </cfRule>
  </conditionalFormatting>
  <conditionalFormatting sqref="H110:AP113">
    <cfRule type="expression" dxfId="341" priority="41">
      <formula>ISNA(H110)</formula>
    </cfRule>
    <cfRule type="expression" dxfId="340" priority="42">
      <formula>H$2&gt;=start_proj</formula>
    </cfRule>
  </conditionalFormatting>
  <conditionalFormatting sqref="H117:AP123">
    <cfRule type="expression" dxfId="339" priority="241">
      <formula>ISNA(H117)</formula>
    </cfRule>
    <cfRule type="expression" dxfId="338" priority="242">
      <formula>H$2&gt;=start_proj</formula>
    </cfRule>
  </conditionalFormatting>
  <conditionalFormatting sqref="H177:AP186">
    <cfRule type="expression" dxfId="337" priority="245">
      <formula>ISNA(H177)</formula>
    </cfRule>
    <cfRule type="expression" dxfId="336" priority="246">
      <formula>H$2&gt;=start_proj</formula>
    </cfRule>
  </conditionalFormatting>
  <conditionalFormatting sqref="H195:AP195 H329:AO329">
    <cfRule type="expression" dxfId="335" priority="411">
      <formula>ISNA(H195)</formula>
    </cfRule>
    <cfRule type="expression" dxfId="334" priority="413">
      <formula>H$2&gt;=start_proj</formula>
    </cfRule>
  </conditionalFormatting>
  <conditionalFormatting sqref="H204:AP207 H210:AP210">
    <cfRule type="expression" dxfId="333" priority="405">
      <formula>ISNA(H204)</formula>
    </cfRule>
    <cfRule type="expression" dxfId="332" priority="406">
      <formula>H$2&gt;=start_proj</formula>
    </cfRule>
  </conditionalFormatting>
  <conditionalFormatting sqref="H213:AP221">
    <cfRule type="expression" dxfId="331" priority="13">
      <formula>ISNA(H213)</formula>
    </cfRule>
    <cfRule type="expression" dxfId="330" priority="14">
      <formula>H$2&gt;=start_proj</formula>
    </cfRule>
  </conditionalFormatting>
  <conditionalFormatting sqref="H228:AP231">
    <cfRule type="expression" dxfId="329" priority="393">
      <formula>ISNA(H228)</formula>
    </cfRule>
    <cfRule type="expression" dxfId="328" priority="394">
      <formula>H$2&gt;=start_proj</formula>
    </cfRule>
  </conditionalFormatting>
  <conditionalFormatting sqref="H235:AP241">
    <cfRule type="expression" dxfId="327" priority="233">
      <formula>ISNA(H235)</formula>
    </cfRule>
    <cfRule type="expression" dxfId="326" priority="234">
      <formula>H$2&gt;=start_proj</formula>
    </cfRule>
  </conditionalFormatting>
  <conditionalFormatting sqref="H267:AP267 G273:AP279">
    <cfRule type="expression" dxfId="325" priority="333">
      <formula>ISNA(G267)</formula>
    </cfRule>
    <cfRule type="expression" dxfId="324" priority="334">
      <formula>G$2&gt;=start_proj</formula>
    </cfRule>
  </conditionalFormatting>
  <conditionalFormatting sqref="H304:AP304">
    <cfRule type="expression" dxfId="323" priority="291">
      <formula>ISNA(H304)</formula>
    </cfRule>
    <cfRule type="expression" dxfId="322" priority="292">
      <formula>H$2&gt;=start_proj</formula>
    </cfRule>
  </conditionalFormatting>
  <conditionalFormatting sqref="H308:AP309 G309">
    <cfRule type="expression" dxfId="321" priority="288">
      <formula>G$2&gt;=start_proj</formula>
    </cfRule>
  </conditionalFormatting>
  <conditionalFormatting sqref="H357:AP366">
    <cfRule type="expression" dxfId="320" priority="215">
      <formula>ISNA(H357)</formula>
    </cfRule>
    <cfRule type="expression" dxfId="319" priority="216">
      <formula>H$2&gt;=start_proj</formula>
    </cfRule>
  </conditionalFormatting>
  <conditionalFormatting sqref="H373:AP373">
    <cfRule type="expression" dxfId="318" priority="209">
      <formula>ISNA(H373)</formula>
    </cfRule>
    <cfRule type="expression" dxfId="317" priority="210">
      <formula>H$2&gt;=start_proj</formula>
    </cfRule>
  </conditionalFormatting>
  <conditionalFormatting sqref="H379:AP388">
    <cfRule type="expression" dxfId="316" priority="23">
      <formula>ISNA(H379)</formula>
    </cfRule>
    <cfRule type="expression" dxfId="315" priority="24">
      <formula>H$2&gt;=start_proj</formula>
    </cfRule>
  </conditionalFormatting>
  <conditionalFormatting sqref="H392:AP395 H398:AP398">
    <cfRule type="expression" dxfId="314" priority="213">
      <formula>ISNA(H392)</formula>
    </cfRule>
    <cfRule type="expression" dxfId="313" priority="214">
      <formula>H$2&gt;=start_proj</formula>
    </cfRule>
  </conditionalFormatting>
  <conditionalFormatting sqref="H401:AP411">
    <cfRule type="expression" dxfId="312" priority="11">
      <formula>ISNA(H401)</formula>
    </cfRule>
    <cfRule type="expression" dxfId="311" priority="12">
      <formula>H$2&gt;=start_proj</formula>
    </cfRule>
  </conditionalFormatting>
  <conditionalFormatting sqref="H413:AP417">
    <cfRule type="expression" dxfId="310" priority="184">
      <formula>ISNA(H413)</formula>
    </cfRule>
    <cfRule type="expression" dxfId="309" priority="185">
      <formula>H$2&gt;=start_proj</formula>
    </cfRule>
  </conditionalFormatting>
  <conditionalFormatting sqref="H420:AP420 AP421:AP423">
    <cfRule type="expression" dxfId="308" priority="182">
      <formula>ISNA(H420)</formula>
    </cfRule>
    <cfRule type="expression" dxfId="307" priority="183">
      <formula>H$2&gt;=start_proj</formula>
    </cfRule>
  </conditionalFormatting>
  <conditionalFormatting sqref="H425:AP429">
    <cfRule type="expression" dxfId="306" priority="17">
      <formula>ISNA(H425)</formula>
    </cfRule>
    <cfRule type="expression" dxfId="305" priority="18">
      <formula>H$2&gt;=start_proj</formula>
    </cfRule>
  </conditionalFormatting>
  <conditionalFormatting sqref="H431:AP434 G599:G605 I599:AP605">
    <cfRule type="expression" dxfId="304" priority="225">
      <formula>ISNA(G431)</formula>
    </cfRule>
    <cfRule type="expression" dxfId="303" priority="226">
      <formula>G$2&gt;=start_proj</formula>
    </cfRule>
  </conditionalFormatting>
  <conditionalFormatting sqref="H438:AP444">
    <cfRule type="expression" dxfId="302" priority="154">
      <formula>ISNA(H438)</formula>
    </cfRule>
    <cfRule type="expression" dxfId="301" priority="155">
      <formula>H$2&gt;=start_proj</formula>
    </cfRule>
  </conditionalFormatting>
  <conditionalFormatting sqref="H498:AP507">
    <cfRule type="expression" dxfId="300" priority="158">
      <formula>ISNA(H498)</formula>
    </cfRule>
    <cfRule type="expression" dxfId="299" priority="159">
      <formula>H$2&gt;=start_proj</formula>
    </cfRule>
  </conditionalFormatting>
  <conditionalFormatting sqref="H516:AP516">
    <cfRule type="expression" dxfId="298" priority="227">
      <formula>ISNA(H516)</formula>
    </cfRule>
    <cfRule type="expression" dxfId="297" priority="228">
      <formula>H$2&gt;=start_proj</formula>
    </cfRule>
  </conditionalFormatting>
  <conditionalFormatting sqref="H525:AP528">
    <cfRule type="expression" dxfId="296" priority="39">
      <formula>ISNA(H525)</formula>
    </cfRule>
    <cfRule type="expression" dxfId="295" priority="40">
      <formula>H$2&gt;=start_proj</formula>
    </cfRule>
  </conditionalFormatting>
  <conditionalFormatting sqref="H531:AP531">
    <cfRule type="expression" dxfId="294" priority="223">
      <formula>ISNA(H531)</formula>
    </cfRule>
    <cfRule type="expression" dxfId="293" priority="224">
      <formula>H$2&gt;=start_proj</formula>
    </cfRule>
  </conditionalFormatting>
  <conditionalFormatting sqref="H534:AP542">
    <cfRule type="expression" dxfId="292" priority="9">
      <formula>ISNA(H534)</formula>
    </cfRule>
    <cfRule type="expression" dxfId="291" priority="10">
      <formula>H$2&gt;=start_proj</formula>
    </cfRule>
  </conditionalFormatting>
  <conditionalFormatting sqref="H547:AP550">
    <cfRule type="expression" dxfId="290" priority="219">
      <formula>ISNA(H547)</formula>
    </cfRule>
    <cfRule type="expression" dxfId="289" priority="220">
      <formula>H$2&gt;=start_proj</formula>
    </cfRule>
  </conditionalFormatting>
  <conditionalFormatting sqref="H554:AP559">
    <cfRule type="expression" dxfId="288" priority="146">
      <formula>ISNA(H554)</formula>
    </cfRule>
    <cfRule type="expression" dxfId="287" priority="147">
      <formula>H$2&gt;=start_proj</formula>
    </cfRule>
  </conditionalFormatting>
  <conditionalFormatting sqref="H585:AP585 G591:AP597 H598:H607">
    <cfRule type="expression" dxfId="286" priority="217">
      <formula>ISNA(G585)</formula>
    </cfRule>
    <cfRule type="expression" dxfId="285" priority="218">
      <formula>G$2&gt;=start_proj</formula>
    </cfRule>
  </conditionalFormatting>
  <conditionalFormatting sqref="H622:AP622">
    <cfRule type="expression" dxfId="284" priority="195">
      <formula>ISNA(H622)</formula>
    </cfRule>
    <cfRule type="expression" dxfId="283" priority="196">
      <formula>H$2&gt;=start_proj</formula>
    </cfRule>
  </conditionalFormatting>
  <conditionalFormatting sqref="H626:AP627 G627">
    <cfRule type="expression" dxfId="282" priority="193">
      <formula>G$2&gt;=start_proj</formula>
    </cfRule>
  </conditionalFormatting>
  <conditionalFormatting sqref="H675:AP684">
    <cfRule type="expression" dxfId="281" priority="126">
      <formula>ISNA(H675)</formula>
    </cfRule>
    <cfRule type="expression" dxfId="280" priority="127">
      <formula>H$2&gt;=start_proj</formula>
    </cfRule>
  </conditionalFormatting>
  <conditionalFormatting sqref="H691:AP691">
    <cfRule type="expression" dxfId="279" priority="29">
      <formula>ISNA(H691)</formula>
    </cfRule>
    <cfRule type="expression" dxfId="278" priority="30">
      <formula>H$2&gt;=start_proj</formula>
    </cfRule>
  </conditionalFormatting>
  <conditionalFormatting sqref="H697:AP706">
    <cfRule type="expression" dxfId="277" priority="21">
      <formula>ISNA(H697)</formula>
    </cfRule>
    <cfRule type="expression" dxfId="276" priority="22">
      <formula>H$2&gt;=start_proj</formula>
    </cfRule>
  </conditionalFormatting>
  <conditionalFormatting sqref="H710:AP713">
    <cfRule type="expression" dxfId="275" priority="37">
      <formula>ISNA(H710)</formula>
    </cfRule>
    <cfRule type="expression" dxfId="274" priority="38">
      <formula>H$2&gt;=start_proj</formula>
    </cfRule>
  </conditionalFormatting>
  <conditionalFormatting sqref="H716:AP716">
    <cfRule type="expression" dxfId="273" priority="124">
      <formula>ISNA(H716)</formula>
    </cfRule>
    <cfRule type="expression" dxfId="272" priority="125">
      <formula>H$2&gt;=start_proj</formula>
    </cfRule>
  </conditionalFormatting>
  <conditionalFormatting sqref="H719:AP729">
    <cfRule type="expression" dxfId="271" priority="7">
      <formula>ISNA(H719)</formula>
    </cfRule>
    <cfRule type="expression" dxfId="270" priority="8">
      <formula>H$2&gt;=start_proj</formula>
    </cfRule>
  </conditionalFormatting>
  <conditionalFormatting sqref="H731:AP735">
    <cfRule type="expression" dxfId="269" priority="95">
      <formula>ISNA(H731)</formula>
    </cfRule>
    <cfRule type="expression" dxfId="268" priority="96">
      <formula>H$2&gt;=start_proj</formula>
    </cfRule>
  </conditionalFormatting>
  <conditionalFormatting sqref="H738:AP738 AP739:AP741">
    <cfRule type="expression" dxfId="267" priority="93">
      <formula>ISNA(H738)</formula>
    </cfRule>
    <cfRule type="expression" dxfId="266" priority="94">
      <formula>H$2&gt;=start_proj</formula>
    </cfRule>
  </conditionalFormatting>
  <conditionalFormatting sqref="H743:AP747">
    <cfRule type="expression" dxfId="265" priority="15">
      <formula>ISNA(H743)</formula>
    </cfRule>
    <cfRule type="expression" dxfId="264" priority="16">
      <formula>H$2&gt;=start_proj</formula>
    </cfRule>
  </conditionalFormatting>
  <conditionalFormatting sqref="H749:AP752 G917:G923 I917:AP923">
    <cfRule type="expression" dxfId="263" priority="136">
      <formula>ISNA(G749)</formula>
    </cfRule>
    <cfRule type="expression" dxfId="262" priority="137">
      <formula>G$2&gt;=start_proj</formula>
    </cfRule>
  </conditionalFormatting>
  <conditionalFormatting sqref="H756:AP762">
    <cfRule type="expression" dxfId="261" priority="65">
      <formula>ISNA(H756)</formula>
    </cfRule>
    <cfRule type="expression" dxfId="260" priority="66">
      <formula>H$2&gt;=start_proj</formula>
    </cfRule>
  </conditionalFormatting>
  <conditionalFormatting sqref="H816:AP825">
    <cfRule type="expression" dxfId="259" priority="69">
      <formula>ISNA(H816)</formula>
    </cfRule>
    <cfRule type="expression" dxfId="258" priority="70">
      <formula>H$2&gt;=start_proj</formula>
    </cfRule>
  </conditionalFormatting>
  <conditionalFormatting sqref="H834:AP834">
    <cfRule type="expression" dxfId="257" priority="138">
      <formula>ISNA(H834)</formula>
    </cfRule>
    <cfRule type="expression" dxfId="256" priority="139">
      <formula>H$2&gt;=start_proj</formula>
    </cfRule>
  </conditionalFormatting>
  <conditionalFormatting sqref="H843:AP846">
    <cfRule type="expression" dxfId="255" priority="35">
      <formula>ISNA(H843)</formula>
    </cfRule>
    <cfRule type="expression" dxfId="254" priority="36">
      <formula>H$2&gt;=start_proj</formula>
    </cfRule>
  </conditionalFormatting>
  <conditionalFormatting sqref="H849:AP849">
    <cfRule type="expression" dxfId="253" priority="134">
      <formula>ISNA(H849)</formula>
    </cfRule>
    <cfRule type="expression" dxfId="252" priority="135">
      <formula>H$2&gt;=start_proj</formula>
    </cfRule>
  </conditionalFormatting>
  <conditionalFormatting sqref="H852:AP860">
    <cfRule type="expression" dxfId="251" priority="5">
      <formula>ISNA(H852)</formula>
    </cfRule>
    <cfRule type="expression" dxfId="250" priority="6">
      <formula>H$2&gt;=start_proj</formula>
    </cfRule>
  </conditionalFormatting>
  <conditionalFormatting sqref="H865:AP868">
    <cfRule type="expression" dxfId="249" priority="130">
      <formula>ISNA(H865)</formula>
    </cfRule>
    <cfRule type="expression" dxfId="248" priority="131">
      <formula>H$2&gt;=start_proj</formula>
    </cfRule>
  </conditionalFormatting>
  <conditionalFormatting sqref="H872:AP877">
    <cfRule type="expression" dxfId="247" priority="57">
      <formula>ISNA(H872)</formula>
    </cfRule>
    <cfRule type="expression" dxfId="246" priority="58">
      <formula>H$2&gt;=start_proj</formula>
    </cfRule>
  </conditionalFormatting>
  <conditionalFormatting sqref="H903:AP903 G909:AP915 H916:H925">
    <cfRule type="expression" dxfId="245" priority="128">
      <formula>ISNA(G903)</formula>
    </cfRule>
    <cfRule type="expression" dxfId="244" priority="129">
      <formula>G$2&gt;=start_proj</formula>
    </cfRule>
  </conditionalFormatting>
  <conditionalFormatting sqref="H940:AP940">
    <cfRule type="expression" dxfId="243" priority="106">
      <formula>ISNA(H940)</formula>
    </cfRule>
    <cfRule type="expression" dxfId="242" priority="107">
      <formula>H$2&gt;=start_proj</formula>
    </cfRule>
  </conditionalFormatting>
  <conditionalFormatting sqref="H944:AP945 G945">
    <cfRule type="expression" dxfId="241" priority="104">
      <formula>G$2&gt;=start_proj</formula>
    </cfRule>
  </conditionalFormatting>
  <conditionalFormatting sqref="I299:AO303">
    <cfRule type="expression" dxfId="240" priority="293">
      <formula>ISNA(I299)</formula>
    </cfRule>
    <cfRule type="expression" dxfId="239" priority="294">
      <formula>I$2&gt;=start_proj</formula>
    </cfRule>
  </conditionalFormatting>
  <conditionalFormatting sqref="I935:AO939">
    <cfRule type="expression" dxfId="238" priority="108">
      <formula>ISNA(I935)</formula>
    </cfRule>
    <cfRule type="expression" dxfId="237" priority="109">
      <formula>I$2&gt;=start_proj</formula>
    </cfRule>
  </conditionalFormatting>
  <conditionalFormatting sqref="AC223">
    <cfRule type="expression" dxfId="236" priority="684">
      <formula>U$2&gt;=start_proj</formula>
    </cfRule>
    <cfRule type="expression" dxfId="235" priority="688">
      <formula>AB$2&gt;=start_proj</formula>
    </cfRule>
  </conditionalFormatting>
  <conditionalFormatting sqref="AC544">
    <cfRule type="expression" dxfId="234" priority="230">
      <formula>U$2&gt;=start_proj</formula>
    </cfRule>
    <cfRule type="expression" dxfId="233" priority="232">
      <formula>AB$2&gt;=start_proj</formula>
    </cfRule>
  </conditionalFormatting>
  <conditionalFormatting sqref="AC862">
    <cfRule type="expression" dxfId="232" priority="141">
      <formula>U$2&gt;=start_proj</formula>
    </cfRule>
    <cfRule type="expression" dxfId="231" priority="143">
      <formula>AB$2&gt;=start_proj</formula>
    </cfRule>
  </conditionalFormatting>
  <conditionalFormatting sqref="AC97:AP97 AP98:AP100">
    <cfRule type="expression" dxfId="230" priority="271">
      <formula>ISNA(AC97)</formula>
    </cfRule>
    <cfRule type="expression" dxfId="229" priority="272">
      <formula>AC$2&gt;=start_proj</formula>
    </cfRule>
  </conditionalFormatting>
  <conditionalFormatting sqref="AO3">
    <cfRule type="cellIs" dxfId="228" priority="340" operator="equal">
      <formula>start_proj-hist_years</formula>
    </cfRule>
    <cfRule type="cellIs" dxfId="227" priority="341" operator="greaterThan">
      <formula>start_proj</formula>
    </cfRule>
  </conditionalFormatting>
  <conditionalFormatting sqref="H128:H134 H136:H142">
    <cfRule type="expression" dxfId="226" priority="3">
      <formula>ISNA(H128)</formula>
    </cfRule>
    <cfRule type="expression" dxfId="225" priority="4">
      <formula>H$2&gt;=start_proj</formula>
    </cfRule>
  </conditionalFormatting>
  <conditionalFormatting sqref="G128:G143">
    <cfRule type="expression" dxfId="224" priority="1">
      <formula>ISNA(G128)</formula>
    </cfRule>
    <cfRule type="expression" dxfId="223" priority="2">
      <formula>G$2&gt;=start_proj</formula>
    </cfRule>
  </conditionalFormatting>
  <hyperlinks>
    <hyperlink ref="C1" location="Dashboard!A1" display="Go to Dashboard" xr:uid="{571CE9EB-592A-45FA-BB23-B422C2A5A03E}"/>
    <hyperlink ref="D1" location="Cover!A1" display="Go to Results" xr:uid="{F48ACAB5-D257-4A13-94DD-29B047735FBC}"/>
  </hyperlinks>
  <pageMargins left="0.7" right="0.7" top="0.75" bottom="0.75" header="0.3" footer="0.3"/>
  <pageSetup orientation="portrait" r:id="rId1"/>
  <ignoredErrors>
    <ignoredError sqref="K12:W12 I35" formulaRange="1"/>
    <ignoredError sqref="G301 G619 G93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B002-6966-4C8D-A0DF-19AB010B89FE}">
  <sheetPr codeName="Sheet16">
    <tabColor theme="8" tint="-0.249977111117893"/>
  </sheetPr>
  <dimension ref="A1:AQ813"/>
  <sheetViews>
    <sheetView zoomScale="70" zoomScaleNormal="70" workbookViewId="0">
      <pane xSplit="6" ySplit="3" topLeftCell="G4" activePane="bottomRight" state="frozen"/>
      <selection pane="topRight" activeCell="I55" sqref="I55"/>
      <selection pane="bottomLeft" activeCell="I55" sqref="I55"/>
      <selection pane="bottomRight" activeCell="C6" sqref="C6"/>
    </sheetView>
  </sheetViews>
  <sheetFormatPr defaultRowHeight="15" outlineLevelRow="1" x14ac:dyDescent="0.25"/>
  <cols>
    <col min="1" max="1" width="6.28515625" style="51" customWidth="1"/>
    <col min="2" max="2" width="19.42578125" style="52" customWidth="1"/>
    <col min="3" max="4" width="38.140625" customWidth="1"/>
    <col min="5" max="5" width="16.28515625" style="53" customWidth="1"/>
    <col min="6" max="6" width="17.28515625" bestFit="1" customWidth="1"/>
    <col min="7" max="7" width="17.28515625" customWidth="1"/>
    <col min="8" max="8" width="16.140625" customWidth="1"/>
    <col min="9" max="9" width="21" customWidth="1"/>
    <col min="10" max="10" width="14.28515625" bestFit="1" customWidth="1"/>
    <col min="11" max="11" width="14.28515625" customWidth="1"/>
    <col min="12" max="12" width="14.28515625" bestFit="1" customWidth="1"/>
    <col min="13" max="13" width="17.5703125" customWidth="1"/>
    <col min="14" max="18" width="14.28515625" bestFit="1" customWidth="1"/>
    <col min="19" max="19" width="16.7109375" customWidth="1"/>
    <col min="20" max="20" width="19.28515625" bestFit="1" customWidth="1"/>
    <col min="21" max="21" width="14.28515625" bestFit="1" customWidth="1"/>
    <col min="22" max="22" width="15.85546875" customWidth="1"/>
    <col min="23" max="41" width="15" customWidth="1"/>
  </cols>
  <sheetData>
    <row r="1" spans="1:42" x14ac:dyDescent="0.25">
      <c r="A1" s="1"/>
      <c r="B1" s="2"/>
      <c r="C1" s="3" t="s">
        <v>191</v>
      </c>
      <c r="D1" s="3" t="s">
        <v>40</v>
      </c>
      <c r="E1" s="4"/>
      <c r="F1" s="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5"/>
    </row>
    <row r="2" spans="1:42" x14ac:dyDescent="0.25">
      <c r="A2" s="6"/>
      <c r="B2" s="7"/>
      <c r="C2" s="8"/>
      <c r="D2" s="8"/>
      <c r="E2" s="9"/>
      <c r="F2" s="9"/>
      <c r="G2" s="7"/>
      <c r="H2" s="10">
        <f>chart_start_proj</f>
        <v>2023</v>
      </c>
      <c r="I2" s="10">
        <f>H2+1</f>
        <v>2024</v>
      </c>
      <c r="J2" s="10">
        <f t="shared" ref="J2:AO2" si="0">I2+1</f>
        <v>2025</v>
      </c>
      <c r="K2" s="10">
        <f t="shared" si="0"/>
        <v>2026</v>
      </c>
      <c r="L2" s="10">
        <f t="shared" si="0"/>
        <v>2027</v>
      </c>
      <c r="M2" s="10">
        <f t="shared" si="0"/>
        <v>2028</v>
      </c>
      <c r="N2" s="10">
        <f t="shared" si="0"/>
        <v>2029</v>
      </c>
      <c r="O2" s="10">
        <f t="shared" si="0"/>
        <v>2030</v>
      </c>
      <c r="P2" s="10">
        <f t="shared" si="0"/>
        <v>2031</v>
      </c>
      <c r="Q2" s="10">
        <f t="shared" si="0"/>
        <v>2032</v>
      </c>
      <c r="R2" s="10">
        <f t="shared" si="0"/>
        <v>2033</v>
      </c>
      <c r="S2" s="10">
        <f t="shared" si="0"/>
        <v>2034</v>
      </c>
      <c r="T2" s="10">
        <f t="shared" si="0"/>
        <v>2035</v>
      </c>
      <c r="U2" s="10">
        <f t="shared" si="0"/>
        <v>2036</v>
      </c>
      <c r="V2" s="10">
        <f t="shared" si="0"/>
        <v>2037</v>
      </c>
      <c r="W2" s="10">
        <f t="shared" si="0"/>
        <v>2038</v>
      </c>
      <c r="X2" s="10">
        <f t="shared" si="0"/>
        <v>2039</v>
      </c>
      <c r="Y2" s="10">
        <f t="shared" si="0"/>
        <v>2040</v>
      </c>
      <c r="Z2" s="10">
        <f t="shared" si="0"/>
        <v>2041</v>
      </c>
      <c r="AA2" s="10">
        <f t="shared" si="0"/>
        <v>2042</v>
      </c>
      <c r="AB2" s="10">
        <f t="shared" si="0"/>
        <v>2043</v>
      </c>
      <c r="AC2" s="10">
        <f t="shared" si="0"/>
        <v>2044</v>
      </c>
      <c r="AD2" s="10">
        <f t="shared" si="0"/>
        <v>2045</v>
      </c>
      <c r="AE2" s="10">
        <f t="shared" si="0"/>
        <v>2046</v>
      </c>
      <c r="AF2" s="10">
        <f t="shared" si="0"/>
        <v>2047</v>
      </c>
      <c r="AG2" s="10">
        <f t="shared" si="0"/>
        <v>2048</v>
      </c>
      <c r="AH2" s="10">
        <f t="shared" si="0"/>
        <v>2049</v>
      </c>
      <c r="AI2" s="10">
        <f t="shared" si="0"/>
        <v>2050</v>
      </c>
      <c r="AJ2" s="10">
        <f t="shared" si="0"/>
        <v>2051</v>
      </c>
      <c r="AK2" s="10">
        <f t="shared" si="0"/>
        <v>2052</v>
      </c>
      <c r="AL2" s="10">
        <f t="shared" si="0"/>
        <v>2053</v>
      </c>
      <c r="AM2" s="10">
        <f t="shared" si="0"/>
        <v>2054</v>
      </c>
      <c r="AN2" s="10">
        <f t="shared" si="0"/>
        <v>2055</v>
      </c>
      <c r="AO2" s="10">
        <f t="shared" si="0"/>
        <v>2056</v>
      </c>
      <c r="AP2" s="11"/>
    </row>
    <row r="3" spans="1:42" x14ac:dyDescent="0.25">
      <c r="A3" s="1"/>
      <c r="B3" s="2"/>
      <c r="C3" s="148"/>
      <c r="D3" s="148"/>
      <c r="E3" s="4"/>
      <c r="F3" s="4"/>
      <c r="G3" s="2"/>
      <c r="H3" s="142">
        <v>0</v>
      </c>
      <c r="I3" s="142">
        <v>1</v>
      </c>
      <c r="J3" s="142">
        <v>2</v>
      </c>
      <c r="K3" s="142">
        <v>3</v>
      </c>
      <c r="L3" s="142">
        <v>4</v>
      </c>
      <c r="M3" s="142">
        <v>5</v>
      </c>
      <c r="N3" s="142">
        <v>6</v>
      </c>
      <c r="O3" s="142">
        <v>7</v>
      </c>
      <c r="P3" s="142">
        <v>8</v>
      </c>
      <c r="Q3" s="142">
        <v>9</v>
      </c>
      <c r="R3" s="142">
        <v>10</v>
      </c>
      <c r="S3" s="142">
        <v>11</v>
      </c>
      <c r="T3" s="142">
        <v>12</v>
      </c>
      <c r="U3" s="142">
        <v>13</v>
      </c>
      <c r="V3" s="142">
        <v>14</v>
      </c>
      <c r="W3" s="142">
        <v>15</v>
      </c>
      <c r="X3" s="142">
        <v>16</v>
      </c>
      <c r="Y3" s="142">
        <v>17</v>
      </c>
      <c r="Z3" s="142">
        <v>18</v>
      </c>
      <c r="AA3" s="142">
        <v>19</v>
      </c>
      <c r="AB3" s="142">
        <v>20</v>
      </c>
      <c r="AC3" s="142">
        <v>21</v>
      </c>
      <c r="AD3" s="142">
        <v>22</v>
      </c>
      <c r="AE3" s="142">
        <v>23</v>
      </c>
      <c r="AF3" s="142">
        <v>24</v>
      </c>
      <c r="AG3" s="142">
        <v>25</v>
      </c>
      <c r="AH3" s="142">
        <v>26</v>
      </c>
      <c r="AI3" s="142">
        <v>27</v>
      </c>
      <c r="AJ3" s="142">
        <v>28</v>
      </c>
      <c r="AK3" s="142">
        <v>29</v>
      </c>
      <c r="AL3" s="142">
        <v>30</v>
      </c>
      <c r="AM3" s="142">
        <v>31</v>
      </c>
      <c r="AN3" s="142">
        <v>32</v>
      </c>
      <c r="AO3" s="142">
        <v>33</v>
      </c>
      <c r="AP3" s="149"/>
    </row>
    <row r="4" spans="1:42" x14ac:dyDescent="0.25">
      <c r="A4" s="12"/>
      <c r="B4" s="13"/>
      <c r="C4" s="14"/>
      <c r="D4" s="14"/>
      <c r="E4" s="15"/>
      <c r="F4" s="16"/>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7"/>
    </row>
    <row r="5" spans="1:42" x14ac:dyDescent="0.25">
      <c r="A5" s="18" t="s">
        <v>192</v>
      </c>
      <c r="B5" s="19"/>
      <c r="C5" s="20" t="s">
        <v>193</v>
      </c>
      <c r="D5" s="21" t="s">
        <v>194</v>
      </c>
      <c r="E5" s="21" t="s">
        <v>110</v>
      </c>
      <c r="F5" s="22" t="s">
        <v>195</v>
      </c>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7"/>
    </row>
    <row r="6" spans="1:42" x14ac:dyDescent="0.25">
      <c r="A6" s="12"/>
      <c r="B6" s="13"/>
      <c r="C6" s="14"/>
      <c r="D6" s="14"/>
      <c r="E6" s="15"/>
      <c r="F6" s="16"/>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7"/>
    </row>
    <row r="7" spans="1:42" x14ac:dyDescent="0.25">
      <c r="A7" s="89"/>
      <c r="B7" s="89"/>
      <c r="C7" s="90" t="s">
        <v>172</v>
      </c>
      <c r="D7" s="91"/>
      <c r="E7" s="92"/>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3"/>
    </row>
    <row r="8" spans="1:42" x14ac:dyDescent="0.25">
      <c r="A8" s="23"/>
      <c r="B8" s="23"/>
      <c r="C8" s="24" t="s">
        <v>596</v>
      </c>
      <c r="D8" s="24"/>
      <c r="E8" s="25"/>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7"/>
    </row>
    <row r="9" spans="1:42" x14ac:dyDescent="0.25">
      <c r="A9" s="13"/>
      <c r="B9" s="13"/>
      <c r="C9" s="30"/>
      <c r="D9" s="30"/>
      <c r="E9" s="31"/>
      <c r="F9" s="16"/>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3"/>
    </row>
    <row r="10" spans="1:42" x14ac:dyDescent="0.25">
      <c r="A10" s="12"/>
      <c r="B10" s="13"/>
      <c r="C10" s="37" t="s">
        <v>506</v>
      </c>
      <c r="D10" s="37"/>
      <c r="E10" s="38"/>
      <c r="F10" s="39"/>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17"/>
    </row>
    <row r="11" spans="1:42" x14ac:dyDescent="0.25">
      <c r="A11" s="12"/>
      <c r="B11" s="13"/>
      <c r="C11" s="136" t="s">
        <v>507</v>
      </c>
      <c r="D11" s="41"/>
      <c r="E11" s="15" t="str">
        <f>Route!E11</f>
        <v>km/bus</v>
      </c>
      <c r="F11" s="16"/>
      <c r="G11" s="14"/>
      <c r="H11" s="141"/>
      <c r="I11" s="141">
        <f>Route!I11</f>
        <v>93600</v>
      </c>
      <c r="J11" s="141">
        <f>Route!J11</f>
        <v>93600</v>
      </c>
      <c r="K11" s="141">
        <f>Route!K11</f>
        <v>93600</v>
      </c>
      <c r="L11" s="141">
        <f>Route!L11</f>
        <v>93600</v>
      </c>
      <c r="M11" s="141">
        <f>Route!M11</f>
        <v>93600</v>
      </c>
      <c r="N11" s="141">
        <f>Route!N11</f>
        <v>93600</v>
      </c>
      <c r="O11" s="141">
        <f>Route!O11</f>
        <v>93600</v>
      </c>
      <c r="P11" s="141">
        <f>Route!P11</f>
        <v>93600</v>
      </c>
      <c r="Q11" s="141">
        <f>Route!Q11</f>
        <v>93600</v>
      </c>
      <c r="R11" s="141">
        <f>Route!R11</f>
        <v>93600</v>
      </c>
      <c r="S11" s="141">
        <f>Route!S11</f>
        <v>93600</v>
      </c>
      <c r="T11" s="141">
        <f>Route!T11</f>
        <v>93600</v>
      </c>
      <c r="U11" s="141">
        <f>Route!U11</f>
        <v>93600</v>
      </c>
      <c r="V11" s="141">
        <f>Route!V11</f>
        <v>93600</v>
      </c>
      <c r="W11" s="141">
        <f>Route!W11</f>
        <v>93600</v>
      </c>
      <c r="X11" s="141">
        <f>Route!X11</f>
        <v>93600</v>
      </c>
      <c r="Y11" s="141">
        <f>Route!Y11</f>
        <v>93600</v>
      </c>
      <c r="Z11" s="141">
        <f>Route!Z11</f>
        <v>93600</v>
      </c>
      <c r="AA11" s="141">
        <f>Route!AA11</f>
        <v>93600</v>
      </c>
      <c r="AB11" s="141">
        <f>Route!AB11</f>
        <v>93600</v>
      </c>
      <c r="AC11" s="141">
        <f>Route!AC11</f>
        <v>93600</v>
      </c>
      <c r="AD11" s="141">
        <f>Route!AD11</f>
        <v>93600</v>
      </c>
      <c r="AE11" s="141">
        <f>Route!AE11</f>
        <v>93600</v>
      </c>
      <c r="AF11" s="141">
        <f>Route!AF11</f>
        <v>93600</v>
      </c>
      <c r="AG11" s="141">
        <f>Route!AG11</f>
        <v>93600</v>
      </c>
      <c r="AH11" s="141">
        <f>Route!AH11</f>
        <v>93600</v>
      </c>
      <c r="AI11" s="141">
        <f>Route!AI11</f>
        <v>93600</v>
      </c>
      <c r="AJ11" s="141">
        <f>Route!AJ11</f>
        <v>93600</v>
      </c>
      <c r="AK11" s="141">
        <f>Route!AK11</f>
        <v>93600</v>
      </c>
      <c r="AL11" s="141">
        <f>Route!AL11</f>
        <v>93600</v>
      </c>
      <c r="AM11" s="141">
        <f>Route!AM11</f>
        <v>93600</v>
      </c>
      <c r="AN11" s="141">
        <f>Route!AN11</f>
        <v>93600</v>
      </c>
      <c r="AO11" s="141"/>
      <c r="AP11" s="17"/>
    </row>
    <row r="12" spans="1:42" x14ac:dyDescent="0.25">
      <c r="A12" s="12"/>
      <c r="B12" s="13"/>
      <c r="C12" s="136" t="s">
        <v>340</v>
      </c>
      <c r="D12" s="41"/>
      <c r="E12" s="15"/>
      <c r="F12" s="174">
        <v>0.02</v>
      </c>
      <c r="G12" s="14"/>
      <c r="H12" s="159"/>
      <c r="I12" s="159">
        <f>IF(COUNT($I$3:I$3)&gt;(Dashboard!$I$31),$F$12*1,0)</f>
        <v>0</v>
      </c>
      <c r="J12" s="159">
        <f>IF(COUNT($I$3:J$3)&gt;(Dashboard!$I$31),$F$12*1,0)</f>
        <v>0</v>
      </c>
      <c r="K12" s="159">
        <f>IF(COUNT($I$3:K$3)&gt;(Dashboard!$I$31),$F$12*1,0)</f>
        <v>0</v>
      </c>
      <c r="L12" s="159">
        <f>IF(COUNT($I$3:L$3)&gt;(Dashboard!$I$31),$F$12*1,0)</f>
        <v>0</v>
      </c>
      <c r="M12" s="159">
        <f>IF(COUNT($I$3:M$3)&gt;(Dashboard!$I$31),$F$12*1,0)</f>
        <v>0</v>
      </c>
      <c r="N12" s="159">
        <f>IF(COUNT($I$3:N$3)&gt;(Dashboard!$I$31),$F$12*1,0)</f>
        <v>0</v>
      </c>
      <c r="O12" s="159">
        <f>IF(COUNT($I$3:O$3)&gt;(Dashboard!$I$31),$F$12*1,0)</f>
        <v>0</v>
      </c>
      <c r="P12" s="159">
        <f>IF(COUNT($I$3:P$3)&gt;(Dashboard!$I$31),$F$12*1,0)</f>
        <v>0</v>
      </c>
      <c r="Q12" s="159">
        <f>IF(COUNT($I$3:Q$3)&gt;(Dashboard!$I$31),$F$12*1,0)</f>
        <v>0</v>
      </c>
      <c r="R12" s="159">
        <f>IF(COUNT($I$3:R$3)&gt;(Dashboard!$I$31),$F$12*1,0)</f>
        <v>0</v>
      </c>
      <c r="S12" s="159">
        <f>IF(COUNT($I$3:S$3)&gt;(Dashboard!$I$31),$F$12*1,0)</f>
        <v>0</v>
      </c>
      <c r="T12" s="159">
        <f>IF(COUNT($I$3:T$3)&gt;(Dashboard!$I$31),$F$12*1,0)</f>
        <v>0</v>
      </c>
      <c r="U12" s="159">
        <f>IF(COUNT($I$3:U$3)&gt;(Dashboard!$I$31),$F$12*1,0)</f>
        <v>0.02</v>
      </c>
      <c r="V12" s="159">
        <f>IF(COUNT($I$3:V$3)&gt;(Dashboard!$I$31),$F$12*1,0)</f>
        <v>0.02</v>
      </c>
      <c r="W12" s="159">
        <f>IF(COUNT($I$3:W$3)&gt;(Dashboard!$I$31),$F$12*1,0)</f>
        <v>0.02</v>
      </c>
      <c r="X12" s="159">
        <f>IF(COUNT($I$3:X$3)&gt;(Dashboard!$I$31),$F$12*1,0)</f>
        <v>0.02</v>
      </c>
      <c r="Y12" s="159">
        <f>IF(COUNT($I$3:Y$3)&gt;(Dashboard!$I$31),$F$12*1,0)</f>
        <v>0.02</v>
      </c>
      <c r="Z12" s="159">
        <f>IF(COUNT($I$3:Z$3)&gt;(Dashboard!$I$31),$F$12*1,0)</f>
        <v>0.02</v>
      </c>
      <c r="AA12" s="159">
        <f>IF(COUNT($I$3:AA$3)&gt;(Dashboard!$I$31),$F$12*1,0)</f>
        <v>0.02</v>
      </c>
      <c r="AB12" s="159">
        <f>IF(COUNT($I$3:AB$3)&gt;(Dashboard!$I$31),$F$12*1,0)</f>
        <v>0.02</v>
      </c>
      <c r="AC12" s="159">
        <f>IF(COUNT($I$3:AC$3)&gt;(Dashboard!$I$31),$F$12*1,0)</f>
        <v>0.02</v>
      </c>
      <c r="AD12" s="159">
        <f>IF(COUNT($I$3:AD$3)&gt;(Dashboard!$I$31),$F$12*1,0)</f>
        <v>0.02</v>
      </c>
      <c r="AE12" s="159">
        <f>IF(COUNT($I$3:AE$3)&gt;(Dashboard!$I$31),$F$12*1,0)</f>
        <v>0.02</v>
      </c>
      <c r="AF12" s="159">
        <f>IF(COUNT($I$3:AF$3)&gt;(Dashboard!$I$31),$F$12*1,0)</f>
        <v>0.02</v>
      </c>
      <c r="AG12" s="159">
        <f>IF(COUNT($I$3:AG$3)&gt;(Dashboard!$I$31),$F$12*1,0)</f>
        <v>0.02</v>
      </c>
      <c r="AH12" s="159">
        <f>IF(COUNT($I$3:AH$3)&gt;(Dashboard!$I$31),$F$12*1,0)</f>
        <v>0.02</v>
      </c>
      <c r="AI12" s="159">
        <f>IF(COUNT($I$3:AI$3)&gt;(Dashboard!$I$31),$F$12*1,0)</f>
        <v>0.02</v>
      </c>
      <c r="AJ12" s="159">
        <f>IF(COUNT($I$3:AJ$3)&gt;(Dashboard!$I$31),$F$12*1,0)</f>
        <v>0.02</v>
      </c>
      <c r="AK12" s="159">
        <f>IF(COUNT($I$3:AK$3)&gt;(Dashboard!$I$31),$F$12*1,0)</f>
        <v>0.02</v>
      </c>
      <c r="AL12" s="159">
        <f>IF(COUNT($I$3:AL$3)&gt;(Dashboard!$I$31),$F$12*1,0)</f>
        <v>0.02</v>
      </c>
      <c r="AM12" s="159">
        <f>IF(COUNT($I$3:AM$3)&gt;(Dashboard!$I$31),$F$12*1,0)</f>
        <v>0.02</v>
      </c>
      <c r="AN12" s="159">
        <f>IF(COUNT($I$3:AN$3)&gt;(Dashboard!$I$31),$F$12*1,0)</f>
        <v>0.02</v>
      </c>
      <c r="AO12" s="159"/>
      <c r="AP12" s="17"/>
    </row>
    <row r="13" spans="1:42" x14ac:dyDescent="0.25">
      <c r="A13" s="12"/>
      <c r="B13" s="13"/>
      <c r="C13" s="41"/>
      <c r="D13" s="41"/>
      <c r="E13" s="15"/>
      <c r="F13" s="190"/>
      <c r="G13" s="14"/>
      <c r="H13" s="159"/>
      <c r="I13" s="203"/>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4"/>
      <c r="AP13" s="17"/>
    </row>
    <row r="14" spans="1:42" x14ac:dyDescent="0.25">
      <c r="A14" s="12"/>
      <c r="B14" s="13"/>
      <c r="C14" s="41"/>
      <c r="D14" s="41"/>
      <c r="E14" s="15"/>
      <c r="F14" s="190"/>
      <c r="G14" s="14"/>
      <c r="H14" s="159"/>
      <c r="I14" s="56">
        <f>(1-SUM(I$12:$I12))</f>
        <v>1</v>
      </c>
      <c r="J14" s="56">
        <f>(1-SUM($I$12:J12))</f>
        <v>1</v>
      </c>
      <c r="K14" s="56">
        <f>(1-SUM($I$12:K12))</f>
        <v>1</v>
      </c>
      <c r="L14" s="56">
        <f>(1-SUM($I$12:L12))</f>
        <v>1</v>
      </c>
      <c r="M14" s="56">
        <f>(1-SUM($I$12:M12))</f>
        <v>1</v>
      </c>
      <c r="N14" s="56">
        <f>(1-SUM($I$12:N12))</f>
        <v>1</v>
      </c>
      <c r="O14" s="56">
        <f>(1-SUM($I$12:O12))</f>
        <v>1</v>
      </c>
      <c r="P14" s="56">
        <f>(1-SUM($I$12:P12))</f>
        <v>1</v>
      </c>
      <c r="Q14" s="56">
        <f>(1-SUM($I$12:Q12))</f>
        <v>1</v>
      </c>
      <c r="R14" s="56">
        <f>(1-SUM($I$12:R12))</f>
        <v>1</v>
      </c>
      <c r="S14" s="56">
        <f>(1-SUM($I$12:S12))</f>
        <v>1</v>
      </c>
      <c r="T14" s="56">
        <f>(1-SUM($I$12:T12))</f>
        <v>1</v>
      </c>
      <c r="U14" s="56">
        <f>(1-SUM($I$12:U12))</f>
        <v>0.98</v>
      </c>
      <c r="V14" s="56">
        <f>(1-SUM($I$12:V12))</f>
        <v>0.96</v>
      </c>
      <c r="W14" s="56">
        <f>(1-SUM($I$12:W12))</f>
        <v>0.94</v>
      </c>
      <c r="X14" s="56">
        <f>(1-SUM($I$12:X12))</f>
        <v>0.92</v>
      </c>
      <c r="Y14" s="56">
        <f>(1-SUM($I$12:Y12))</f>
        <v>0.9</v>
      </c>
      <c r="Z14" s="56">
        <f>(1-SUM($I$12:Z12))</f>
        <v>0.88</v>
      </c>
      <c r="AA14" s="56">
        <f>(1-SUM($I$12:AA12))</f>
        <v>0.86</v>
      </c>
      <c r="AB14" s="56">
        <f>(1-SUM($I$12:AB12))</f>
        <v>0.84</v>
      </c>
      <c r="AC14" s="56">
        <f>(1-SUM($I$12:AC12))</f>
        <v>0.82000000000000006</v>
      </c>
      <c r="AD14" s="56">
        <f>(1-SUM($I$12:AD12))</f>
        <v>0.8</v>
      </c>
      <c r="AE14" s="56">
        <f>(1-SUM($I$12:AE12))</f>
        <v>0.78</v>
      </c>
      <c r="AF14" s="56">
        <f>(1-SUM($I$12:AF12))</f>
        <v>0.76</v>
      </c>
      <c r="AG14" s="56">
        <f>(1-SUM($I$12:AG12))</f>
        <v>0.74</v>
      </c>
      <c r="AH14" s="56">
        <f>(1-SUM($I$12:AH12))</f>
        <v>0.72</v>
      </c>
      <c r="AI14" s="56">
        <f>(1-SUM($I$12:AI12))</f>
        <v>0.7</v>
      </c>
      <c r="AJ14" s="56">
        <f>(1-SUM($I$12:AJ12))</f>
        <v>0.67999999999999994</v>
      </c>
      <c r="AK14" s="56">
        <f>(1-SUM($I$12:AK12))</f>
        <v>0.65999999999999992</v>
      </c>
      <c r="AL14" s="56">
        <f>(1-SUM($I$12:AL12))</f>
        <v>0.6399999999999999</v>
      </c>
      <c r="AM14" s="56">
        <f>(1-SUM($I$12:AM12))</f>
        <v>0.61999999999999988</v>
      </c>
      <c r="AN14" s="56">
        <f>(1-SUM($I$12:AN12))</f>
        <v>0.59999999999999987</v>
      </c>
      <c r="AO14" s="14"/>
      <c r="AP14" s="17"/>
    </row>
    <row r="15" spans="1:42" x14ac:dyDescent="0.25">
      <c r="A15" s="12"/>
      <c r="B15" s="13"/>
      <c r="C15" s="195" t="str">
        <f>C26</f>
        <v>TCO 1: End-of-Life Diesel Bus Replacement with HFCB</v>
      </c>
      <c r="D15" s="195"/>
      <c r="E15" s="192"/>
      <c r="F15" s="16"/>
      <c r="G15" s="191"/>
      <c r="H15" s="196"/>
      <c r="I15" s="196"/>
      <c r="J15" s="196"/>
      <c r="K15" s="196"/>
      <c r="L15" s="196"/>
      <c r="M15" s="196"/>
      <c r="N15" s="196"/>
      <c r="O15" s="196"/>
      <c r="P15" s="196"/>
      <c r="Q15" s="196"/>
      <c r="R15" s="196"/>
      <c r="S15" s="196"/>
      <c r="T15" s="196"/>
      <c r="U15" s="196"/>
      <c r="V15" s="196"/>
      <c r="W15" s="196"/>
      <c r="X15" s="196"/>
      <c r="Y15" s="196"/>
      <c r="Z15" s="196"/>
      <c r="AA15" s="196"/>
      <c r="AB15" s="196"/>
      <c r="AC15" s="191"/>
      <c r="AD15" s="191"/>
      <c r="AE15" s="191"/>
      <c r="AF15" s="191"/>
      <c r="AG15" s="191"/>
      <c r="AH15" s="191"/>
      <c r="AI15" s="191"/>
      <c r="AJ15" s="191"/>
      <c r="AK15" s="191"/>
      <c r="AL15" s="191"/>
      <c r="AM15" s="191"/>
      <c r="AN15" s="191"/>
      <c r="AO15" s="191"/>
      <c r="AP15" s="197"/>
    </row>
    <row r="16" spans="1:42" x14ac:dyDescent="0.25">
      <c r="A16" s="12"/>
      <c r="B16" s="13"/>
      <c r="C16" s="136" t="s">
        <v>252</v>
      </c>
      <c r="D16" s="41"/>
      <c r="E16" s="15" t="s">
        <v>556</v>
      </c>
      <c r="F16" s="16"/>
      <c r="G16" s="14"/>
      <c r="H16" s="159"/>
      <c r="I16" s="159">
        <f>IF(COUNT($I$3:I$3)&lt;=Dashboard!$I$31,I11*1,0)</f>
        <v>93600</v>
      </c>
      <c r="J16" s="159">
        <f>IF(COUNT($I$3:J$3)&lt;=Dashboard!$I$31,J11*1,0)</f>
        <v>93600</v>
      </c>
      <c r="K16" s="159">
        <f>IF(COUNT($I$3:K$3)&lt;=Dashboard!$I$31,K11*1,0)</f>
        <v>93600</v>
      </c>
      <c r="L16" s="159">
        <f>IF(COUNT($I$3:L$3)&lt;=Dashboard!$I$31,L11*1,0)</f>
        <v>93600</v>
      </c>
      <c r="M16" s="159">
        <f>IF(COUNT($I$3:M$3)&lt;=Dashboard!$I$31,M11*1,0)</f>
        <v>93600</v>
      </c>
      <c r="N16" s="159">
        <f>IF(COUNT($I$3:N$3)&lt;=Dashboard!$I$31,N11*1,0)</f>
        <v>93600</v>
      </c>
      <c r="O16" s="159">
        <f>IF(COUNT($I$3:O$3)&lt;=Dashboard!$I$31,O11*1,0)</f>
        <v>93600</v>
      </c>
      <c r="P16" s="159">
        <f>IF(COUNT($I$3:P$3)&lt;=Dashboard!$I$31,P11*1,0)</f>
        <v>93600</v>
      </c>
      <c r="Q16" s="159">
        <f>IF(COUNT($I$3:Q$3)&lt;=Dashboard!$I$31,Q11*1,0)</f>
        <v>93600</v>
      </c>
      <c r="R16" s="159">
        <f>IF(COUNT($I$3:R$3)&lt;=Dashboard!$I$31,R11*1,0)</f>
        <v>93600</v>
      </c>
      <c r="S16" s="159">
        <f>IF(COUNT($I$3:S$3)&lt;=Dashboard!$I$31,S11*1,0)</f>
        <v>93600</v>
      </c>
      <c r="T16" s="159">
        <f>IF(COUNT($I$3:T$3)&lt;=Dashboard!$I$31,T11*1,0)</f>
        <v>93600</v>
      </c>
      <c r="U16" s="159">
        <f>IF(COUNT($I$3:U$3)&lt;=Dashboard!$I$31,U11*1,0)</f>
        <v>0</v>
      </c>
      <c r="V16" s="159">
        <f>IF(COUNT($I$3:V$3)&lt;=Dashboard!$I$31,V11*1,0)</f>
        <v>0</v>
      </c>
      <c r="W16" s="159">
        <f>IF(COUNT($I$3:W$3)&lt;=Dashboard!$I$31,W11*1,0)</f>
        <v>0</v>
      </c>
      <c r="X16" s="159">
        <f>IF(COUNT($I$3:X$3)&lt;=Dashboard!$I$31,X11*1,0)</f>
        <v>0</v>
      </c>
      <c r="Y16" s="159">
        <f>IF(COUNT($I$3:Y$3)&lt;=Dashboard!$I$31,Y11*1,0)</f>
        <v>0</v>
      </c>
      <c r="Z16" s="159">
        <f>IF(COUNT($I$3:Z$3)&lt;=Dashboard!$I$31,Z11*1,0)</f>
        <v>0</v>
      </c>
      <c r="AA16" s="159">
        <f>IF(COUNT($I$3:AA$3)&lt;=Dashboard!$I$31,AA11*1,0)</f>
        <v>0</v>
      </c>
      <c r="AB16" s="159">
        <f>IF(COUNT($I$3:AB$3)&lt;=Dashboard!$I$31,AB11*1,0)</f>
        <v>0</v>
      </c>
      <c r="AC16" s="159">
        <f>IF(COUNT($I$3:AC$3)&lt;=Dashboard!$I$31,AC11*1,0)</f>
        <v>0</v>
      </c>
      <c r="AD16" s="159">
        <f>IF(COUNT($I$3:AD$3)&lt;=Dashboard!$I$31,AD11*1,0)</f>
        <v>0</v>
      </c>
      <c r="AE16" s="159">
        <f>IF(COUNT($I$3:AE$3)&lt;=Dashboard!$I$31,AE11*1,0)</f>
        <v>0</v>
      </c>
      <c r="AF16" s="159">
        <f>IF(COUNT($I$3:AF$3)&lt;=Dashboard!$I$31,AF11*1,0)</f>
        <v>0</v>
      </c>
      <c r="AG16" s="159">
        <f>IF(COUNT($I$3:AG$3)&lt;=Dashboard!$I$31,AG11*1,0)</f>
        <v>0</v>
      </c>
      <c r="AH16" s="159">
        <f>IF(COUNT($I$3:AH$3)&lt;=Dashboard!$I$31,AH11*1,0)</f>
        <v>0</v>
      </c>
      <c r="AI16" s="159">
        <f>IF(COUNT($I$3:AI$3)&lt;=Dashboard!$I$31,AI11*1,0)</f>
        <v>0</v>
      </c>
      <c r="AJ16" s="159">
        <f>IF(COUNT($I$3:AJ$3)&lt;=Dashboard!$I$31,AJ11*1,0)</f>
        <v>0</v>
      </c>
      <c r="AK16" s="159">
        <f>IF(COUNT($I$3:AK$3)&lt;=Dashboard!$I$31,AK11*1,0)</f>
        <v>0</v>
      </c>
      <c r="AL16" s="159">
        <f>IF(COUNT($I$3:AL$3)&lt;=Dashboard!$I$31,AL11*1,0)</f>
        <v>0</v>
      </c>
      <c r="AM16" s="159">
        <f>IF(COUNT($I$3:AM$3)&lt;=Dashboard!$I$31,AM11*1,0)</f>
        <v>0</v>
      </c>
      <c r="AN16" s="159">
        <f>IF(COUNT($I$3:AN$3)&lt;=Dashboard!$I$31,AN11*1,0)</f>
        <v>0</v>
      </c>
      <c r="AO16" s="159"/>
      <c r="AP16" s="17"/>
    </row>
    <row r="17" spans="1:42" x14ac:dyDescent="0.25">
      <c r="A17" s="12"/>
      <c r="B17" s="13"/>
      <c r="C17" s="136" t="s">
        <v>30</v>
      </c>
      <c r="D17" s="41"/>
      <c r="E17" s="15" t="s">
        <v>556</v>
      </c>
      <c r="F17" s="16"/>
      <c r="G17" s="14"/>
      <c r="H17" s="159"/>
      <c r="I17" s="159">
        <f>IF(COUNT($I$3:I$3)&gt;Dashboard!$I$31,I11*1,0)</f>
        <v>0</v>
      </c>
      <c r="J17" s="159">
        <f>IF(COUNT($I$3:J$3)&gt;Dashboard!$I$31,J11*1,0)</f>
        <v>0</v>
      </c>
      <c r="K17" s="159">
        <f>IF(COUNT($I$3:K$3)&gt;Dashboard!$I$31,K11*1,0)</f>
        <v>0</v>
      </c>
      <c r="L17" s="159">
        <f>IF(COUNT($I$3:L$3)&gt;Dashboard!$I$31,L11*1,0)</f>
        <v>0</v>
      </c>
      <c r="M17" s="159">
        <f>IF(COUNT($I$3:M$3)&gt;Dashboard!$I$31,M11*1,0)</f>
        <v>0</v>
      </c>
      <c r="N17" s="159">
        <f>IF(COUNT($I$3:N$3)&gt;Dashboard!$I$31,N11*1,0)</f>
        <v>0</v>
      </c>
      <c r="O17" s="159">
        <f>IF(COUNT($I$3:O$3)&gt;Dashboard!$I$31,O11*1,0)</f>
        <v>0</v>
      </c>
      <c r="P17" s="159">
        <f>IF(COUNT($I$3:P$3)&gt;Dashboard!$I$31,P11*1,0)</f>
        <v>0</v>
      </c>
      <c r="Q17" s="159">
        <f>IF(COUNT($I$3:Q$3)&gt;Dashboard!$I$31,Q11*1,0)</f>
        <v>0</v>
      </c>
      <c r="R17" s="159">
        <f>IF(COUNT($I$3:R$3)&gt;Dashboard!$I$31,R11*1,0)</f>
        <v>0</v>
      </c>
      <c r="S17" s="159">
        <f>IF(COUNT($I$3:S$3)&gt;Dashboard!$I$31,S11*1,0)</f>
        <v>0</v>
      </c>
      <c r="T17" s="159">
        <f>IF(COUNT($I$3:T$3)&gt;Dashboard!$I$31,T11*1,0)</f>
        <v>0</v>
      </c>
      <c r="U17" s="159">
        <f>IF(COUNT($I$3:U$3)&gt;Dashboard!$I$31,U11*1,0)</f>
        <v>93600</v>
      </c>
      <c r="V17" s="159">
        <f>IF(COUNT($I$3:V$3)&gt;Dashboard!$I$31,V11*1,0)</f>
        <v>93600</v>
      </c>
      <c r="W17" s="159">
        <f>IF(COUNT($I$3:W$3)&gt;Dashboard!$I$31,W11*1,0)</f>
        <v>93600</v>
      </c>
      <c r="X17" s="159">
        <f>IF(COUNT($I$3:X$3)&gt;Dashboard!$I$31,X11*1,0)</f>
        <v>93600</v>
      </c>
      <c r="Y17" s="159">
        <f>IF(COUNT($I$3:Y$3)&gt;Dashboard!$I$31,Y11*1,0)</f>
        <v>93600</v>
      </c>
      <c r="Z17" s="159">
        <f>IF(COUNT($I$3:Z$3)&gt;Dashboard!$I$31,Z11*1,0)</f>
        <v>93600</v>
      </c>
      <c r="AA17" s="159">
        <f>IF(COUNT($I$3:AA$3)&gt;Dashboard!$I$31,AA11*1,0)</f>
        <v>93600</v>
      </c>
      <c r="AB17" s="159">
        <f>IF(COUNT($I$3:AB$3)&gt;Dashboard!$I$31,AB11*1,0)</f>
        <v>93600</v>
      </c>
      <c r="AC17" s="159">
        <f>IF(COUNT($I$3:AC$3)&gt;Dashboard!$I$31,AC11*1,0)</f>
        <v>93600</v>
      </c>
      <c r="AD17" s="159">
        <f>IF(COUNT($I$3:AD$3)&gt;Dashboard!$I$31,AD11*1,0)</f>
        <v>93600</v>
      </c>
      <c r="AE17" s="159">
        <f>IF(COUNT($I$3:AE$3)&gt;Dashboard!$I$31,AE11*1,0)</f>
        <v>93600</v>
      </c>
      <c r="AF17" s="159">
        <f>IF(COUNT($I$3:AF$3)&gt;Dashboard!$I$31,AF11*1,0)</f>
        <v>93600</v>
      </c>
      <c r="AG17" s="159">
        <f>IF(COUNT($I$3:AG$3)&gt;Dashboard!$I$31,AG11*1,0)</f>
        <v>93600</v>
      </c>
      <c r="AH17" s="159">
        <f>IF(COUNT($I$3:AH$3)&gt;Dashboard!$I$31,AH11*1,0)</f>
        <v>93600</v>
      </c>
      <c r="AI17" s="159">
        <f>IF(COUNT($I$3:AI$3)&gt;Dashboard!$I$31,AI11*1,0)</f>
        <v>93600</v>
      </c>
      <c r="AJ17" s="159">
        <f>IF(COUNT($I$3:AJ$3)&gt;Dashboard!$I$31,AJ11*1,0)</f>
        <v>93600</v>
      </c>
      <c r="AK17" s="159">
        <f>IF(COUNT($I$3:AK$3)&gt;Dashboard!$I$31,AK11*1,0)</f>
        <v>93600</v>
      </c>
      <c r="AL17" s="159">
        <f>IF(COUNT($I$3:AL$3)&gt;Dashboard!$I$31,AL11*1,0)</f>
        <v>93600</v>
      </c>
      <c r="AM17" s="159">
        <f>IF(COUNT($I$3:AM$3)&gt;Dashboard!$I$31,AM11*1,0)</f>
        <v>93600</v>
      </c>
      <c r="AN17" s="159">
        <f>IF(COUNT($I$3:AN$3)&gt;Dashboard!$I$31,AN11*1,0)</f>
        <v>93600</v>
      </c>
      <c r="AO17" s="159"/>
      <c r="AP17" s="17"/>
    </row>
    <row r="18" spans="1:42" x14ac:dyDescent="0.25">
      <c r="A18" s="12"/>
      <c r="B18" s="13"/>
      <c r="C18" s="136" t="s">
        <v>597</v>
      </c>
      <c r="D18" s="41"/>
      <c r="E18" s="15" t="s">
        <v>556</v>
      </c>
      <c r="F18" s="16"/>
      <c r="G18" s="14"/>
      <c r="H18" s="159"/>
      <c r="I18" s="159">
        <f>IF(I14&gt;(1-(Data!$E$337+1)*Data!$E$351),I17,0)</f>
        <v>0</v>
      </c>
      <c r="J18" s="159">
        <f>IF(J14&gt;(1-(Data!$E$337+1)*Data!$E$351),J17,0)</f>
        <v>0</v>
      </c>
      <c r="K18" s="159">
        <f>IF(K14&gt;(1-(Data!$E$337+1)*Data!$E$351),K17,0)</f>
        <v>0</v>
      </c>
      <c r="L18" s="159">
        <f>IF(L14&gt;(1-(Data!$E$337+1)*Data!$E$351),L17,0)</f>
        <v>0</v>
      </c>
      <c r="M18" s="159">
        <f>IF(M14&gt;(1-(Data!$E$337+1)*Data!$E$351),M17,0)</f>
        <v>0</v>
      </c>
      <c r="N18" s="159">
        <f>IF(N14&gt;(1-(Data!$E$337+1)*Data!$E$351),N17,0)</f>
        <v>0</v>
      </c>
      <c r="O18" s="159">
        <f>IF(O14&gt;(1-(Data!$E$337+1)*Data!$E$351),O17,0)</f>
        <v>0</v>
      </c>
      <c r="P18" s="159">
        <f>IF(P14&gt;(1-(Data!$E$337+1)*Data!$E$351),P17,0)</f>
        <v>0</v>
      </c>
      <c r="Q18" s="159">
        <f>IF(Q14&gt;(1-(Data!$E$337+1)*Data!$E$351),Q17,0)</f>
        <v>0</v>
      </c>
      <c r="R18" s="159">
        <f>IF(R14&gt;(1-(Data!$E$337+1)*Data!$E$351),R17,0)</f>
        <v>0</v>
      </c>
      <c r="S18" s="159">
        <f>IF(S14&gt;(1-(Data!$E$337+1)*Data!$E$351),S17,0)</f>
        <v>0</v>
      </c>
      <c r="T18" s="159">
        <f>IF(T14&gt;(1-(Data!$E$337+1)*Data!$E$351),T17,0)</f>
        <v>0</v>
      </c>
      <c r="U18" s="159">
        <f>IF(U14&gt;(1-(Data!$E$337+1)*Data!$E$351),U17,0)</f>
        <v>93600</v>
      </c>
      <c r="V18" s="159">
        <f>IF(V14&gt;(1-(Data!$E$337+1)*Data!$E$351),V17,0)</f>
        <v>93600</v>
      </c>
      <c r="W18" s="159">
        <f>IF(W14&gt;(1-(Data!$E$337+1)*Data!$E$351),W17,0)</f>
        <v>93600</v>
      </c>
      <c r="X18" s="159">
        <f>IF(X14&gt;(1-(Data!$E$337+1)*Data!$E$351),X17,0)</f>
        <v>93600</v>
      </c>
      <c r="Y18" s="159">
        <f>IF(Y14&gt;(1-(Data!$E$337+1)*Data!$E$351),Y17,0)</f>
        <v>93600</v>
      </c>
      <c r="Z18" s="159">
        <f>IF(Z14&gt;(1-(Data!$E$337+1)*Data!$E$351),Z17,0)</f>
        <v>93600</v>
      </c>
      <c r="AA18" s="159">
        <f>IF(AA14&gt;(1-(Data!$E$337+1)*Data!$E$351),AA17,0)</f>
        <v>93600</v>
      </c>
      <c r="AB18" s="159">
        <f>IF(AB14&gt;(1-(Data!$E$337+1)*Data!$E$351),AB17,0)</f>
        <v>93600</v>
      </c>
      <c r="AC18" s="159">
        <f>IF(AC14&gt;(1-(Data!$E$337+1)*Data!$E$351),AC17,0)</f>
        <v>93600</v>
      </c>
      <c r="AD18" s="159">
        <f>IF(AD14&gt;(1-(Data!$E$337+1)*Data!$E$351),AD17,0)</f>
        <v>93600</v>
      </c>
      <c r="AE18" s="159">
        <f>IF(AE14&gt;(1-(Data!$E$337+1)*Data!$E$351),AE17,0)</f>
        <v>93600</v>
      </c>
      <c r="AF18" s="159">
        <f>IF(AF14&gt;(1-(Data!$E$337+1)*Data!$E$351),AF17,0)</f>
        <v>93600</v>
      </c>
      <c r="AG18" s="159">
        <f>IF(AG14&gt;(1-(Data!$E$337+1)*Data!$E$351),AG17,0)</f>
        <v>93600</v>
      </c>
      <c r="AH18" s="159">
        <f>IF(AH14&gt;(1-(Data!$E$337+1)*Data!$E$351),AH17,0)</f>
        <v>93600</v>
      </c>
      <c r="AI18" s="159">
        <f>IF(AI14&gt;(1-(Data!$E$337+1)*Data!$E$351),AI17,0)</f>
        <v>93600</v>
      </c>
      <c r="AJ18" s="159">
        <f>IF(AJ14&gt;(1-(Data!$E$337+1)*Data!$E$351),AJ17,0)</f>
        <v>93600</v>
      </c>
      <c r="AK18" s="159">
        <f>IF(AK14&gt;(1-(Data!$E$337+1)*Data!$E$351),AK17,0)</f>
        <v>93600</v>
      </c>
      <c r="AL18" s="159">
        <f>IF(AL14&gt;(1-(Data!$E$337+1)*Data!$E$351),AL17,0)</f>
        <v>93600</v>
      </c>
      <c r="AM18" s="159">
        <f>IF(AM14&gt;(1-(Data!$E$337+1)*Data!$E$351),AM17,0)</f>
        <v>93600</v>
      </c>
      <c r="AN18" s="159">
        <f>IF(AN14&gt;(1-(Data!$E$337+1)*Data!$E$351),AN17,0)</f>
        <v>93600</v>
      </c>
      <c r="AO18" s="159"/>
      <c r="AP18" s="17"/>
    </row>
    <row r="19" spans="1:42" x14ac:dyDescent="0.25">
      <c r="A19" s="12"/>
      <c r="B19" s="13"/>
      <c r="C19" s="136"/>
      <c r="D19" s="41"/>
      <c r="E19" s="15"/>
      <c r="F19" s="16"/>
      <c r="G19" s="14"/>
      <c r="H19" s="141"/>
      <c r="I19" s="14"/>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7"/>
    </row>
    <row r="20" spans="1:42" x14ac:dyDescent="0.25">
      <c r="A20" s="12"/>
      <c r="B20" s="13"/>
      <c r="C20" s="195" t="str">
        <f>C146</f>
        <v>TCO 2: Immediate Diesel to HFCB Bus Replacement</v>
      </c>
      <c r="D20" s="195"/>
      <c r="E20" s="192"/>
      <c r="F20" s="16"/>
      <c r="G20" s="191"/>
      <c r="H20" s="196"/>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7"/>
    </row>
    <row r="21" spans="1:42" x14ac:dyDescent="0.25">
      <c r="A21" s="12"/>
      <c r="B21" s="13"/>
      <c r="C21" t="s">
        <v>30</v>
      </c>
      <c r="D21" s="41"/>
      <c r="E21" s="15"/>
      <c r="F21" s="16"/>
      <c r="G21" s="14"/>
      <c r="H21" s="141"/>
      <c r="I21" s="159">
        <f>I11</f>
        <v>93600</v>
      </c>
      <c r="J21" s="159">
        <f t="shared" ref="J21:AB21" si="1">J11</f>
        <v>93600</v>
      </c>
      <c r="K21" s="159">
        <f t="shared" si="1"/>
        <v>93600</v>
      </c>
      <c r="L21" s="159">
        <f t="shared" si="1"/>
        <v>93600</v>
      </c>
      <c r="M21" s="159">
        <f t="shared" si="1"/>
        <v>93600</v>
      </c>
      <c r="N21" s="159">
        <f t="shared" si="1"/>
        <v>93600</v>
      </c>
      <c r="O21" s="159">
        <f t="shared" si="1"/>
        <v>93600</v>
      </c>
      <c r="P21" s="159">
        <f t="shared" si="1"/>
        <v>93600</v>
      </c>
      <c r="Q21" s="159">
        <f t="shared" si="1"/>
        <v>93600</v>
      </c>
      <c r="R21" s="159">
        <f t="shared" si="1"/>
        <v>93600</v>
      </c>
      <c r="S21" s="159">
        <f t="shared" si="1"/>
        <v>93600</v>
      </c>
      <c r="T21" s="159">
        <f t="shared" si="1"/>
        <v>93600</v>
      </c>
      <c r="U21" s="159">
        <f t="shared" si="1"/>
        <v>93600</v>
      </c>
      <c r="V21" s="159">
        <f t="shared" si="1"/>
        <v>93600</v>
      </c>
      <c r="W21" s="159">
        <f t="shared" si="1"/>
        <v>93600</v>
      </c>
      <c r="X21" s="159">
        <f t="shared" si="1"/>
        <v>93600</v>
      </c>
      <c r="Y21" s="159">
        <f t="shared" si="1"/>
        <v>93600</v>
      </c>
      <c r="Z21" s="159">
        <f t="shared" si="1"/>
        <v>93600</v>
      </c>
      <c r="AA21" s="159">
        <f t="shared" si="1"/>
        <v>93600</v>
      </c>
      <c r="AB21" s="159">
        <f t="shared" si="1"/>
        <v>93600</v>
      </c>
      <c r="AC21" s="14"/>
      <c r="AD21" s="14"/>
      <c r="AE21" s="14"/>
      <c r="AF21" s="14"/>
      <c r="AG21" s="14"/>
      <c r="AH21" s="14"/>
      <c r="AI21" s="14"/>
      <c r="AJ21" s="14"/>
      <c r="AK21" s="14"/>
      <c r="AL21" s="14"/>
      <c r="AM21" s="14"/>
      <c r="AN21" s="14"/>
      <c r="AO21" s="14"/>
      <c r="AP21" s="17"/>
    </row>
    <row r="22" spans="1:42" x14ac:dyDescent="0.25">
      <c r="A22" s="12"/>
      <c r="B22" s="13"/>
      <c r="C22" s="41"/>
      <c r="D22" s="41"/>
      <c r="E22" s="15"/>
      <c r="F22" s="16"/>
      <c r="G22" s="14"/>
      <c r="H22" s="141"/>
      <c r="I22" s="141"/>
      <c r="J22" s="151"/>
      <c r="K22" s="151"/>
      <c r="L22" s="151"/>
      <c r="M22" s="151"/>
      <c r="N22" s="151"/>
      <c r="O22" s="151"/>
      <c r="P22" s="151"/>
      <c r="Q22" s="151"/>
      <c r="R22" s="151"/>
      <c r="S22" s="151"/>
      <c r="T22" s="151"/>
      <c r="U22" s="141"/>
      <c r="V22" s="141"/>
      <c r="W22" s="141"/>
      <c r="X22" s="141"/>
      <c r="Y22" s="141"/>
      <c r="Z22" s="141"/>
      <c r="AA22" s="141"/>
      <c r="AB22" s="141"/>
      <c r="AC22" s="14"/>
      <c r="AD22" s="14"/>
      <c r="AE22" s="14"/>
      <c r="AF22" s="14"/>
      <c r="AG22" s="14"/>
      <c r="AH22" s="14"/>
      <c r="AI22" s="14"/>
      <c r="AJ22" s="14"/>
      <c r="AK22" s="14"/>
      <c r="AL22" s="14"/>
      <c r="AM22" s="14"/>
      <c r="AN22" s="14"/>
      <c r="AO22" s="14"/>
      <c r="AP22" s="17"/>
    </row>
    <row r="23" spans="1:42" x14ac:dyDescent="0.25">
      <c r="A23" s="12"/>
      <c r="B23" s="13"/>
      <c r="C23" s="41"/>
      <c r="D23" s="41"/>
      <c r="E23" s="15"/>
      <c r="F23" s="16"/>
      <c r="G23" s="14"/>
      <c r="H23" s="141"/>
      <c r="I23" s="141"/>
      <c r="J23" s="141"/>
      <c r="K23" s="141"/>
      <c r="L23" s="141"/>
      <c r="M23" s="141"/>
      <c r="N23" s="141"/>
      <c r="O23" s="141"/>
      <c r="P23" s="141"/>
      <c r="Q23" s="141"/>
      <c r="R23" s="141"/>
      <c r="S23" s="141"/>
      <c r="T23" s="141"/>
      <c r="U23" s="141"/>
      <c r="V23" s="141"/>
      <c r="W23" s="141"/>
      <c r="X23" s="141"/>
      <c r="Y23" s="141"/>
      <c r="Z23" s="141"/>
      <c r="AA23" s="141"/>
      <c r="AB23" s="141"/>
      <c r="AC23" s="14"/>
      <c r="AD23" s="14"/>
      <c r="AE23" s="14"/>
      <c r="AF23" s="14"/>
      <c r="AG23" s="14"/>
      <c r="AH23" s="14"/>
      <c r="AI23" s="14"/>
      <c r="AJ23" s="14"/>
      <c r="AK23" s="14"/>
      <c r="AL23" s="14"/>
      <c r="AM23" s="14"/>
      <c r="AN23" s="14"/>
      <c r="AO23" s="14"/>
      <c r="AP23" s="17"/>
    </row>
    <row r="24" spans="1:42" x14ac:dyDescent="0.25">
      <c r="A24" s="12"/>
      <c r="B24" s="13"/>
      <c r="C24" s="41"/>
      <c r="D24" s="41"/>
      <c r="E24" s="15"/>
      <c r="F24" s="16"/>
      <c r="G24" s="14"/>
      <c r="H24" s="141"/>
      <c r="I24" s="141"/>
      <c r="J24" s="141"/>
      <c r="K24" s="141"/>
      <c r="L24" s="141"/>
      <c r="M24" s="141"/>
      <c r="N24" s="141"/>
      <c r="O24" s="141"/>
      <c r="P24" s="141"/>
      <c r="Q24" s="141"/>
      <c r="R24" s="141"/>
      <c r="S24" s="141"/>
      <c r="T24" s="141"/>
      <c r="U24" s="141"/>
      <c r="V24" s="141"/>
      <c r="W24" s="141"/>
      <c r="X24" s="141"/>
      <c r="Y24" s="141"/>
      <c r="Z24" s="141"/>
      <c r="AA24" s="141"/>
      <c r="AB24" s="141"/>
      <c r="AC24" s="14"/>
      <c r="AD24" s="14"/>
      <c r="AE24" s="14"/>
      <c r="AF24" s="14"/>
      <c r="AG24" s="14"/>
      <c r="AH24" s="14"/>
      <c r="AI24" s="14"/>
      <c r="AJ24" s="14"/>
      <c r="AK24" s="14"/>
      <c r="AL24" s="14"/>
      <c r="AM24" s="14"/>
      <c r="AN24" s="14"/>
      <c r="AO24" s="14"/>
      <c r="AP24" s="17"/>
    </row>
    <row r="25" spans="1:42" x14ac:dyDescent="0.25">
      <c r="A25" s="23"/>
      <c r="B25" s="23"/>
      <c r="C25" s="24" t="s">
        <v>505</v>
      </c>
      <c r="D25" s="24"/>
      <c r="E25" s="25"/>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7"/>
    </row>
    <row r="26" spans="1:42" x14ac:dyDescent="0.25">
      <c r="A26" s="261"/>
      <c r="B26" s="261"/>
      <c r="C26" s="261" t="s">
        <v>598</v>
      </c>
      <c r="D26" s="261"/>
      <c r="E26" s="262"/>
      <c r="F26" s="263"/>
      <c r="G26" s="263"/>
      <c r="H26" s="264"/>
      <c r="I26" s="264"/>
      <c r="J26" s="264"/>
      <c r="K26" s="264"/>
      <c r="L26" s="264"/>
      <c r="M26" s="264"/>
      <c r="N26" s="264"/>
      <c r="O26" s="264"/>
      <c r="P26" s="264"/>
      <c r="Q26" s="264"/>
      <c r="R26" s="264"/>
      <c r="S26" s="264"/>
      <c r="T26" s="264"/>
      <c r="U26" s="264"/>
      <c r="V26" s="264"/>
      <c r="W26" s="264"/>
      <c r="X26" s="264"/>
      <c r="Y26" s="264"/>
      <c r="Z26" s="264"/>
      <c r="AA26" s="264"/>
      <c r="AB26" s="264"/>
      <c r="AC26" s="263"/>
      <c r="AD26" s="263"/>
      <c r="AE26" s="263"/>
      <c r="AF26" s="263"/>
      <c r="AG26" s="263"/>
      <c r="AH26" s="263"/>
      <c r="AI26" s="263"/>
      <c r="AJ26" s="263"/>
      <c r="AK26" s="263"/>
      <c r="AL26" s="263"/>
      <c r="AM26" s="263"/>
      <c r="AN26" s="263"/>
      <c r="AO26" s="263"/>
      <c r="AP26" s="265"/>
    </row>
    <row r="27" spans="1:42" hidden="1" outlineLevel="1" x14ac:dyDescent="0.25">
      <c r="A27" s="12"/>
      <c r="B27" s="13"/>
      <c r="C27" s="41"/>
      <c r="D27" s="41"/>
      <c r="E27" s="15"/>
      <c r="F27" s="16"/>
      <c r="G27" s="14"/>
      <c r="H27" s="141"/>
      <c r="I27" s="141"/>
      <c r="J27" s="141"/>
      <c r="K27" s="141"/>
      <c r="L27" s="141"/>
      <c r="M27" s="141"/>
      <c r="N27" s="141"/>
      <c r="O27" s="141"/>
      <c r="P27" s="141"/>
      <c r="Q27" s="141"/>
      <c r="R27" s="141"/>
      <c r="S27" s="141"/>
      <c r="T27" s="141"/>
      <c r="U27" s="141"/>
      <c r="V27" s="141"/>
      <c r="W27" s="141"/>
      <c r="X27" s="141"/>
      <c r="Y27" s="141"/>
      <c r="Z27" s="141"/>
      <c r="AA27" s="141"/>
      <c r="AB27" s="141"/>
      <c r="AC27" s="14"/>
      <c r="AD27" s="14"/>
      <c r="AE27" s="14"/>
      <c r="AF27" s="14"/>
      <c r="AG27" s="14"/>
      <c r="AH27" s="14"/>
      <c r="AI27" s="14"/>
      <c r="AJ27" s="14"/>
      <c r="AK27" s="14"/>
      <c r="AL27" s="14"/>
      <c r="AM27" s="14"/>
      <c r="AN27" s="14"/>
      <c r="AO27" s="14"/>
      <c r="AP27" s="17"/>
    </row>
    <row r="28" spans="1:42" hidden="1" outlineLevel="1" x14ac:dyDescent="0.25">
      <c r="A28" s="12"/>
      <c r="B28" s="13"/>
      <c r="C28" s="37" t="s">
        <v>508</v>
      </c>
      <c r="D28" s="37"/>
      <c r="E28" s="38"/>
      <c r="F28" s="39"/>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17"/>
    </row>
    <row r="29" spans="1:42" hidden="1" outlineLevel="1" x14ac:dyDescent="0.25">
      <c r="A29" s="12"/>
      <c r="B29" s="13"/>
      <c r="C29" s="95" t="s">
        <v>559</v>
      </c>
      <c r="D29" s="14"/>
      <c r="E29" s="15"/>
      <c r="F29" s="16"/>
      <c r="G29" s="14"/>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29"/>
    </row>
    <row r="30" spans="1:42" hidden="1" outlineLevel="1" x14ac:dyDescent="0.25">
      <c r="A30" s="12"/>
      <c r="B30" s="13"/>
      <c r="C30" s="96" t="s">
        <v>120</v>
      </c>
      <c r="D30" s="14"/>
      <c r="E30" s="15" t="s">
        <v>142</v>
      </c>
      <c r="F30" s="158" t="str">
        <f>Dashboard!$I$43</f>
        <v>2 Axle rigid</v>
      </c>
      <c r="G30" s="14"/>
      <c r="H30" s="151">
        <f>IF(COUNT($I$3:I3)=(Dashboard!$I$31+1),IF($F$30=$C$30,Data!$E$371,0),0)</f>
        <v>0</v>
      </c>
      <c r="I30" s="151">
        <f>IF(COUNT($I$3:J3)=(Dashboard!$I$31+1),IF($F$30=$C$30,Data!$E$371,0),0)</f>
        <v>0</v>
      </c>
      <c r="J30" s="151">
        <f>IF(COUNT($I$3:K3)=(Dashboard!$I$31+1),IF($F$30=$C$30,Data!$E$371,0),0)</f>
        <v>0</v>
      </c>
      <c r="K30" s="151">
        <f>IF(COUNT($I$3:L3)=(Dashboard!$I$31+1),IF($F$30=$C$30,Data!$E$371,0),0)</f>
        <v>0</v>
      </c>
      <c r="L30" s="151">
        <f>IF(COUNT($I$3:M3)=(Dashboard!$I$31+1),IF($F$30=$C$30,Data!$E$371,0),0)</f>
        <v>0</v>
      </c>
      <c r="M30" s="151">
        <f>IF(COUNT($I$3:N3)=(Dashboard!$I$31+1),IF($F$30=$C$30,Data!$E$371,0),0)</f>
        <v>0</v>
      </c>
      <c r="N30" s="151">
        <f>IF(COUNT($I$3:O3)=(Dashboard!$I$31+1),IF($F$30=$C$30,Data!$E$371,0),0)</f>
        <v>0</v>
      </c>
      <c r="O30" s="151">
        <f>IF(COUNT($I$3:P3)=(Dashboard!$I$31+1),IF($F$30=$C$30,Data!$E$371,0),0)</f>
        <v>0</v>
      </c>
      <c r="P30" s="151">
        <f>IF(COUNT($I$3:Q3)=(Dashboard!$I$31+1),IF($F$30=$C$30,Data!$E$371,0),0)</f>
        <v>0</v>
      </c>
      <c r="Q30" s="151">
        <f>IF(COUNT($I$3:R3)=(Dashboard!$I$31+1),IF($F$30=$C$30,Data!$E$371,0),0)</f>
        <v>0</v>
      </c>
      <c r="R30" s="151">
        <f>IF(COUNT($I$3:S3)=(Dashboard!$I$31+1),IF($F$30=$C$30,Data!$E$371,0),0)</f>
        <v>0</v>
      </c>
      <c r="S30" s="151">
        <f>IF(COUNT($I$3:T3)=(Dashboard!$I$31+1),IF($F$30=$C$30,Data!$E$371,0),0)</f>
        <v>0</v>
      </c>
      <c r="T30" s="151">
        <f>IF(COUNT($I$3:U3)=(Dashboard!$I$31+1),IF($F$30=$C$30,Data!$E$371,0),0)</f>
        <v>820000</v>
      </c>
      <c r="U30" s="151">
        <f>IF(COUNT($I$3:V3)=(Dashboard!$I$31+1),IF($F$30=$C$30,Data!$E$371,0),0)</f>
        <v>0</v>
      </c>
      <c r="V30" s="151">
        <f>IF(COUNT($I$3:W3)=(Dashboard!$I$31+1),IF($F$30=$C$30,Data!$E$371,0),0)</f>
        <v>0</v>
      </c>
      <c r="W30" s="151">
        <f>IF(COUNT($I$3:X3)=(Dashboard!$I$31+1),IF($F$30=$C$30,Data!$E$371,0),0)</f>
        <v>0</v>
      </c>
      <c r="X30" s="151">
        <f>IF(COUNT($I$3:Y3)=(Dashboard!$I$31+1),IF($F$30=$C$30,Data!$E$371,0),0)</f>
        <v>0</v>
      </c>
      <c r="Y30" s="151">
        <f>IF(COUNT($I$3:Z3)=(Dashboard!$I$31+1),IF($F$30=$C$30,Data!$E$371,0),0)</f>
        <v>0</v>
      </c>
      <c r="Z30" s="151">
        <f>IF(COUNT($I$3:AA3)=(Dashboard!$I$31+1),IF($F$30=$C$30,Data!$E$371,0),0)</f>
        <v>0</v>
      </c>
      <c r="AA30" s="151">
        <f>IF(COUNT($I$3:AB3)=(Dashboard!$I$31+1),IF($F$30=$C$30,Data!$E$371,0),0)</f>
        <v>0</v>
      </c>
      <c r="AB30" s="151">
        <f>IF(COUNT($I$3:AC3)=(Dashboard!$I$31+1),IF($F$30=$C$30,Data!$E$371,0),0)</f>
        <v>0</v>
      </c>
      <c r="AC30" s="151">
        <f>IF(COUNT($I$3:AD3)=(Dashboard!$I$31+1),IF($F$30=$C$30,Data!$E$371,0),0)</f>
        <v>0</v>
      </c>
      <c r="AD30" s="151">
        <f>IF(COUNT($I$3:AE3)=(Dashboard!$I$31+1),IF($F$30=$C$30,Data!$E$371,0),0)</f>
        <v>0</v>
      </c>
      <c r="AE30" s="151">
        <f>IF(COUNT($I$3:AF3)=(Dashboard!$I$31+1),IF($F$30=$C$30,Data!$E$371,0),0)</f>
        <v>0</v>
      </c>
      <c r="AF30" s="151">
        <f>IF(COUNT($I$3:AG3)=(Dashboard!$I$31+1),IF($F$30=$C$30,Data!$E$371,0),0)</f>
        <v>0</v>
      </c>
      <c r="AG30" s="151">
        <f>IF(COUNT($I$3:AH3)=(Dashboard!$I$31+1),IF($F$30=$C$30,Data!$E$371,0),0)</f>
        <v>0</v>
      </c>
      <c r="AH30" s="151">
        <f>IF(COUNT($I$3:AI3)=(Dashboard!$I$31+1),IF($F$30=$C$30,Data!$E$371,0),0)</f>
        <v>0</v>
      </c>
      <c r="AI30" s="151">
        <f>IF(COUNT($I$3:AJ3)=(Dashboard!$I$31+1),IF($F$30=$C$30,Data!$E$371,0),0)</f>
        <v>0</v>
      </c>
      <c r="AJ30" s="151">
        <f>IF(COUNT($I$3:AK3)=(Dashboard!$I$31+1),IF($F$30=$C$30,Data!$E$371,0),0)</f>
        <v>0</v>
      </c>
      <c r="AK30" s="151">
        <f>IF(COUNT($I$3:AL3)=(Dashboard!$I$31+1),IF($F$30=$C$30,Data!$E$371,0),0)</f>
        <v>0</v>
      </c>
      <c r="AL30" s="151">
        <f>IF(COUNT($I$3:AM3)=(Dashboard!$I$31+1),IF($F$30=$C$30,Data!$E$371,0),0)</f>
        <v>0</v>
      </c>
      <c r="AM30" s="151">
        <f>IF(COUNT($I$3:AN3)=(Dashboard!$I$31+1),IF($F$30=$C$30,Data!$E$371,0),0)</f>
        <v>0</v>
      </c>
      <c r="AN30" s="151">
        <f>IF(COUNT($I$3:AO3)=(Dashboard!$I$31+1),IF($F$30=$C$30,Data!$E$371,0),0)</f>
        <v>0</v>
      </c>
      <c r="AO30" s="151">
        <f>IF(COUNT($I$3:AP3)=(Dashboard!$I$31+1),IF($F$30=$C$30,Data!$E$371,0),0)</f>
        <v>0</v>
      </c>
      <c r="AP30" s="29"/>
    </row>
    <row r="31" spans="1:42" hidden="1" outlineLevel="1" x14ac:dyDescent="0.25">
      <c r="A31" s="12"/>
      <c r="B31" s="13"/>
      <c r="C31" s="96" t="s">
        <v>124</v>
      </c>
      <c r="D31" s="14"/>
      <c r="E31" s="15" t="s">
        <v>142</v>
      </c>
      <c r="F31" s="158" t="str">
        <f>Dashboard!$I$43</f>
        <v>2 Axle rigid</v>
      </c>
      <c r="G31" s="14"/>
      <c r="H31" s="151">
        <f>IF(COUNT($I$3:I$3)=(Dashboard!$I$31+1),IF($F$31=$C$31,Data!$E$372,0),0)</f>
        <v>0</v>
      </c>
      <c r="I31" s="151">
        <f>IF(COUNT($I$3:J$3)=(Dashboard!$I$31+1),IF($F$31=$C$31,Data!$E$372,0),0)</f>
        <v>0</v>
      </c>
      <c r="J31" s="151">
        <f>IF(COUNT($I$3:K$3)=(Dashboard!$I$31+1),IF($F$31=$C$31,Data!$E$372,0),0)</f>
        <v>0</v>
      </c>
      <c r="K31" s="151">
        <f>IF(COUNT($I$3:L$3)=(Dashboard!$I$31+1),IF($F$31=$C$31,Data!$E$372,0),0)</f>
        <v>0</v>
      </c>
      <c r="L31" s="151">
        <f>IF(COUNT($I$3:M$3)=(Dashboard!$I$31+1),IF($F$31=$C$31,Data!$E$372,0),0)</f>
        <v>0</v>
      </c>
      <c r="M31" s="151">
        <f>IF(COUNT($I$3:N$3)=(Dashboard!$I$31+1),IF($F$31=$C$31,Data!$E$372,0),0)</f>
        <v>0</v>
      </c>
      <c r="N31" s="151">
        <f>IF(COUNT($I$3:O$3)=(Dashboard!$I$31+1),IF($F$31=$C$31,Data!$E$372,0),0)</f>
        <v>0</v>
      </c>
      <c r="O31" s="151">
        <f>IF(COUNT($I$3:P$3)=(Dashboard!$I$31+1),IF($F$31=$C$31,Data!$E$372,0),0)</f>
        <v>0</v>
      </c>
      <c r="P31" s="151">
        <f>IF(COUNT($I$3:Q$3)=(Dashboard!$I$31+1),IF($F$31=$C$31,Data!$E$372,0),0)</f>
        <v>0</v>
      </c>
      <c r="Q31" s="151">
        <f>IF(COUNT($I$3:R$3)=(Dashboard!$I$31+1),IF($F$31=$C$31,Data!$E$372,0),0)</f>
        <v>0</v>
      </c>
      <c r="R31" s="151">
        <f>IF(COUNT($I$3:S$3)=(Dashboard!$I$31+1),IF($F$31=$C$31,Data!$E$372,0),0)</f>
        <v>0</v>
      </c>
      <c r="S31" s="151">
        <f>IF(COUNT($I$3:T$3)=(Dashboard!$I$31+1),IF($F$31=$C$31,Data!$E$372,0),0)</f>
        <v>0</v>
      </c>
      <c r="T31" s="151">
        <f>IF(COUNT($I$3:U$3)=(Dashboard!$I$31+1),IF($F$31=$C$31,Data!$E$372,0),0)</f>
        <v>0</v>
      </c>
      <c r="U31" s="151">
        <f>IF(COUNT($I$3:V$3)=(Dashboard!$I$31+1),IF($F$31=$C$31,Data!$E$372,0),0)</f>
        <v>0</v>
      </c>
      <c r="V31" s="151">
        <f>IF(COUNT($I$3:W$3)=(Dashboard!$I$31+1),IF($F$31=$C$31,Data!$E$372,0),0)</f>
        <v>0</v>
      </c>
      <c r="W31" s="151">
        <f>IF(COUNT($I$3:X$3)=(Dashboard!$I$31+1),IF($F$31=$C$31,Data!$E$372,0),0)</f>
        <v>0</v>
      </c>
      <c r="X31" s="151">
        <f>IF(COUNT($I$3:Y$3)=(Dashboard!$I$31+1),IF($F$31=$C$31,Data!$E$372,0),0)</f>
        <v>0</v>
      </c>
      <c r="Y31" s="151">
        <f>IF(COUNT($I$3:Z$3)=(Dashboard!$I$31+1),IF($F$31=$C$31,Data!$E$372,0),0)</f>
        <v>0</v>
      </c>
      <c r="Z31" s="151">
        <f>IF(COUNT($I$3:AA$3)=(Dashboard!$I$31+1),IF($F$31=$C$31,Data!$E$372,0),0)</f>
        <v>0</v>
      </c>
      <c r="AA31" s="151">
        <f>IF(COUNT($I$3:AB$3)=(Dashboard!$I$31+1),IF($F$31=$C$31,Data!$E$372,0),0)</f>
        <v>0</v>
      </c>
      <c r="AB31" s="151">
        <f>IF(COUNT($I$3:AC$3)=(Dashboard!$I$31+1),IF($F$31=$C$31,Data!$E$372,0),0)</f>
        <v>0</v>
      </c>
      <c r="AC31" s="151">
        <f>IF(COUNT($I$3:AD$3)=(Dashboard!$I$31+1),IF($F$31=$C$31,Data!$E$372,0),0)</f>
        <v>0</v>
      </c>
      <c r="AD31" s="151">
        <f>IF(COUNT($I$3:AE$3)=(Dashboard!$I$31+1),IF($F$31=$C$31,Data!$E$372,0),0)</f>
        <v>0</v>
      </c>
      <c r="AE31" s="151">
        <f>IF(COUNT($I$3:AF$3)=(Dashboard!$I$31+1),IF($F$31=$C$31,Data!$E$372,0),0)</f>
        <v>0</v>
      </c>
      <c r="AF31" s="151">
        <f>IF(COUNT($I$3:AG$3)=(Dashboard!$I$31+1),IF($F$31=$C$31,Data!$E$372,0),0)</f>
        <v>0</v>
      </c>
      <c r="AG31" s="151">
        <f>IF(COUNT($I$3:AH$3)=(Dashboard!$I$31+1),IF($F$31=$C$31,Data!$E$372,0),0)</f>
        <v>0</v>
      </c>
      <c r="AH31" s="151">
        <f>IF(COUNT($I$3:AI$3)=(Dashboard!$I$31+1),IF($F$31=$C$31,Data!$E$372,0),0)</f>
        <v>0</v>
      </c>
      <c r="AI31" s="151">
        <f>IF(COUNT($I$3:AJ$3)=(Dashboard!$I$31+1),IF($F$31=$C$31,Data!$E$372,0),0)</f>
        <v>0</v>
      </c>
      <c r="AJ31" s="151">
        <f>IF(COUNT($I$3:AK$3)=(Dashboard!$I$31+1),IF($F$31=$C$31,Data!$E$372,0),0)</f>
        <v>0</v>
      </c>
      <c r="AK31" s="151">
        <f>IF(COUNT($I$3:AL$3)=(Dashboard!$I$31+1),IF($F$31=$C$31,Data!$E$372,0),0)</f>
        <v>0</v>
      </c>
      <c r="AL31" s="151">
        <f>IF(COUNT($I$3:AM$3)=(Dashboard!$I$31+1),IF($F$31=$C$31,Data!$E$372,0),0)</f>
        <v>0</v>
      </c>
      <c r="AM31" s="151">
        <f>IF(COUNT($I$3:AN$3)=(Dashboard!$I$31+1),IF($F$31=$C$31,Data!$E$372,0),0)</f>
        <v>0</v>
      </c>
      <c r="AN31" s="151">
        <f>IF(COUNT($I$3:AO$3)=(Dashboard!$I$31+1),IF($F$31=$C$31,Data!$E$372,0),0)</f>
        <v>0</v>
      </c>
      <c r="AO31" s="151">
        <f>IF(COUNT($I$3:AP$3)=(Dashboard!$I$31+1),IF($F$31=$C$31,Data!$E$372,0),0)</f>
        <v>0</v>
      </c>
      <c r="AP31" s="29"/>
    </row>
    <row r="32" spans="1:42" hidden="1" outlineLevel="1" x14ac:dyDescent="0.25">
      <c r="A32" s="12"/>
      <c r="B32" s="13"/>
      <c r="C32" s="96" t="s">
        <v>126</v>
      </c>
      <c r="D32" s="14"/>
      <c r="E32" s="15" t="s">
        <v>142</v>
      </c>
      <c r="F32" s="158" t="str">
        <f>Dashboard!$I$43</f>
        <v>2 Axle rigid</v>
      </c>
      <c r="G32" s="14"/>
      <c r="H32" s="151">
        <f>IF(COUNT($I$3:I$3)=(Dashboard!$I$31+1),IF($F$32=$C$32,Data!$E$373,0),0)</f>
        <v>0</v>
      </c>
      <c r="I32" s="151">
        <f>IF(COUNT($I$3:J$3)=(Dashboard!$I$31+1),IF($F$32=$C$32,Data!$E$373,0),0)</f>
        <v>0</v>
      </c>
      <c r="J32" s="151">
        <f>IF(COUNT($I$3:K$3)=(Dashboard!$I$31+1),IF($F$32=$C$32,Data!$E$373,0),0)</f>
        <v>0</v>
      </c>
      <c r="K32" s="151">
        <f>IF(COUNT($I$3:L$3)=(Dashboard!$I$31+1),IF($F$32=$C$32,Data!$E$373,0),0)</f>
        <v>0</v>
      </c>
      <c r="L32" s="151">
        <f>IF(COUNT($I$3:M$3)=(Dashboard!$I$31+1),IF($F$32=$C$32,Data!$E$373,0),0)</f>
        <v>0</v>
      </c>
      <c r="M32" s="151">
        <f>IF(COUNT($I$3:N$3)=(Dashboard!$I$31+1),IF($F$32=$C$32,Data!$E$373,0),0)</f>
        <v>0</v>
      </c>
      <c r="N32" s="151">
        <f>IF(COUNT($I$3:O$3)=(Dashboard!$I$31+1),IF($F$32=$C$32,Data!$E$373,0),0)</f>
        <v>0</v>
      </c>
      <c r="O32" s="151">
        <f>IF(COUNT($I$3:P$3)=(Dashboard!$I$31+1),IF($F$32=$C$32,Data!$E$373,0),0)</f>
        <v>0</v>
      </c>
      <c r="P32" s="151">
        <f>IF(COUNT($I$3:Q$3)=(Dashboard!$I$31+1),IF($F$32=$C$32,Data!$E$373,0),0)</f>
        <v>0</v>
      </c>
      <c r="Q32" s="151">
        <f>IF(COUNT($I$3:R$3)=(Dashboard!$I$31+1),IF($F$32=$C$32,Data!$E$373,0),0)</f>
        <v>0</v>
      </c>
      <c r="R32" s="151">
        <f>IF(COUNT($I$3:S$3)=(Dashboard!$I$31+1),IF($F$32=$C$32,Data!$E$373,0),0)</f>
        <v>0</v>
      </c>
      <c r="S32" s="151">
        <f>IF(COUNT($I$3:T$3)=(Dashboard!$I$31+1),IF($F$32=$C$32,Data!$E$373,0),0)</f>
        <v>0</v>
      </c>
      <c r="T32" s="151">
        <f>IF(COUNT($I$3:U$3)=(Dashboard!$I$31+1),IF($F$32=$C$32,Data!$E$373,0),0)</f>
        <v>0</v>
      </c>
      <c r="U32" s="151">
        <f>IF(COUNT($I$3:V$3)=(Dashboard!$I$31+1),IF($F$32=$C$32,Data!$E$373,0),0)</f>
        <v>0</v>
      </c>
      <c r="V32" s="151">
        <f>IF(COUNT($I$3:W$3)=(Dashboard!$I$31+1),IF($F$32=$C$32,Data!$E$373,0),0)</f>
        <v>0</v>
      </c>
      <c r="W32" s="151">
        <f>IF(COUNT($I$3:X$3)=(Dashboard!$I$31+1),IF($F$32=$C$32,Data!$E$373,0),0)</f>
        <v>0</v>
      </c>
      <c r="X32" s="151">
        <f>IF(COUNT($I$3:Y$3)=(Dashboard!$I$31+1),IF($F$32=$C$32,Data!$E$373,0),0)</f>
        <v>0</v>
      </c>
      <c r="Y32" s="151">
        <f>IF(COUNT($I$3:Z$3)=(Dashboard!$I$31+1),IF($F$32=$C$32,Data!$E$373,0),0)</f>
        <v>0</v>
      </c>
      <c r="Z32" s="151">
        <f>IF(COUNT($I$3:AA$3)=(Dashboard!$I$31+1),IF($F$32=$C$32,Data!$E$373,0),0)</f>
        <v>0</v>
      </c>
      <c r="AA32" s="151">
        <f>IF(COUNT($I$3:AB$3)=(Dashboard!$I$31+1),IF($F$32=$C$32,Data!$E$373,0),0)</f>
        <v>0</v>
      </c>
      <c r="AB32" s="151">
        <f>IF(COUNT($I$3:AC$3)=(Dashboard!$I$31+1),IF($F$32=$C$32,Data!$E$373,0),0)</f>
        <v>0</v>
      </c>
      <c r="AC32" s="151">
        <f>IF(COUNT($I$3:AD$3)=(Dashboard!$I$31+1),IF($F$32=$C$32,Data!$E$373,0),0)</f>
        <v>0</v>
      </c>
      <c r="AD32" s="151">
        <f>IF(COUNT($I$3:AE$3)=(Dashboard!$I$31+1),IF($F$32=$C$32,Data!$E$373,0),0)</f>
        <v>0</v>
      </c>
      <c r="AE32" s="151">
        <f>IF(COUNT($I$3:AF$3)=(Dashboard!$I$31+1),IF($F$32=$C$32,Data!$E$373,0),0)</f>
        <v>0</v>
      </c>
      <c r="AF32" s="151">
        <f>IF(COUNT($I$3:AG$3)=(Dashboard!$I$31+1),IF($F$32=$C$32,Data!$E$373,0),0)</f>
        <v>0</v>
      </c>
      <c r="AG32" s="151">
        <f>IF(COUNT($I$3:AH$3)=(Dashboard!$I$31+1),IF($F$32=$C$32,Data!$E$373,0),0)</f>
        <v>0</v>
      </c>
      <c r="AH32" s="151">
        <f>IF(COUNT($I$3:AI$3)=(Dashboard!$I$31+1),IF($F$32=$C$32,Data!$E$373,0),0)</f>
        <v>0</v>
      </c>
      <c r="AI32" s="151">
        <f>IF(COUNT($I$3:AJ$3)=(Dashboard!$I$31+1),IF($F$32=$C$32,Data!$E$373,0),0)</f>
        <v>0</v>
      </c>
      <c r="AJ32" s="151">
        <f>IF(COUNT($I$3:AK$3)=(Dashboard!$I$31+1),IF($F$32=$C$32,Data!$E$373,0),0)</f>
        <v>0</v>
      </c>
      <c r="AK32" s="151">
        <f>IF(COUNT($I$3:AL$3)=(Dashboard!$I$31+1),IF($F$32=$C$32,Data!$E$373,0),0)</f>
        <v>0</v>
      </c>
      <c r="AL32" s="151">
        <f>IF(COUNT($I$3:AM$3)=(Dashboard!$I$31+1),IF($F$32=$C$32,Data!$E$373,0),0)</f>
        <v>0</v>
      </c>
      <c r="AM32" s="151">
        <f>IF(COUNT($I$3:AN$3)=(Dashboard!$I$31+1),IF($F$32=$C$32,Data!$E$373,0),0)</f>
        <v>0</v>
      </c>
      <c r="AN32" s="151">
        <f>IF(COUNT($I$3:AO$3)=(Dashboard!$I$31+1),IF($F$32=$C$32,Data!$E$373,0),0)</f>
        <v>0</v>
      </c>
      <c r="AO32" s="151">
        <f>IF(COUNT($I$3:AP$3)=(Dashboard!$I$31+1),IF($F$32=$C$32,Data!$E$373,0),0)</f>
        <v>0</v>
      </c>
      <c r="AP32" s="29"/>
    </row>
    <row r="33" spans="1:42" hidden="1" outlineLevel="1" x14ac:dyDescent="0.25">
      <c r="A33" s="12"/>
      <c r="B33" s="13"/>
      <c r="C33" s="14"/>
      <c r="D33" s="14"/>
      <c r="E33" s="15"/>
      <c r="F33" s="16"/>
      <c r="G33" s="14"/>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7"/>
    </row>
    <row r="34" spans="1:42" hidden="1" outlineLevel="1" x14ac:dyDescent="0.25">
      <c r="A34" s="12"/>
      <c r="B34" s="13"/>
      <c r="C34" s="19" t="s">
        <v>510</v>
      </c>
      <c r="D34" s="45"/>
      <c r="E34" s="15"/>
      <c r="F34" s="158"/>
      <c r="G34" s="14"/>
      <c r="H34" s="182">
        <f t="shared" ref="H34:AO34" si="2">SUM(H30:H32)</f>
        <v>0</v>
      </c>
      <c r="I34" s="182">
        <f t="shared" si="2"/>
        <v>0</v>
      </c>
      <c r="J34" s="182">
        <f t="shared" si="2"/>
        <v>0</v>
      </c>
      <c r="K34" s="182">
        <f t="shared" si="2"/>
        <v>0</v>
      </c>
      <c r="L34" s="182">
        <f t="shared" si="2"/>
        <v>0</v>
      </c>
      <c r="M34" s="182">
        <f t="shared" si="2"/>
        <v>0</v>
      </c>
      <c r="N34" s="182">
        <f t="shared" si="2"/>
        <v>0</v>
      </c>
      <c r="O34" s="182">
        <f t="shared" si="2"/>
        <v>0</v>
      </c>
      <c r="P34" s="182">
        <f t="shared" si="2"/>
        <v>0</v>
      </c>
      <c r="Q34" s="182">
        <f t="shared" si="2"/>
        <v>0</v>
      </c>
      <c r="R34" s="182">
        <f t="shared" si="2"/>
        <v>0</v>
      </c>
      <c r="S34" s="182">
        <f t="shared" si="2"/>
        <v>0</v>
      </c>
      <c r="T34" s="182">
        <f t="shared" si="2"/>
        <v>820000</v>
      </c>
      <c r="U34" s="182">
        <f t="shared" si="2"/>
        <v>0</v>
      </c>
      <c r="V34" s="182">
        <f t="shared" si="2"/>
        <v>0</v>
      </c>
      <c r="W34" s="182">
        <f t="shared" si="2"/>
        <v>0</v>
      </c>
      <c r="X34" s="182">
        <f t="shared" si="2"/>
        <v>0</v>
      </c>
      <c r="Y34" s="182">
        <f t="shared" si="2"/>
        <v>0</v>
      </c>
      <c r="Z34" s="182">
        <f t="shared" si="2"/>
        <v>0</v>
      </c>
      <c r="AA34" s="182">
        <f t="shared" si="2"/>
        <v>0</v>
      </c>
      <c r="AB34" s="182">
        <f t="shared" si="2"/>
        <v>0</v>
      </c>
      <c r="AC34" s="182">
        <f t="shared" si="2"/>
        <v>0</v>
      </c>
      <c r="AD34" s="182">
        <f t="shared" si="2"/>
        <v>0</v>
      </c>
      <c r="AE34" s="182">
        <f t="shared" si="2"/>
        <v>0</v>
      </c>
      <c r="AF34" s="182">
        <f t="shared" si="2"/>
        <v>0</v>
      </c>
      <c r="AG34" s="182">
        <f t="shared" si="2"/>
        <v>0</v>
      </c>
      <c r="AH34" s="182">
        <f t="shared" si="2"/>
        <v>0</v>
      </c>
      <c r="AI34" s="182">
        <f t="shared" si="2"/>
        <v>0</v>
      </c>
      <c r="AJ34" s="182">
        <f t="shared" si="2"/>
        <v>0</v>
      </c>
      <c r="AK34" s="182">
        <f t="shared" si="2"/>
        <v>0</v>
      </c>
      <c r="AL34" s="182">
        <f t="shared" si="2"/>
        <v>0</v>
      </c>
      <c r="AM34" s="182">
        <f t="shared" si="2"/>
        <v>0</v>
      </c>
      <c r="AN34" s="182">
        <f t="shared" si="2"/>
        <v>0</v>
      </c>
      <c r="AO34" s="182">
        <f t="shared" si="2"/>
        <v>0</v>
      </c>
      <c r="AP34" s="29"/>
    </row>
    <row r="35" spans="1:42" hidden="1" outlineLevel="1" x14ac:dyDescent="0.25">
      <c r="A35" s="78"/>
      <c r="B35" s="19"/>
      <c r="C35" s="95" t="s">
        <v>560</v>
      </c>
      <c r="D35" s="20"/>
      <c r="E35" s="21" t="s">
        <v>142</v>
      </c>
      <c r="F35" s="158"/>
      <c r="G35" s="20"/>
      <c r="H35" s="20"/>
      <c r="I35" s="244">
        <f t="shared" ref="I35:AO35" si="3">SUM(I39:I39)</f>
        <v>0</v>
      </c>
      <c r="J35" s="244">
        <f t="shared" si="3"/>
        <v>0</v>
      </c>
      <c r="K35" s="244">
        <f t="shared" si="3"/>
        <v>0</v>
      </c>
      <c r="L35" s="244">
        <f t="shared" si="3"/>
        <v>0</v>
      </c>
      <c r="M35" s="244">
        <f t="shared" si="3"/>
        <v>0</v>
      </c>
      <c r="N35" s="244">
        <f t="shared" si="3"/>
        <v>0</v>
      </c>
      <c r="O35" s="244">
        <f t="shared" si="3"/>
        <v>0</v>
      </c>
      <c r="P35" s="244">
        <f t="shared" si="3"/>
        <v>0</v>
      </c>
      <c r="Q35" s="244">
        <f t="shared" si="3"/>
        <v>0</v>
      </c>
      <c r="R35" s="244">
        <f t="shared" si="3"/>
        <v>0</v>
      </c>
      <c r="S35" s="244">
        <f t="shared" si="3"/>
        <v>0</v>
      </c>
      <c r="T35" s="244">
        <f t="shared" si="3"/>
        <v>60337.035269475695</v>
      </c>
      <c r="U35" s="244">
        <f t="shared" si="3"/>
        <v>60337.035269475695</v>
      </c>
      <c r="V35" s="244">
        <f t="shared" si="3"/>
        <v>60337.035269475695</v>
      </c>
      <c r="W35" s="244">
        <f t="shared" si="3"/>
        <v>60337.035269475695</v>
      </c>
      <c r="X35" s="244">
        <f t="shared" si="3"/>
        <v>60337.035269475695</v>
      </c>
      <c r="Y35" s="244">
        <f t="shared" si="3"/>
        <v>60337.035269475695</v>
      </c>
      <c r="Z35" s="244">
        <f t="shared" si="3"/>
        <v>60337.035269475695</v>
      </c>
      <c r="AA35" s="244">
        <f t="shared" si="3"/>
        <v>60337.035269475695</v>
      </c>
      <c r="AB35" s="244">
        <f t="shared" si="3"/>
        <v>60337.035269475695</v>
      </c>
      <c r="AC35" s="244">
        <f t="shared" si="3"/>
        <v>60337.035269475695</v>
      </c>
      <c r="AD35" s="244">
        <f t="shared" si="3"/>
        <v>60337.035269475695</v>
      </c>
      <c r="AE35" s="244">
        <f t="shared" si="3"/>
        <v>60337.035269475695</v>
      </c>
      <c r="AF35" s="244">
        <f t="shared" si="3"/>
        <v>60337.035269475695</v>
      </c>
      <c r="AG35" s="244">
        <f t="shared" si="3"/>
        <v>60337.035269475695</v>
      </c>
      <c r="AH35" s="244">
        <f t="shared" si="3"/>
        <v>60337.035269475695</v>
      </c>
      <c r="AI35" s="244">
        <f t="shared" si="3"/>
        <v>60337.035269475695</v>
      </c>
      <c r="AJ35" s="244">
        <f t="shared" si="3"/>
        <v>60337.035269475695</v>
      </c>
      <c r="AK35" s="244">
        <f t="shared" si="3"/>
        <v>60337.035269475695</v>
      </c>
      <c r="AL35" s="244">
        <f t="shared" si="3"/>
        <v>60337.035269475695</v>
      </c>
      <c r="AM35" s="244">
        <f t="shared" si="3"/>
        <v>60337.035269475695</v>
      </c>
      <c r="AN35" s="244">
        <f t="shared" si="3"/>
        <v>0</v>
      </c>
      <c r="AO35" s="244">
        <f t="shared" si="3"/>
        <v>0</v>
      </c>
      <c r="AP35" s="370"/>
    </row>
    <row r="36" spans="1:42" hidden="1" outlineLevel="1" x14ac:dyDescent="0.25">
      <c r="A36" s="78"/>
      <c r="B36" s="19"/>
      <c r="C36" s="95" t="s">
        <v>561</v>
      </c>
      <c r="D36" s="20"/>
      <c r="E36" s="21" t="s">
        <v>142</v>
      </c>
      <c r="F36" s="158"/>
      <c r="G36" s="20"/>
      <c r="H36" s="20"/>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370"/>
    </row>
    <row r="37" spans="1:42" hidden="1" outlineLevel="1" x14ac:dyDescent="0.25">
      <c r="A37" s="12"/>
      <c r="B37" s="13"/>
      <c r="C37" s="19"/>
      <c r="D37" s="45"/>
      <c r="E37" s="15"/>
      <c r="F37" s="16"/>
      <c r="G37" s="14"/>
      <c r="H37" s="382">
        <f>(H34&gt;0)*1</f>
        <v>0</v>
      </c>
      <c r="I37" s="382">
        <f t="shared" ref="I37:AO37" si="4">(I34&gt;0)*1</f>
        <v>0</v>
      </c>
      <c r="J37" s="382">
        <f t="shared" si="4"/>
        <v>0</v>
      </c>
      <c r="K37" s="382">
        <f t="shared" si="4"/>
        <v>0</v>
      </c>
      <c r="L37" s="382">
        <f t="shared" si="4"/>
        <v>0</v>
      </c>
      <c r="M37" s="382">
        <f t="shared" si="4"/>
        <v>0</v>
      </c>
      <c r="N37" s="382">
        <f t="shared" si="4"/>
        <v>0</v>
      </c>
      <c r="O37" s="382">
        <f t="shared" si="4"/>
        <v>0</v>
      </c>
      <c r="P37" s="382">
        <f t="shared" si="4"/>
        <v>0</v>
      </c>
      <c r="Q37" s="382">
        <f t="shared" si="4"/>
        <v>0</v>
      </c>
      <c r="R37" s="382">
        <f t="shared" si="4"/>
        <v>0</v>
      </c>
      <c r="S37" s="382">
        <f t="shared" si="4"/>
        <v>0</v>
      </c>
      <c r="T37" s="382">
        <f t="shared" si="4"/>
        <v>1</v>
      </c>
      <c r="U37" s="382">
        <f t="shared" si="4"/>
        <v>0</v>
      </c>
      <c r="V37" s="382">
        <f t="shared" si="4"/>
        <v>0</v>
      </c>
      <c r="W37" s="382">
        <f t="shared" si="4"/>
        <v>0</v>
      </c>
      <c r="X37" s="382">
        <f t="shared" si="4"/>
        <v>0</v>
      </c>
      <c r="Y37" s="382">
        <f t="shared" si="4"/>
        <v>0</v>
      </c>
      <c r="Z37" s="382">
        <f t="shared" si="4"/>
        <v>0</v>
      </c>
      <c r="AA37" s="382">
        <f t="shared" si="4"/>
        <v>0</v>
      </c>
      <c r="AB37" s="382">
        <f t="shared" si="4"/>
        <v>0</v>
      </c>
      <c r="AC37" s="382">
        <f t="shared" si="4"/>
        <v>0</v>
      </c>
      <c r="AD37" s="382">
        <f t="shared" si="4"/>
        <v>0</v>
      </c>
      <c r="AE37" s="382">
        <f t="shared" si="4"/>
        <v>0</v>
      </c>
      <c r="AF37" s="382">
        <f t="shared" si="4"/>
        <v>0</v>
      </c>
      <c r="AG37" s="382">
        <f t="shared" si="4"/>
        <v>0</v>
      </c>
      <c r="AH37" s="382">
        <f t="shared" si="4"/>
        <v>0</v>
      </c>
      <c r="AI37" s="382">
        <f t="shared" si="4"/>
        <v>0</v>
      </c>
      <c r="AJ37" s="382">
        <f t="shared" si="4"/>
        <v>0</v>
      </c>
      <c r="AK37" s="382">
        <f t="shared" si="4"/>
        <v>0</v>
      </c>
      <c r="AL37" s="382">
        <f t="shared" si="4"/>
        <v>0</v>
      </c>
      <c r="AM37" s="382">
        <f t="shared" si="4"/>
        <v>0</v>
      </c>
      <c r="AN37" s="382">
        <f t="shared" si="4"/>
        <v>0</v>
      </c>
      <c r="AO37" s="382">
        <f t="shared" si="4"/>
        <v>0</v>
      </c>
      <c r="AP37" s="29"/>
    </row>
    <row r="38" spans="1:42" hidden="1" outlineLevel="1" x14ac:dyDescent="0.25">
      <c r="A38" s="12"/>
      <c r="B38" s="13"/>
      <c r="C38" s="14"/>
      <c r="D38" s="379" t="s">
        <v>564</v>
      </c>
      <c r="E38" s="380" t="s">
        <v>565</v>
      </c>
      <c r="F38" s="16"/>
      <c r="G38" s="14"/>
      <c r="H38" s="382">
        <f>SUM($H37:H37)*(H37&gt;0)</f>
        <v>0</v>
      </c>
      <c r="I38" s="382">
        <f>SUM($H37:I37)*(I37&gt;0)</f>
        <v>0</v>
      </c>
      <c r="J38" s="382">
        <f>SUM($H37:J37)*(J37&gt;0)</f>
        <v>0</v>
      </c>
      <c r="K38" s="382">
        <f>SUM($H37:K37)*(K37&gt;0)</f>
        <v>0</v>
      </c>
      <c r="L38" s="382">
        <f>SUM($H37:L37)*(L37&gt;0)</f>
        <v>0</v>
      </c>
      <c r="M38" s="382">
        <f>SUM($H37:M37)*(M37&gt;0)</f>
        <v>0</v>
      </c>
      <c r="N38" s="382">
        <f>SUM($H37:N37)*(N37&gt;0)</f>
        <v>0</v>
      </c>
      <c r="O38" s="382">
        <f>SUM($H37:O37)*(O37&gt;0)</f>
        <v>0</v>
      </c>
      <c r="P38" s="382">
        <f>SUM($H37:P37)*(P37&gt;0)</f>
        <v>0</v>
      </c>
      <c r="Q38" s="382">
        <f>SUM($H37:Q37)*(Q37&gt;0)</f>
        <v>0</v>
      </c>
      <c r="R38" s="382">
        <f>SUM($H37:R37)*(R37&gt;0)</f>
        <v>0</v>
      </c>
      <c r="S38" s="382">
        <f>SUM($H37:S37)*(S37&gt;0)</f>
        <v>0</v>
      </c>
      <c r="T38" s="382">
        <f>SUM($H37:T37)*(T37&gt;0)</f>
        <v>1</v>
      </c>
      <c r="U38" s="382">
        <f>SUM($H37:U37)*(U37&gt;0)</f>
        <v>0</v>
      </c>
      <c r="V38" s="382">
        <f>SUM($H37:V37)*(V37&gt;0)</f>
        <v>0</v>
      </c>
      <c r="W38" s="382">
        <f>SUM($H37:W37)*(W37&gt;0)</f>
        <v>0</v>
      </c>
      <c r="X38" s="382">
        <f>SUM($H37:X37)*(X37&gt;0)</f>
        <v>0</v>
      </c>
      <c r="Y38" s="382">
        <f>SUM($H37:Y37)*(Y37&gt;0)</f>
        <v>0</v>
      </c>
      <c r="Z38" s="382">
        <f>SUM($H37:Z37)*(Z37&gt;0)</f>
        <v>0</v>
      </c>
      <c r="AA38" s="382">
        <f>SUM($H37:AA37)*(AA37&gt;0)</f>
        <v>0</v>
      </c>
      <c r="AB38" s="382">
        <f>SUM($H37:AB37)*(AB37&gt;0)</f>
        <v>0</v>
      </c>
      <c r="AC38" s="382">
        <f>SUM($H37:AC37)*(AC37&gt;0)</f>
        <v>0</v>
      </c>
      <c r="AD38" s="382">
        <f>SUM($H37:AD37)*(AD37&gt;0)</f>
        <v>0</v>
      </c>
      <c r="AE38" s="382">
        <f>SUM($H37:AE37)*(AE37&gt;0)</f>
        <v>0</v>
      </c>
      <c r="AF38" s="382">
        <f>SUM($H37:AF37)*(AF37&gt;0)</f>
        <v>0</v>
      </c>
      <c r="AG38" s="382">
        <f>SUM($H37:AG37)*(AG37&gt;0)</f>
        <v>0</v>
      </c>
      <c r="AH38" s="382">
        <f>SUM($H37:AH37)*(AH37&gt;0)</f>
        <v>0</v>
      </c>
      <c r="AI38" s="382">
        <f>SUM($H37:AI37)*(AI37&gt;0)</f>
        <v>0</v>
      </c>
      <c r="AJ38" s="382">
        <f>SUM($H37:AJ37)*(AJ37&gt;0)</f>
        <v>0</v>
      </c>
      <c r="AK38" s="382">
        <f>SUM($H37:AK37)*(AK37&gt;0)</f>
        <v>0</v>
      </c>
      <c r="AL38" s="382">
        <f>SUM($H37:AL37)*(AL37&gt;0)</f>
        <v>0</v>
      </c>
      <c r="AM38" s="382">
        <f>SUM($H37:AM37)*(AM37&gt;0)</f>
        <v>0</v>
      </c>
      <c r="AN38" s="382">
        <f>SUM($H37:AN37)*(AN37&gt;0)</f>
        <v>0</v>
      </c>
      <c r="AO38" s="382">
        <f>SUM($H37:AO37)*(AO37&gt;0)</f>
        <v>0</v>
      </c>
      <c r="AP38" s="29"/>
    </row>
    <row r="39" spans="1:42" hidden="1" outlineLevel="1" x14ac:dyDescent="0.25">
      <c r="A39" s="12"/>
      <c r="B39" s="13"/>
      <c r="C39" s="95" t="s">
        <v>549</v>
      </c>
      <c r="D39" s="381">
        <f>IFERROR(INDEX($H$34:$AO$34,1,MATCH(1,$H$38:$AO$38,0)),0)</f>
        <v>820000</v>
      </c>
      <c r="E39" s="380">
        <f>IFERROR(INDEX($H$3:$AO$3,1,MATCH(1,$H$38:$AO$38,0)),0)</f>
        <v>12</v>
      </c>
      <c r="F39" s="16"/>
      <c r="G39" s="14"/>
      <c r="H39" s="182">
        <f>-PMT(Data!$E$10,$D$41,$D39,0,0)*(H$3&gt;=$E39)*(H$3&lt;=$E39+$D$41-1)</f>
        <v>0</v>
      </c>
      <c r="I39" s="182">
        <f>-PMT(Data!$E$10,$D$41,$D39,0,0)*(I$3&gt;=$E39)*(I$3&lt;=$E39+$D$41-1)</f>
        <v>0</v>
      </c>
      <c r="J39" s="182">
        <f>-PMT(Data!$E$10,$D$41,$D39,0,0)*(J$3&gt;=$E39)*(J$3&lt;=$E39+$D$41-1)</f>
        <v>0</v>
      </c>
      <c r="K39" s="182">
        <f>-PMT(Data!$E$10,$D$41,$D39,0,0)*(K$3&gt;=$E39)*(K$3&lt;=$E39+$D$41-1)</f>
        <v>0</v>
      </c>
      <c r="L39" s="182">
        <f>-PMT(Data!$E$10,$D$41,$D39,0,0)*(L$3&gt;=$E39)*(L$3&lt;=$E39+$D$41-1)</f>
        <v>0</v>
      </c>
      <c r="M39" s="182">
        <f>-PMT(Data!$E$10,$D$41,$D39,0,0)*(M$3&gt;=$E39)*(M$3&lt;=$E39+$D$41-1)</f>
        <v>0</v>
      </c>
      <c r="N39" s="182">
        <f>-PMT(Data!$E$10,$D$41,$D39,0,0)*(N$3&gt;=$E39)*(N$3&lt;=$E39+$D$41-1)</f>
        <v>0</v>
      </c>
      <c r="O39" s="182">
        <f>-PMT(Data!$E$10,$D$41,$D39,0,0)*(O$3&gt;=$E39)*(O$3&lt;=$E39+$D$41-1)</f>
        <v>0</v>
      </c>
      <c r="P39" s="182">
        <f>-PMT(Data!$E$10,$D$41,$D39,0,0)*(P$3&gt;=$E39)*(P$3&lt;=$E39+$D$41-1)</f>
        <v>0</v>
      </c>
      <c r="Q39" s="182">
        <f>-PMT(Data!$E$10,$D$41,$D39,0,0)*(Q$3&gt;=$E39)*(Q$3&lt;=$E39+$D$41-1)</f>
        <v>0</v>
      </c>
      <c r="R39" s="182">
        <f>-PMT(Data!$E$10,$D$41,$D39,0,0)*(R$3&gt;=$E39)*(R$3&lt;=$E39+$D$41-1)</f>
        <v>0</v>
      </c>
      <c r="S39" s="182">
        <f>-PMT(Data!$E$10,$D$41,$D39,0,0)*(S$3&gt;=$E39)*(S$3&lt;=$E39+$D$41-1)</f>
        <v>0</v>
      </c>
      <c r="T39" s="182">
        <f>-PMT(Data!$E$10,$D$41,$D39,0,0)*(T$3&gt;=$E39)*(T$3&lt;=$E39+$D$41-1)</f>
        <v>60337.035269475695</v>
      </c>
      <c r="U39" s="182">
        <f>-PMT(Data!$E$10,$D$41,$D39,0,0)*(U$3&gt;=$E39)*(U$3&lt;=$E39+$D$41-1)</f>
        <v>60337.035269475695</v>
      </c>
      <c r="V39" s="182">
        <f>-PMT(Data!$E$10,$D$41,$D39,0,0)*(V$3&gt;=$E39)*(V$3&lt;=$E39+$D$41-1)</f>
        <v>60337.035269475695</v>
      </c>
      <c r="W39" s="182">
        <f>-PMT(Data!$E$10,$D$41,$D39,0,0)*(W$3&gt;=$E39)*(W$3&lt;=$E39+$D$41-1)</f>
        <v>60337.035269475695</v>
      </c>
      <c r="X39" s="182">
        <f>-PMT(Data!$E$10,$D$41,$D39,0,0)*(X$3&gt;=$E39)*(X$3&lt;=$E39+$D$41-1)</f>
        <v>60337.035269475695</v>
      </c>
      <c r="Y39" s="182">
        <f>-PMT(Data!$E$10,$D$41,$D39,0,0)*(Y$3&gt;=$E39)*(Y$3&lt;=$E39+$D$41-1)</f>
        <v>60337.035269475695</v>
      </c>
      <c r="Z39" s="182">
        <f>-PMT(Data!$E$10,$D$41,$D39,0,0)*(Z$3&gt;=$E39)*(Z$3&lt;=$E39+$D$41-1)</f>
        <v>60337.035269475695</v>
      </c>
      <c r="AA39" s="182">
        <f>-PMT(Data!$E$10,$D$41,$D39,0,0)*(AA$3&gt;=$E39)*(AA$3&lt;=$E39+$D$41-1)</f>
        <v>60337.035269475695</v>
      </c>
      <c r="AB39" s="182">
        <f>-PMT(Data!$E$10,$D$41,$D39,0,0)*(AB$3&gt;=$E39)*(AB$3&lt;=$E39+$D$41-1)</f>
        <v>60337.035269475695</v>
      </c>
      <c r="AC39" s="182">
        <f>-PMT(Data!$E$10,$D$41,$D39,0,0)*(AC$3&gt;=$E39)*(AC$3&lt;=$E39+$D$41-1)</f>
        <v>60337.035269475695</v>
      </c>
      <c r="AD39" s="182">
        <f>-PMT(Data!$E$10,$D$41,$D39,0,0)*(AD$3&gt;=$E39)*(AD$3&lt;=$E39+$D$41-1)</f>
        <v>60337.035269475695</v>
      </c>
      <c r="AE39" s="182">
        <f>-PMT(Data!$E$10,$D$41,$D39,0,0)*(AE$3&gt;=$E39)*(AE$3&lt;=$E39+$D$41-1)</f>
        <v>60337.035269475695</v>
      </c>
      <c r="AF39" s="182">
        <f>-PMT(Data!$E$10,$D$41,$D39,0,0)*(AF$3&gt;=$E39)*(AF$3&lt;=$E39+$D$41-1)</f>
        <v>60337.035269475695</v>
      </c>
      <c r="AG39" s="182">
        <f>-PMT(Data!$E$10,$D$41,$D39,0,0)*(AG$3&gt;=$E39)*(AG$3&lt;=$E39+$D$41-1)</f>
        <v>60337.035269475695</v>
      </c>
      <c r="AH39" s="182">
        <f>-PMT(Data!$E$10,$D$41,$D39,0,0)*(AH$3&gt;=$E39)*(AH$3&lt;=$E39+$D$41-1)</f>
        <v>60337.035269475695</v>
      </c>
      <c r="AI39" s="182">
        <f>-PMT(Data!$E$10,$D$41,$D39,0,0)*(AI$3&gt;=$E39)*(AI$3&lt;=$E39+$D$41-1)</f>
        <v>60337.035269475695</v>
      </c>
      <c r="AJ39" s="182">
        <f>-PMT(Data!$E$10,$D$41,$D39,0,0)*(AJ$3&gt;=$E39)*(AJ$3&lt;=$E39+$D$41-1)</f>
        <v>60337.035269475695</v>
      </c>
      <c r="AK39" s="182">
        <f>-PMT(Data!$E$10,$D$41,$D39,0,0)*(AK$3&gt;=$E39)*(AK$3&lt;=$E39+$D$41-1)</f>
        <v>60337.035269475695</v>
      </c>
      <c r="AL39" s="182">
        <f>-PMT(Data!$E$10,$D$41,$D39,0,0)*(AL$3&gt;=$E39)*(AL$3&lt;=$E39+$D$41-1)</f>
        <v>60337.035269475695</v>
      </c>
      <c r="AM39" s="182">
        <f>-PMT(Data!$E$10,$D$41,$D39,0,0)*(AM$3&gt;=$E39)*(AM$3&lt;=$E39+$D$41-1)</f>
        <v>60337.035269475695</v>
      </c>
      <c r="AN39" s="182">
        <f>-PMT(Data!$E$10,$D$41,$D39,0,0)*(AN$3&gt;=$E39)*(AN$3&lt;=$E39+$D$41-1)</f>
        <v>0</v>
      </c>
      <c r="AO39" s="182">
        <f>-PMT(Data!$E$10,$D$41,$D39,0,0)*(AO$3&gt;=$E39)*(AO$3&lt;=$E39+$D$41-1)</f>
        <v>0</v>
      </c>
      <c r="AP39" s="29"/>
    </row>
    <row r="40" spans="1:42" hidden="1" outlineLevel="1" x14ac:dyDescent="0.25">
      <c r="A40" s="12"/>
      <c r="B40" s="13"/>
      <c r="C40" s="19"/>
      <c r="D40" s="45"/>
      <c r="E40" s="15"/>
      <c r="F40" s="16"/>
      <c r="G40" s="14"/>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29"/>
    </row>
    <row r="41" spans="1:42" hidden="1" outlineLevel="1" x14ac:dyDescent="0.25">
      <c r="A41" s="12"/>
      <c r="B41" s="13"/>
      <c r="C41" s="95" t="s">
        <v>334</v>
      </c>
      <c r="D41" s="380">
        <f>Data!$E$386</f>
        <v>20</v>
      </c>
      <c r="E41" s="15"/>
      <c r="F41" s="16"/>
      <c r="G41" s="14"/>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29"/>
    </row>
    <row r="42" spans="1:42" hidden="1" outlineLevel="1" x14ac:dyDescent="0.25">
      <c r="A42" s="12"/>
      <c r="B42" s="13"/>
      <c r="C42" s="19" t="s">
        <v>510</v>
      </c>
      <c r="D42" s="45"/>
      <c r="E42" s="15"/>
      <c r="F42" s="158"/>
      <c r="G42" s="14"/>
      <c r="H42" s="182">
        <f>SUM(H39)</f>
        <v>0</v>
      </c>
      <c r="I42" s="182">
        <f t="shared" ref="I42:AO42" si="5">SUM(I39)</f>
        <v>0</v>
      </c>
      <c r="J42" s="182">
        <f t="shared" si="5"/>
        <v>0</v>
      </c>
      <c r="K42" s="182">
        <f t="shared" si="5"/>
        <v>0</v>
      </c>
      <c r="L42" s="182">
        <f t="shared" si="5"/>
        <v>0</v>
      </c>
      <c r="M42" s="182">
        <f t="shared" si="5"/>
        <v>0</v>
      </c>
      <c r="N42" s="182">
        <f t="shared" si="5"/>
        <v>0</v>
      </c>
      <c r="O42" s="182">
        <f t="shared" si="5"/>
        <v>0</v>
      </c>
      <c r="P42" s="182">
        <f t="shared" si="5"/>
        <v>0</v>
      </c>
      <c r="Q42" s="182">
        <f t="shared" si="5"/>
        <v>0</v>
      </c>
      <c r="R42" s="182">
        <f t="shared" si="5"/>
        <v>0</v>
      </c>
      <c r="S42" s="182">
        <f t="shared" si="5"/>
        <v>0</v>
      </c>
      <c r="T42" s="182">
        <f t="shared" si="5"/>
        <v>60337.035269475695</v>
      </c>
      <c r="U42" s="182">
        <f t="shared" si="5"/>
        <v>60337.035269475695</v>
      </c>
      <c r="V42" s="182">
        <f t="shared" si="5"/>
        <v>60337.035269475695</v>
      </c>
      <c r="W42" s="182">
        <f t="shared" si="5"/>
        <v>60337.035269475695</v>
      </c>
      <c r="X42" s="182">
        <f t="shared" si="5"/>
        <v>60337.035269475695</v>
      </c>
      <c r="Y42" s="182">
        <f t="shared" si="5"/>
        <v>60337.035269475695</v>
      </c>
      <c r="Z42" s="182">
        <f t="shared" si="5"/>
        <v>60337.035269475695</v>
      </c>
      <c r="AA42" s="182">
        <f t="shared" si="5"/>
        <v>60337.035269475695</v>
      </c>
      <c r="AB42" s="182">
        <f t="shared" si="5"/>
        <v>60337.035269475695</v>
      </c>
      <c r="AC42" s="182">
        <f t="shared" si="5"/>
        <v>60337.035269475695</v>
      </c>
      <c r="AD42" s="182">
        <f t="shared" si="5"/>
        <v>60337.035269475695</v>
      </c>
      <c r="AE42" s="182">
        <f t="shared" si="5"/>
        <v>60337.035269475695</v>
      </c>
      <c r="AF42" s="182">
        <f t="shared" si="5"/>
        <v>60337.035269475695</v>
      </c>
      <c r="AG42" s="182">
        <f t="shared" si="5"/>
        <v>60337.035269475695</v>
      </c>
      <c r="AH42" s="182">
        <f t="shared" si="5"/>
        <v>60337.035269475695</v>
      </c>
      <c r="AI42" s="182">
        <f t="shared" si="5"/>
        <v>60337.035269475695</v>
      </c>
      <c r="AJ42" s="182">
        <f t="shared" si="5"/>
        <v>60337.035269475695</v>
      </c>
      <c r="AK42" s="182">
        <f t="shared" si="5"/>
        <v>60337.035269475695</v>
      </c>
      <c r="AL42" s="182">
        <f t="shared" si="5"/>
        <v>60337.035269475695</v>
      </c>
      <c r="AM42" s="182">
        <f t="shared" si="5"/>
        <v>60337.035269475695</v>
      </c>
      <c r="AN42" s="182">
        <f t="shared" si="5"/>
        <v>0</v>
      </c>
      <c r="AO42" s="182">
        <f t="shared" si="5"/>
        <v>0</v>
      </c>
      <c r="AP42" s="29"/>
    </row>
    <row r="43" spans="1:42" hidden="1" outlineLevel="1" x14ac:dyDescent="0.25">
      <c r="A43" s="12"/>
      <c r="B43" s="13"/>
      <c r="C43" s="37" t="s">
        <v>472</v>
      </c>
      <c r="D43" s="37"/>
      <c r="E43" s="38"/>
      <c r="F43" s="39"/>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17"/>
    </row>
    <row r="44" spans="1:42" hidden="1" outlineLevel="1" x14ac:dyDescent="0.25">
      <c r="A44" s="12"/>
      <c r="B44" s="13"/>
      <c r="C44" s="19" t="s">
        <v>599</v>
      </c>
      <c r="D44" s="19"/>
      <c r="E44" s="15"/>
      <c r="F44" s="16"/>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7"/>
    </row>
    <row r="45" spans="1:42" hidden="1" outlineLevel="1" x14ac:dyDescent="0.25">
      <c r="A45" s="12"/>
      <c r="B45" s="13"/>
      <c r="C45" s="20" t="s">
        <v>258</v>
      </c>
      <c r="D45" s="44"/>
      <c r="E45" s="15"/>
      <c r="F45" s="16"/>
      <c r="G45" s="14"/>
      <c r="H45" s="14"/>
      <c r="I45" s="159"/>
      <c r="J45" s="14"/>
      <c r="K45" s="14"/>
      <c r="L45" s="14"/>
      <c r="M45" s="14"/>
      <c r="O45" s="14"/>
      <c r="P45" s="14"/>
      <c r="Q45" s="14"/>
      <c r="R45" s="14"/>
      <c r="S45" s="14"/>
      <c r="T45" s="14"/>
      <c r="U45" s="14"/>
      <c r="V45" s="14"/>
      <c r="X45" s="14"/>
      <c r="Y45" s="14"/>
      <c r="Z45" s="14"/>
      <c r="AA45" s="14"/>
      <c r="AB45" s="14"/>
      <c r="AC45" s="14"/>
      <c r="AD45" s="14"/>
      <c r="AE45" s="14"/>
      <c r="AF45" s="14"/>
      <c r="AG45" s="14"/>
      <c r="AH45" s="14"/>
      <c r="AI45" s="14"/>
      <c r="AJ45" s="14"/>
      <c r="AK45" s="14"/>
      <c r="AL45" s="14"/>
      <c r="AM45" s="14"/>
      <c r="AN45" s="14"/>
      <c r="AO45" s="14"/>
      <c r="AP45" s="17"/>
    </row>
    <row r="46" spans="1:42" hidden="1" outlineLevel="1" x14ac:dyDescent="0.25">
      <c r="A46" s="12"/>
      <c r="B46" s="13"/>
      <c r="C46" s="96" t="s">
        <v>120</v>
      </c>
      <c r="D46" s="45"/>
      <c r="E46" s="15" t="s">
        <v>474</v>
      </c>
      <c r="F46" s="158" t="str">
        <f>Dashboard!$I$43</f>
        <v>2 Axle rigid</v>
      </c>
      <c r="G46" s="14"/>
      <c r="H46" s="150"/>
      <c r="I46" s="177">
        <f>IF($F$46=$C$46,Data!$E$377*I$18,0)</f>
        <v>0</v>
      </c>
      <c r="J46" s="177">
        <f>IF($F$46=$C$46,Data!$E$377*J$18,0)</f>
        <v>0</v>
      </c>
      <c r="K46" s="177">
        <f>IF($F$46=$C$46,Data!$E$377*K$18,0)</f>
        <v>0</v>
      </c>
      <c r="L46" s="177">
        <f>IF($F$46=$C$46,Data!$E$377*L$18,0)</f>
        <v>0</v>
      </c>
      <c r="M46" s="177">
        <f>IF($F$46=$C$46,Data!$E$377*M$18,0)</f>
        <v>0</v>
      </c>
      <c r="N46" s="177">
        <f>IF($F$46=$C$46,Data!$E$377*N$18,0)</f>
        <v>0</v>
      </c>
      <c r="O46" s="177">
        <f>IF($F$46=$C$46,Data!$E$377*O$18,0)</f>
        <v>0</v>
      </c>
      <c r="P46" s="177">
        <f>IF($F$46=$C$46,Data!$E$377*P$18,0)</f>
        <v>0</v>
      </c>
      <c r="Q46" s="177">
        <f>IF($F$46=$C$46,Data!$E$377*Q$18,0)</f>
        <v>0</v>
      </c>
      <c r="R46" s="177">
        <f>IF($F$46=$C$46,Data!$E$377*R$18,0)</f>
        <v>0</v>
      </c>
      <c r="S46" s="177">
        <f>IF($F$46=$C$46,Data!$E$377*S$18,0)</f>
        <v>0</v>
      </c>
      <c r="T46" s="177">
        <f>IF($F$46=$C$46,Data!$E$377*T$18,0)</f>
        <v>0</v>
      </c>
      <c r="U46" s="177">
        <f>IF($F$46=$C$46,Data!$E$377*U$18,0)</f>
        <v>53504.989199999996</v>
      </c>
      <c r="V46" s="177">
        <f>IF($F$46=$C$46,Data!$E$377*V$18,0)</f>
        <v>53504.989199999996</v>
      </c>
      <c r="W46" s="177">
        <f>IF($F$46=$C$46,Data!$E$377*W$18,0)</f>
        <v>53504.989199999996</v>
      </c>
      <c r="X46" s="177">
        <f>IF($F$46=$C$46,Data!$E$377*X$18,0)</f>
        <v>53504.989199999996</v>
      </c>
      <c r="Y46" s="177">
        <f>IF($F$46=$C$46,Data!$E$377*Y$18,0)</f>
        <v>53504.989199999996</v>
      </c>
      <c r="Z46" s="177">
        <f>IF($F$46=$C$46,Data!$E$377*Z$18,0)</f>
        <v>53504.989199999996</v>
      </c>
      <c r="AA46" s="177">
        <f>IF($F$46=$C$46,Data!$E$377*AA$18,0)</f>
        <v>53504.989199999996</v>
      </c>
      <c r="AB46" s="177">
        <f>IF($F$46=$C$46,Data!$E$377*AB$18,0)</f>
        <v>53504.989199999996</v>
      </c>
      <c r="AC46" s="177">
        <f>IF($F$46=$C$46,Data!$E$377*AC$18,0)</f>
        <v>53504.989199999996</v>
      </c>
      <c r="AD46" s="177">
        <f>IF($F$46=$C$46,Data!$E$377*AD$18,0)</f>
        <v>53504.989199999996</v>
      </c>
      <c r="AE46" s="177">
        <f>IF($F$46=$C$46,Data!$E$377*AE$18,0)</f>
        <v>53504.989199999996</v>
      </c>
      <c r="AF46" s="177">
        <f>IF($F$46=$C$46,Data!$E$377*AF$18,0)</f>
        <v>53504.989199999996</v>
      </c>
      <c r="AG46" s="177">
        <f>IF($F$46=$C$46,Data!$E$377*AG$18,0)</f>
        <v>53504.989199999996</v>
      </c>
      <c r="AH46" s="177">
        <f>IF($F$46=$C$46,Data!$E$377*AH$18,0)</f>
        <v>53504.989199999996</v>
      </c>
      <c r="AI46" s="177">
        <f>IF($F$46=$C$46,Data!$E$377*AI$18,0)</f>
        <v>53504.989199999996</v>
      </c>
      <c r="AJ46" s="177">
        <f>IF($F$46=$C$46,Data!$E$377*AJ$18,0)</f>
        <v>53504.989199999996</v>
      </c>
      <c r="AK46" s="177">
        <f>IF($F$46=$C$46,Data!$E$377*AK$18,0)</f>
        <v>53504.989199999996</v>
      </c>
      <c r="AL46" s="177">
        <f>IF($F$46=$C$46,Data!$E$377*AL$18,0)</f>
        <v>53504.989199999996</v>
      </c>
      <c r="AM46" s="177">
        <f>IF($F$46=$C$46,Data!$E$377*AM$18,0)</f>
        <v>53504.989199999996</v>
      </c>
      <c r="AN46" s="177">
        <f>IF($F$46=$C$46,Data!$E$377*AN$18,0)</f>
        <v>53504.989199999996</v>
      </c>
      <c r="AO46" s="177">
        <f>IF($F$46=$C$46,Data!$E$377*AO$18,0)</f>
        <v>0</v>
      </c>
      <c r="AP46" s="29"/>
    </row>
    <row r="47" spans="1:42" hidden="1" outlineLevel="1" x14ac:dyDescent="0.25">
      <c r="A47" s="12"/>
      <c r="B47" s="13"/>
      <c r="C47" s="96" t="s">
        <v>124</v>
      </c>
      <c r="D47" s="45"/>
      <c r="E47" s="15" t="s">
        <v>474</v>
      </c>
      <c r="F47" s="158" t="str">
        <f>Dashboard!$I$43</f>
        <v>2 Axle rigid</v>
      </c>
      <c r="G47" s="14"/>
      <c r="H47" s="150"/>
      <c r="I47" s="177">
        <f>IF($F$47=$C$47,Data!$E$378*I$18,0)</f>
        <v>0</v>
      </c>
      <c r="J47" s="177">
        <f>IF($F$47=$C$47,Data!$E$378*J$18,0)</f>
        <v>0</v>
      </c>
      <c r="K47" s="177">
        <f>IF($F$47=$C$47,Data!$E$378*K$18,0)</f>
        <v>0</v>
      </c>
      <c r="L47" s="177">
        <f>IF($F$47=$C$47,Data!$E$378*L$18,0)</f>
        <v>0</v>
      </c>
      <c r="M47" s="177">
        <f>IF($F$47=$C$47,Data!$E$378*M$18,0)</f>
        <v>0</v>
      </c>
      <c r="N47" s="177">
        <f>IF($F$47=$C$47,Data!$E$378*N$18,0)</f>
        <v>0</v>
      </c>
      <c r="O47" s="177">
        <f>IF($F$47=$C$47,Data!$E$378*O$18,0)</f>
        <v>0</v>
      </c>
      <c r="P47" s="177">
        <f>IF($F$47=$C$47,Data!$E$378*P$18,0)</f>
        <v>0</v>
      </c>
      <c r="Q47" s="177">
        <f>IF($F$47=$C$47,Data!$E$378*Q$18,0)</f>
        <v>0</v>
      </c>
      <c r="R47" s="177">
        <f>IF($F$47=$C$47,Data!$E$378*R$18,0)</f>
        <v>0</v>
      </c>
      <c r="S47" s="177">
        <f>IF($F$47=$C$47,Data!$E$378*S$18,0)</f>
        <v>0</v>
      </c>
      <c r="T47" s="177">
        <f>IF($F$47=$C$47,Data!$E$378*T$18,0)</f>
        <v>0</v>
      </c>
      <c r="U47" s="177">
        <f>IF($F$47=$C$47,Data!$E$378*U$18,0)</f>
        <v>0</v>
      </c>
      <c r="V47" s="177">
        <f>IF($F$47=$C$47,Data!$E$378*V$18,0)</f>
        <v>0</v>
      </c>
      <c r="W47" s="177">
        <f>IF($F$47=$C$47,Data!$E$378*W$18,0)</f>
        <v>0</v>
      </c>
      <c r="X47" s="177">
        <f>IF($F$47=$C$47,Data!$E$378*X$18,0)</f>
        <v>0</v>
      </c>
      <c r="Y47" s="177">
        <f>IF($F$47=$C$47,Data!$E$378*Y$18,0)</f>
        <v>0</v>
      </c>
      <c r="Z47" s="177">
        <f>IF($F$47=$C$47,Data!$E$378*Z$18,0)</f>
        <v>0</v>
      </c>
      <c r="AA47" s="177">
        <f>IF($F$47=$C$47,Data!$E$378*AA$18,0)</f>
        <v>0</v>
      </c>
      <c r="AB47" s="177">
        <f>IF($F$47=$C$47,Data!$E$378*AB$18,0)</f>
        <v>0</v>
      </c>
      <c r="AC47" s="177">
        <f>IF($F$47=$C$47,Data!$E$378*AC$18,0)</f>
        <v>0</v>
      </c>
      <c r="AD47" s="177">
        <f>IF($F$47=$C$47,Data!$E$378*AD$18,0)</f>
        <v>0</v>
      </c>
      <c r="AE47" s="177">
        <f>IF($F$47=$C$47,Data!$E$378*AE$18,0)</f>
        <v>0</v>
      </c>
      <c r="AF47" s="177">
        <f>IF($F$47=$C$47,Data!$E$378*AF$18,0)</f>
        <v>0</v>
      </c>
      <c r="AG47" s="177">
        <f>IF($F$47=$C$47,Data!$E$378*AG$18,0)</f>
        <v>0</v>
      </c>
      <c r="AH47" s="177">
        <f>IF($F$47=$C$47,Data!$E$378*AH$18,0)</f>
        <v>0</v>
      </c>
      <c r="AI47" s="177">
        <f>IF($F$47=$C$47,Data!$E$378*AI$18,0)</f>
        <v>0</v>
      </c>
      <c r="AJ47" s="177">
        <f>IF($F$47=$C$47,Data!$E$378*AJ$18,0)</f>
        <v>0</v>
      </c>
      <c r="AK47" s="177">
        <f>IF($F$47=$C$47,Data!$E$378*AK$18,0)</f>
        <v>0</v>
      </c>
      <c r="AL47" s="177">
        <f>IF($F$47=$C$47,Data!$E$378*AL$18,0)</f>
        <v>0</v>
      </c>
      <c r="AM47" s="177">
        <f>IF($F$47=$C$47,Data!$E$378*AM$18,0)</f>
        <v>0</v>
      </c>
      <c r="AN47" s="177">
        <f>IF($F$47=$C$47,Data!$E$378*AN$18,0)</f>
        <v>0</v>
      </c>
      <c r="AO47" s="177">
        <f>IF($F$47=$C$47,Data!$E$378*AO$18,0)</f>
        <v>0</v>
      </c>
      <c r="AP47" s="29"/>
    </row>
    <row r="48" spans="1:42" hidden="1" outlineLevel="1" x14ac:dyDescent="0.25">
      <c r="A48" s="12"/>
      <c r="B48" s="13"/>
      <c r="C48" s="96" t="s">
        <v>126</v>
      </c>
      <c r="D48" s="45"/>
      <c r="E48" s="15" t="s">
        <v>474</v>
      </c>
      <c r="F48" s="158" t="str">
        <f>Dashboard!$I$43</f>
        <v>2 Axle rigid</v>
      </c>
      <c r="G48" s="14"/>
      <c r="H48" s="150"/>
      <c r="I48" s="177">
        <f>IF($F$48=$C$48,Data!$E$379*I$18,0)</f>
        <v>0</v>
      </c>
      <c r="J48" s="177">
        <f>IF($F$48=$C$48,Data!$E$379*J$18,0)</f>
        <v>0</v>
      </c>
      <c r="K48" s="177">
        <f>IF($F$48=$C$48,Data!$E$379*K$18,0)</f>
        <v>0</v>
      </c>
      <c r="L48" s="177">
        <f>IF($F$48=$C$48,Data!$E$379*L$18,0)</f>
        <v>0</v>
      </c>
      <c r="M48" s="177">
        <f>IF($F$48=$C$48,Data!$E$379*M$18,0)</f>
        <v>0</v>
      </c>
      <c r="N48" s="177">
        <f>IF($F$48=$C$48,Data!$E$379*N$18,0)</f>
        <v>0</v>
      </c>
      <c r="O48" s="177">
        <f>IF($F$48=$C$48,Data!$E$379*O$18,0)</f>
        <v>0</v>
      </c>
      <c r="P48" s="177">
        <f>IF($F$48=$C$48,Data!$E$379*P$18,0)</f>
        <v>0</v>
      </c>
      <c r="Q48" s="177">
        <f>IF($F$48=$C$48,Data!$E$379*Q$18,0)</f>
        <v>0</v>
      </c>
      <c r="R48" s="177">
        <f>IF($F$48=$C$48,Data!$E$379*R$18,0)</f>
        <v>0</v>
      </c>
      <c r="S48" s="177">
        <f>IF($F$48=$C$48,Data!$E$379*S$18,0)</f>
        <v>0</v>
      </c>
      <c r="T48" s="177">
        <f>IF($F$48=$C$48,Data!$E$379*T$18,0)</f>
        <v>0</v>
      </c>
      <c r="U48" s="177">
        <f>IF($F$48=$C$48,Data!$E$379*U$18,0)</f>
        <v>0</v>
      </c>
      <c r="V48" s="177">
        <f>IF($F$48=$C$48,Data!$E$379*V$18,0)</f>
        <v>0</v>
      </c>
      <c r="W48" s="177">
        <f>IF($F$48=$C$48,Data!$E$379*W$18,0)</f>
        <v>0</v>
      </c>
      <c r="X48" s="177">
        <f>IF($F$48=$C$48,Data!$E$379*X$18,0)</f>
        <v>0</v>
      </c>
      <c r="Y48" s="177">
        <f>IF($F$48=$C$48,Data!$E$379*Y$18,0)</f>
        <v>0</v>
      </c>
      <c r="Z48" s="177">
        <f>IF($F$48=$C$48,Data!$E$379*Z$18,0)</f>
        <v>0</v>
      </c>
      <c r="AA48" s="177">
        <f>IF($F$48=$C$48,Data!$E$379*AA$18,0)</f>
        <v>0</v>
      </c>
      <c r="AB48" s="177">
        <f>IF($F$48=$C$48,Data!$E$379*AB$18,0)</f>
        <v>0</v>
      </c>
      <c r="AC48" s="177">
        <f>IF($F$48=$C$48,Data!$E$379*AC$18,0)</f>
        <v>0</v>
      </c>
      <c r="AD48" s="177">
        <f>IF($F$48=$C$48,Data!$E$379*AD$18,0)</f>
        <v>0</v>
      </c>
      <c r="AE48" s="177">
        <f>IF($F$48=$C$48,Data!$E$379*AE$18,0)</f>
        <v>0</v>
      </c>
      <c r="AF48" s="177">
        <f>IF($F$48=$C$48,Data!$E$379*AF$18,0)</f>
        <v>0</v>
      </c>
      <c r="AG48" s="177">
        <f>IF($F$48=$C$48,Data!$E$379*AG$18,0)</f>
        <v>0</v>
      </c>
      <c r="AH48" s="177">
        <f>IF($F$48=$C$48,Data!$E$379*AH$18,0)</f>
        <v>0</v>
      </c>
      <c r="AI48" s="177">
        <f>IF($F$48=$C$48,Data!$E$379*AI$18,0)</f>
        <v>0</v>
      </c>
      <c r="AJ48" s="177">
        <f>IF($F$48=$C$48,Data!$E$379*AJ$18,0)</f>
        <v>0</v>
      </c>
      <c r="AK48" s="177">
        <f>IF($F$48=$C$48,Data!$E$379*AK$18,0)</f>
        <v>0</v>
      </c>
      <c r="AL48" s="177">
        <f>IF($F$48=$C$48,Data!$E$379*AL$18,0)</f>
        <v>0</v>
      </c>
      <c r="AM48" s="177">
        <f>IF($F$48=$C$48,Data!$E$379*AM$18,0)</f>
        <v>0</v>
      </c>
      <c r="AN48" s="177">
        <f>IF($F$48=$C$48,Data!$E$379*AN$18,0)</f>
        <v>0</v>
      </c>
      <c r="AO48" s="177">
        <f>IF($F$48=$C$48,Data!$E$379*AO$18,0)</f>
        <v>0</v>
      </c>
      <c r="AP48" s="29"/>
    </row>
    <row r="49" spans="1:42" hidden="1" outlineLevel="1" x14ac:dyDescent="0.25">
      <c r="A49" s="12"/>
      <c r="B49" s="13"/>
      <c r="C49" s="373"/>
      <c r="D49" s="45"/>
      <c r="E49" s="15"/>
      <c r="F49" s="16"/>
      <c r="G49" s="14"/>
      <c r="H49" s="28"/>
      <c r="I49" s="177"/>
      <c r="J49" s="177"/>
      <c r="K49" s="177"/>
      <c r="L49" s="177"/>
      <c r="M49" s="177"/>
      <c r="N49" s="177"/>
      <c r="O49" s="177"/>
      <c r="P49" s="177"/>
      <c r="Q49" s="177"/>
      <c r="R49" s="177"/>
      <c r="S49" s="177"/>
      <c r="T49" s="177"/>
      <c r="U49" s="177"/>
      <c r="V49" s="177"/>
      <c r="W49" s="177"/>
      <c r="X49" s="177"/>
      <c r="Y49" s="177"/>
      <c r="Z49" s="177"/>
      <c r="AA49" s="177"/>
      <c r="AB49" s="177"/>
      <c r="AC49" s="177"/>
      <c r="AD49" s="28"/>
      <c r="AE49" s="28"/>
      <c r="AF49" s="28"/>
      <c r="AG49" s="28"/>
      <c r="AH49" s="28"/>
      <c r="AI49" s="28"/>
      <c r="AJ49" s="28"/>
      <c r="AK49" s="28"/>
      <c r="AL49" s="28"/>
      <c r="AM49" s="28"/>
      <c r="AN49" s="28"/>
      <c r="AO49" s="28"/>
      <c r="AP49" s="29"/>
    </row>
    <row r="50" spans="1:42" hidden="1" outlineLevel="1" x14ac:dyDescent="0.25">
      <c r="A50" s="12"/>
      <c r="B50" s="13"/>
      <c r="C50" s="44" t="s">
        <v>260</v>
      </c>
      <c r="D50" s="14"/>
      <c r="E50" s="15" t="s">
        <v>318</v>
      </c>
      <c r="F50" s="16"/>
      <c r="G50" s="14"/>
      <c r="H50" s="151"/>
      <c r="I50" s="151">
        <f>Data!$E$382*I$18</f>
        <v>0</v>
      </c>
      <c r="J50" s="151">
        <f>Data!$E$382*J$18</f>
        <v>0</v>
      </c>
      <c r="K50" s="151">
        <f>Data!$E$382*K$18</f>
        <v>0</v>
      </c>
      <c r="L50" s="151">
        <f>Data!$E$382*L$18</f>
        <v>0</v>
      </c>
      <c r="M50" s="151">
        <f>Data!$E$382*M$18</f>
        <v>0</v>
      </c>
      <c r="N50" s="151">
        <f>Data!$E$382*N$18</f>
        <v>0</v>
      </c>
      <c r="O50" s="151">
        <f>Data!$E$382*O$18</f>
        <v>0</v>
      </c>
      <c r="P50" s="151">
        <f>Data!$E$382*P$18</f>
        <v>0</v>
      </c>
      <c r="Q50" s="151">
        <f>Data!$E$382*Q$18</f>
        <v>0</v>
      </c>
      <c r="R50" s="151">
        <f>Data!$E$382*R$18</f>
        <v>0</v>
      </c>
      <c r="S50" s="151">
        <f>Data!$E$382*S$18</f>
        <v>0</v>
      </c>
      <c r="T50" s="151">
        <f>Data!$E$382*T$18</f>
        <v>0</v>
      </c>
      <c r="U50" s="151">
        <f>Data!$E$382*U$18</f>
        <v>33733.440000000002</v>
      </c>
      <c r="V50" s="151">
        <f>Data!$E$382*V$18</f>
        <v>33733.440000000002</v>
      </c>
      <c r="W50" s="151">
        <f>Data!$E$382*W$18</f>
        <v>33733.440000000002</v>
      </c>
      <c r="X50" s="151">
        <f>Data!$E$382*X$18</f>
        <v>33733.440000000002</v>
      </c>
      <c r="Y50" s="151">
        <f>Data!$E$382*Y$18</f>
        <v>33733.440000000002</v>
      </c>
      <c r="Z50" s="151">
        <f>Data!$E$382*Z$18</f>
        <v>33733.440000000002</v>
      </c>
      <c r="AA50" s="151">
        <f>Data!$E$382*AA$18</f>
        <v>33733.440000000002</v>
      </c>
      <c r="AB50" s="151">
        <f>Data!$E$382*AB$18</f>
        <v>33733.440000000002</v>
      </c>
      <c r="AC50" s="151">
        <f>Data!$E$382*AC$18</f>
        <v>33733.440000000002</v>
      </c>
      <c r="AD50" s="151">
        <f>Data!$E$382*AD$18</f>
        <v>33733.440000000002</v>
      </c>
      <c r="AE50" s="151">
        <f>Data!$E$382*AE$18</f>
        <v>33733.440000000002</v>
      </c>
      <c r="AF50" s="151">
        <f>Data!$E$382*AF$18</f>
        <v>33733.440000000002</v>
      </c>
      <c r="AG50" s="151">
        <f>Data!$E$382*AG$18</f>
        <v>33733.440000000002</v>
      </c>
      <c r="AH50" s="151">
        <f>Data!$E$382*AH$18</f>
        <v>33733.440000000002</v>
      </c>
      <c r="AI50" s="151">
        <f>Data!$E$382*AI$18</f>
        <v>33733.440000000002</v>
      </c>
      <c r="AJ50" s="151">
        <f>Data!$E$382*AJ$18</f>
        <v>33733.440000000002</v>
      </c>
      <c r="AK50" s="151">
        <f>Data!$E$382*AK$18</f>
        <v>33733.440000000002</v>
      </c>
      <c r="AL50" s="151">
        <f>Data!$E$382*AL$18</f>
        <v>33733.440000000002</v>
      </c>
      <c r="AM50" s="151">
        <f>Data!$E$382*AM$18</f>
        <v>33733.440000000002</v>
      </c>
      <c r="AN50" s="151">
        <f>Data!$E$382*AN$18</f>
        <v>33733.440000000002</v>
      </c>
      <c r="AO50" s="151">
        <f>Data!$E$382*AO$18</f>
        <v>0</v>
      </c>
      <c r="AP50" s="17"/>
    </row>
    <row r="51" spans="1:42" hidden="1" outlineLevel="1" x14ac:dyDescent="0.25">
      <c r="A51" s="12"/>
      <c r="B51" s="13"/>
      <c r="C51" s="95" t="s">
        <v>570</v>
      </c>
      <c r="D51" s="45"/>
      <c r="E51" s="15"/>
      <c r="F51" s="16"/>
      <c r="G51" s="14"/>
      <c r="H51" s="28"/>
      <c r="I51" s="56"/>
      <c r="J51" s="56"/>
      <c r="K51" s="56"/>
      <c r="L51" s="56"/>
      <c r="M51" s="56"/>
      <c r="N51" s="56"/>
      <c r="O51" s="56"/>
      <c r="P51" s="56"/>
      <c r="Q51" s="56"/>
      <c r="R51" s="56"/>
      <c r="S51" s="56"/>
      <c r="T51" s="56"/>
      <c r="U51" s="56"/>
      <c r="V51" s="56"/>
      <c r="W51" s="56"/>
      <c r="X51" s="56"/>
      <c r="Y51" s="56"/>
      <c r="Z51" s="56"/>
      <c r="AA51" s="56"/>
      <c r="AB51" s="56"/>
      <c r="AC51" s="28"/>
      <c r="AD51" s="28"/>
      <c r="AE51" s="28"/>
      <c r="AF51" s="28"/>
      <c r="AG51" s="28"/>
      <c r="AH51" s="28"/>
      <c r="AI51" s="28"/>
      <c r="AJ51" s="28"/>
      <c r="AK51" s="28"/>
      <c r="AL51" s="28"/>
      <c r="AM51" s="28"/>
      <c r="AN51" s="28"/>
      <c r="AO51" s="28"/>
      <c r="AP51" s="29"/>
    </row>
    <row r="52" spans="1:42" hidden="1" outlineLevel="1" x14ac:dyDescent="0.25">
      <c r="A52" s="12"/>
      <c r="B52" s="13"/>
      <c r="C52" s="96" t="s">
        <v>127</v>
      </c>
      <c r="D52" s="45"/>
      <c r="E52" s="15" t="s">
        <v>475</v>
      </c>
      <c r="F52" s="158" t="str">
        <f>Dashboard!$I$42</f>
        <v>Flat (Gradient  0%)</v>
      </c>
      <c r="G52" s="14"/>
      <c r="H52" s="28"/>
      <c r="I52" s="178" cm="1">
        <f t="array" ref="I52">INDEX('Control panel'!$F$17:$F$19,MATCH($F52,'Control panel'!$C$17:$C$19,0),0)</f>
        <v>0</v>
      </c>
      <c r="J52" s="178" cm="1">
        <f t="array" ref="J52">INDEX('Control panel'!$F$17:$F$19,MATCH($F52,'Control panel'!$C$17:$C$19,0),0)</f>
        <v>0</v>
      </c>
      <c r="K52" s="178" cm="1">
        <f t="array" ref="K52">INDEX('Control panel'!$F$17:$F$19,MATCH($F52,'Control panel'!$C$17:$C$19,0),0)</f>
        <v>0</v>
      </c>
      <c r="L52" s="178" cm="1">
        <f t="array" ref="L52">INDEX('Control panel'!$F$17:$F$19,MATCH($F52,'Control panel'!$C$17:$C$19,0),0)</f>
        <v>0</v>
      </c>
      <c r="M52" s="178" cm="1">
        <f t="array" ref="M52">INDEX('Control panel'!$F$17:$F$19,MATCH($F52,'Control panel'!$C$17:$C$19,0),0)</f>
        <v>0</v>
      </c>
      <c r="N52" s="178" cm="1">
        <f t="array" ref="N52">INDEX('Control panel'!$F$17:$F$19,MATCH($F52,'Control panel'!$C$17:$C$19,0),0)</f>
        <v>0</v>
      </c>
      <c r="O52" s="178" cm="1">
        <f t="array" ref="O52">INDEX('Control panel'!$F$17:$F$19,MATCH($F52,'Control panel'!$C$17:$C$19,0),0)</f>
        <v>0</v>
      </c>
      <c r="P52" s="178" cm="1">
        <f t="array" ref="P52">INDEX('Control panel'!$F$17:$F$19,MATCH($F52,'Control panel'!$C$17:$C$19,0),0)</f>
        <v>0</v>
      </c>
      <c r="Q52" s="178" cm="1">
        <f t="array" ref="Q52">INDEX('Control panel'!$F$17:$F$19,MATCH($F52,'Control panel'!$C$17:$C$19,0),0)</f>
        <v>0</v>
      </c>
      <c r="R52" s="178" cm="1">
        <f t="array" ref="R52">INDEX('Control panel'!$F$17:$F$19,MATCH($F52,'Control panel'!$C$17:$C$19,0),0)</f>
        <v>0</v>
      </c>
      <c r="S52" s="178" cm="1">
        <f t="array" ref="S52">INDEX('Control panel'!$F$17:$F$19,MATCH($F52,'Control panel'!$C$17:$C$19,0),0)</f>
        <v>0</v>
      </c>
      <c r="T52" s="178" cm="1">
        <f t="array" ref="T52">INDEX('Control panel'!$F$17:$F$19,MATCH($F52,'Control panel'!$C$17:$C$19,0),0)</f>
        <v>0</v>
      </c>
      <c r="U52" s="178" cm="1">
        <f t="array" ref="U52">INDEX('Control panel'!$F$17:$F$19,MATCH($F52,'Control panel'!$C$17:$C$19,0),0)</f>
        <v>0</v>
      </c>
      <c r="V52" s="178" cm="1">
        <f t="array" ref="V52">INDEX('Control panel'!$F$17:$F$19,MATCH($F52,'Control panel'!$C$17:$C$19,0),0)</f>
        <v>0</v>
      </c>
      <c r="W52" s="178" cm="1">
        <f t="array" ref="W52">INDEX('Control panel'!$F$17:$F$19,MATCH($F52,'Control panel'!$C$17:$C$19,0),0)</f>
        <v>0</v>
      </c>
      <c r="X52" s="178" cm="1">
        <f t="array" ref="X52">INDEX('Control panel'!$F$17:$F$19,MATCH($F52,'Control panel'!$C$17:$C$19,0),0)</f>
        <v>0</v>
      </c>
      <c r="Y52" s="178" cm="1">
        <f t="array" ref="Y52">INDEX('Control panel'!$F$17:$F$19,MATCH($F52,'Control panel'!$C$17:$C$19,0),0)</f>
        <v>0</v>
      </c>
      <c r="Z52" s="178" cm="1">
        <f t="array" ref="Z52">INDEX('Control panel'!$F$17:$F$19,MATCH($F52,'Control panel'!$C$17:$C$19,0),0)</f>
        <v>0</v>
      </c>
      <c r="AA52" s="178" cm="1">
        <f t="array" ref="AA52">INDEX('Control panel'!$F$17:$F$19,MATCH($F52,'Control panel'!$C$17:$C$19,0),0)</f>
        <v>0</v>
      </c>
      <c r="AB52" s="178" cm="1">
        <f t="array" ref="AB52">INDEX('Control panel'!$F$17:$F$19,MATCH($F52,'Control panel'!$C$17:$C$19,0),0)</f>
        <v>0</v>
      </c>
      <c r="AC52" s="178" cm="1">
        <f t="array" ref="AC52">INDEX('Control panel'!$F$17:$F$19,MATCH($F52,'Control panel'!$C$17:$C$19,0),0)</f>
        <v>0</v>
      </c>
      <c r="AD52" s="178" cm="1">
        <f t="array" ref="AD52">INDEX('Control panel'!$F$17:$F$19,MATCH($F52,'Control panel'!$C$17:$C$19,0),0)</f>
        <v>0</v>
      </c>
      <c r="AE52" s="178" cm="1">
        <f t="array" ref="AE52">INDEX('Control panel'!$F$17:$F$19,MATCH($F52,'Control panel'!$C$17:$C$19,0),0)</f>
        <v>0</v>
      </c>
      <c r="AF52" s="178" cm="1">
        <f t="array" ref="AF52">INDEX('Control panel'!$F$17:$F$19,MATCH($F52,'Control panel'!$C$17:$C$19,0),0)</f>
        <v>0</v>
      </c>
      <c r="AG52" s="178" cm="1">
        <f t="array" ref="AG52">INDEX('Control panel'!$F$17:$F$19,MATCH($F52,'Control panel'!$C$17:$C$19,0),0)</f>
        <v>0</v>
      </c>
      <c r="AH52" s="178" cm="1">
        <f t="array" ref="AH52">INDEX('Control panel'!$F$17:$F$19,MATCH($F52,'Control panel'!$C$17:$C$19,0),0)</f>
        <v>0</v>
      </c>
      <c r="AI52" s="178" cm="1">
        <f t="array" ref="AI52">INDEX('Control panel'!$F$17:$F$19,MATCH($F52,'Control panel'!$C$17:$C$19,0),0)</f>
        <v>0</v>
      </c>
      <c r="AJ52" s="178" cm="1">
        <f t="array" ref="AJ52">INDEX('Control panel'!$F$17:$F$19,MATCH($F52,'Control panel'!$C$17:$C$19,0),0)</f>
        <v>0</v>
      </c>
      <c r="AK52" s="178" cm="1">
        <f t="array" ref="AK52">INDEX('Control panel'!$F$17:$F$19,MATCH($F52,'Control panel'!$C$17:$C$19,0),0)</f>
        <v>0</v>
      </c>
      <c r="AL52" s="178" cm="1">
        <f t="array" ref="AL52">INDEX('Control panel'!$F$17:$F$19,MATCH($F52,'Control panel'!$C$17:$C$19,0),0)</f>
        <v>0</v>
      </c>
      <c r="AM52" s="178" cm="1">
        <f t="array" ref="AM52">INDEX('Control panel'!$F$17:$F$19,MATCH($F52,'Control panel'!$C$17:$C$19,0),0)</f>
        <v>0</v>
      </c>
      <c r="AN52" s="178" cm="1">
        <f t="array" ref="AN52">INDEX('Control panel'!$F$17:$F$19,MATCH($F52,'Control panel'!$C$17:$C$19,0),0)</f>
        <v>0</v>
      </c>
      <c r="AO52" s="178" cm="1">
        <f t="array" ref="AO52">INDEX('Control panel'!$F$17:$F$19,MATCH($F52,'Control panel'!$C$17:$C$19,0),0)</f>
        <v>0</v>
      </c>
      <c r="AP52" s="29"/>
    </row>
    <row r="53" spans="1:42" ht="15.75" hidden="1" customHeight="1" outlineLevel="1" x14ac:dyDescent="0.25">
      <c r="A53" s="12"/>
      <c r="B53" s="13"/>
      <c r="C53" s="96" t="s">
        <v>120</v>
      </c>
      <c r="D53" s="45"/>
      <c r="E53" s="15"/>
      <c r="F53" s="158" t="str">
        <f>Dashboard!$I$43</f>
        <v>2 Axle rigid</v>
      </c>
      <c r="G53" s="14"/>
      <c r="H53" s="28"/>
      <c r="I53" s="56">
        <f>IF($C$53=$F$53,I$18*Data!$E$389*Data!H$66,0)*(1+I$52)*(1+Data!$E$91)</f>
        <v>0</v>
      </c>
      <c r="J53" s="56">
        <f>IF($C$53=$F$53,J$18*Data!$E$389*Data!I$66,0)*(1+J$52)*(1+Data!$E$91)</f>
        <v>0</v>
      </c>
      <c r="K53" s="56">
        <f>IF($C$53=$F$53,K$18*Data!$E$389*Data!J$66,0)*(1+K$52)*(1+Data!$E$91)</f>
        <v>0</v>
      </c>
      <c r="L53" s="56">
        <f>IF($C$53=$F$53,L$18*Data!$E$389*Data!K$66,0)*(1+L$52)*(1+Data!$E$91)</f>
        <v>0</v>
      </c>
      <c r="M53" s="56">
        <f>IF($C$53=$F$53,M$18*Data!$E$389*Data!L$66,0)*(1+M$52)*(1+Data!$E$91)</f>
        <v>0</v>
      </c>
      <c r="N53" s="56">
        <f>IF($C$53=$F$53,N$18*Data!$E$389*Data!M$66,0)*(1+N$52)*(1+Data!$E$91)</f>
        <v>0</v>
      </c>
      <c r="O53" s="56">
        <f>IF($C$53=$F$53,O$18*Data!$E$389*Data!N$66,0)*(1+O$52)*(1+Data!$E$91)</f>
        <v>0</v>
      </c>
      <c r="P53" s="56">
        <f>IF($C$53=$F$53,P$18*Data!$E$389*Data!O$66,0)*(1+P$52)*(1+Data!$E$91)</f>
        <v>0</v>
      </c>
      <c r="Q53" s="56">
        <f>IF($C$53=$F$53,Q$18*Data!$E$389*Data!P$66,0)*(1+Q$52)*(1+Data!$E$91)</f>
        <v>0</v>
      </c>
      <c r="R53" s="56">
        <f>IF($C$53=$F$53,R$18*Data!$E$389*Data!Q$66,0)*(1+R$52)*(1+Data!$E$91)</f>
        <v>0</v>
      </c>
      <c r="S53" s="56">
        <f>IF($C$53=$F$53,S$18*Data!$E$389*Data!R$66,0)*(1+S$52)*(1+Data!$E$91)</f>
        <v>0</v>
      </c>
      <c r="T53" s="56">
        <f>IF($C$53=$F$53,T$18*Data!$E$389*Data!S$66,0)*(1+T$52)*(1+Data!$E$91)</f>
        <v>0</v>
      </c>
      <c r="U53" s="56">
        <f>IF($C$53=$F$53,U$18*Data!$E$389*Data!T$66,0)*(1+U$52)*(1+Data!$E$91)</f>
        <v>63424.445772140061</v>
      </c>
      <c r="V53" s="56">
        <f>IF($C$53=$F$53,V$18*Data!$E$389*Data!U$66,0)*(1+V$52)*(1+Data!$E$91)</f>
        <v>62292.75373977964</v>
      </c>
      <c r="W53" s="56">
        <f>IF($C$53=$F$53,W$18*Data!$E$389*Data!V$66,0)*(1+W$52)*(1+Data!$E$91)</f>
        <v>61187.351446494205</v>
      </c>
      <c r="X53" s="56">
        <f>IF($C$53=$F$53,X$18*Data!$E$389*Data!W$66,0)*(1+X$52)*(1+Data!$E$91)</f>
        <v>60107.522117841756</v>
      </c>
      <c r="Y53" s="56">
        <f>IF($C$53=$F$53,Y$18*Data!$E$389*Data!X$66,0)*(1+Y$52)*(1+Data!$E$91)</f>
        <v>59052.570794605417</v>
      </c>
      <c r="Z53" s="56">
        <f>IF($C$53=$F$53,Z$18*Data!$E$389*Data!Y$66,0)*(1+Z$52)*(1+Data!$E$91)</f>
        <v>58021.823628119884</v>
      </c>
      <c r="AA53" s="56">
        <f>IF($C$53=$F$53,AA$18*Data!$E$389*Data!Z$66,0)*(1+AA$52)*(1+Data!$E$91)</f>
        <v>57014.627199021874</v>
      </c>
      <c r="AB53" s="56">
        <f>IF($C$53=$F$53,AB$18*Data!$E$389*Data!AA$66,0)*(1+AB$52)*(1+Data!$E$91)</f>
        <v>56030.34785863517</v>
      </c>
      <c r="AC53" s="56">
        <f>IF($C$53=$F$53,AC$18*Data!$E$389*Data!AB$66,0)*(1+AC$52)*(1+Data!$E$91)</f>
        <v>55068.371092228932</v>
      </c>
      <c r="AD53" s="56">
        <f>IF($C$53=$F$53,AD$18*Data!$E$389*Data!AC$66,0)*(1+AD$52)*(1+Data!$E$91)</f>
        <v>54128.100903412567</v>
      </c>
      <c r="AE53" s="56">
        <f>IF($C$53=$F$53,AE$18*Data!$E$389*Data!AD$66,0)*(1+AE$52)*(1+Data!$E$91)</f>
        <v>53208.959218956377</v>
      </c>
      <c r="AF53" s="56">
        <f>IF($C$53=$F$53,AF$18*Data!$E$389*Data!AE$66,0)*(1+AF$52)*(1+Data!$E$91)</f>
        <v>52310.385313350671</v>
      </c>
      <c r="AG53" s="56">
        <f>IF($C$53=$F$53,AG$18*Data!$E$389*Data!AF$66,0)*(1+AG$52)*(1+Data!$E$91)</f>
        <v>51431.83525243929</v>
      </c>
      <c r="AH53" s="56">
        <f>IF($C$53=$F$53,AH$18*Data!$E$389*Data!AG$66,0)*(1+AH$52)*(1+Data!$E$91)</f>
        <v>50572.781355486397</v>
      </c>
      <c r="AI53" s="56">
        <f>IF($C$53=$F$53,AI$18*Data!$E$389*Data!AH$66,0)*(1+AI$52)*(1+Data!$E$91)</f>
        <v>49732.711675056569</v>
      </c>
      <c r="AJ53" s="56">
        <f>IF($C$53=$F$53,AJ$18*Data!$E$389*Data!AI$66,0)*(1+AJ$52)*(1+Data!$E$91)</f>
        <v>48911.12949410954</v>
      </c>
      <c r="AK53" s="56">
        <f>IF($C$53=$F$53,AK$18*Data!$E$389*Data!AJ$66,0)*(1+AK$52)*(1+Data!$E$91)</f>
        <v>48911.12949410954</v>
      </c>
      <c r="AL53" s="56">
        <f>IF($C$53=$F$53,AL$18*Data!$E$389*Data!AK$66,0)*(1+AL$52)*(1+Data!$E$91)</f>
        <v>48911.12949410954</v>
      </c>
      <c r="AM53" s="56">
        <f>IF($C$53=$F$53,AM$18*Data!$E$389*Data!AL$66,0)*(1+AM$52)*(1+Data!$E$91)</f>
        <v>48911.12949410954</v>
      </c>
      <c r="AN53" s="56">
        <f>IF($C$53=$F$53,AN$18*Data!$E$389*Data!AM$66,0)*(1+AN$52)*(1+Data!$E$91)</f>
        <v>48911.12949410954</v>
      </c>
      <c r="AO53" s="56">
        <f>IF($C$53=$F$53,AO$18*Data!$E$389*Data!AN$66,0)*(1+AO$52)*(1+Data!$E$91)</f>
        <v>0</v>
      </c>
      <c r="AP53" s="29"/>
    </row>
    <row r="54" spans="1:42" hidden="1" outlineLevel="1" x14ac:dyDescent="0.25">
      <c r="A54" s="12"/>
      <c r="B54" s="13"/>
      <c r="C54" s="96" t="s">
        <v>124</v>
      </c>
      <c r="D54" s="45"/>
      <c r="E54" s="15"/>
      <c r="F54" s="158" t="str">
        <f>Dashboard!$I$43</f>
        <v>2 Axle rigid</v>
      </c>
      <c r="G54" s="14"/>
      <c r="H54" s="28"/>
      <c r="I54" s="56">
        <f>IF($C$54=$F$54,I$18*Data!$E$390*Data!H$66,0)*(1+I$52)*(1+Data!$E$91)</f>
        <v>0</v>
      </c>
      <c r="J54" s="56">
        <f>IF($C$54=$F$54,J$18*Data!$E$390*Data!I$66,0)*(1+J$52)*(1+Data!$E$91)</f>
        <v>0</v>
      </c>
      <c r="K54" s="56">
        <f>IF($C$54=$F$54,K$18*Data!$E$390*Data!J$66,0)*(1+K$52)*(1+Data!$E$91)</f>
        <v>0</v>
      </c>
      <c r="L54" s="56">
        <f>IF($C$54=$F$54,L$18*Data!$E$390*Data!K$66,0)*(1+L$52)*(1+Data!$E$91)</f>
        <v>0</v>
      </c>
      <c r="M54" s="56">
        <f>IF($C$54=$F$54,M$18*Data!$E$390*Data!L$66,0)*(1+M$52)*(1+Data!$E$91)</f>
        <v>0</v>
      </c>
      <c r="N54" s="56">
        <f>IF($C$54=$F$54,N$18*Data!$E$390*Data!M$66,0)*(1+N$52)*(1+Data!$E$91)</f>
        <v>0</v>
      </c>
      <c r="O54" s="56">
        <f>IF($C$54=$F$54,O$18*Data!$E$390*Data!N$66,0)*(1+O$52)*(1+Data!$E$91)</f>
        <v>0</v>
      </c>
      <c r="P54" s="56">
        <f>IF($C$54=$F$54,P$18*Data!$E$390*Data!O$66,0)*(1+P$52)*(1+Data!$E$91)</f>
        <v>0</v>
      </c>
      <c r="Q54" s="56">
        <f>IF($C$54=$F$54,Q$18*Data!$E$390*Data!P$66,0)*(1+Q$52)*(1+Data!$E$91)</f>
        <v>0</v>
      </c>
      <c r="R54" s="56">
        <f>IF($C$54=$F$54,R$18*Data!$E$390*Data!Q$66,0)*(1+R$52)*(1+Data!$E$91)</f>
        <v>0</v>
      </c>
      <c r="S54" s="56">
        <f>IF($C$54=$F$54,S$18*Data!$E$390*Data!R$66,0)*(1+S$52)*(1+Data!$E$91)</f>
        <v>0</v>
      </c>
      <c r="T54" s="56">
        <f>IF($C$54=$F$54,T$18*Data!$E$390*Data!S$66,0)*(1+T$52)*(1+Data!$E$91)</f>
        <v>0</v>
      </c>
      <c r="U54" s="56">
        <f>IF($C$54=$F$54,U$18*Data!$E$390*Data!T$66,0)*(1+U$52)*(1+Data!$E$91)</f>
        <v>0</v>
      </c>
      <c r="V54" s="56">
        <f>IF($C$54=$F$54,V$18*Data!$E$390*Data!U$66,0)*(1+V$52)*(1+Data!$E$91)</f>
        <v>0</v>
      </c>
      <c r="W54" s="56">
        <f>IF($C$54=$F$54,W$18*Data!$E$390*Data!V$66,0)*(1+W$52)*(1+Data!$E$91)</f>
        <v>0</v>
      </c>
      <c r="X54" s="56">
        <f>IF($C$54=$F$54,X$18*Data!$E$390*Data!W$66,0)*(1+X$52)*(1+Data!$E$91)</f>
        <v>0</v>
      </c>
      <c r="Y54" s="56">
        <f>IF($C$54=$F$54,Y$18*Data!$E$390*Data!X$66,0)*(1+Y$52)*(1+Data!$E$91)</f>
        <v>0</v>
      </c>
      <c r="Z54" s="56">
        <f>IF($C$54=$F$54,Z$18*Data!$E$390*Data!Y$66,0)*(1+Z$52)*(1+Data!$E$91)</f>
        <v>0</v>
      </c>
      <c r="AA54" s="56">
        <f>IF($C$54=$F$54,AA$18*Data!$E$390*Data!Z$66,0)*(1+AA$52)*(1+Data!$E$91)</f>
        <v>0</v>
      </c>
      <c r="AB54" s="56">
        <f>IF($C$54=$F$54,AB$18*Data!$E$390*Data!AA$66,0)*(1+AB$52)*(1+Data!$E$91)</f>
        <v>0</v>
      </c>
      <c r="AC54" s="56">
        <f>IF($C$54=$F$54,AC$18*Data!$E$390*Data!AB$66,0)*(1+AC$52)*(1+Data!$E$91)</f>
        <v>0</v>
      </c>
      <c r="AD54" s="56">
        <f>IF($C$54=$F$54,AD$18*Data!$E$390*Data!AC$66,0)*(1+AD$52)*(1+Data!$E$91)</f>
        <v>0</v>
      </c>
      <c r="AE54" s="56">
        <f>IF($C$54=$F$54,AE$18*Data!$E$390*Data!AD$66,0)*(1+AE$52)*(1+Data!$E$91)</f>
        <v>0</v>
      </c>
      <c r="AF54" s="56">
        <f>IF($C$54=$F$54,AF$18*Data!$E$390*Data!AE$66,0)*(1+AF$52)*(1+Data!$E$91)</f>
        <v>0</v>
      </c>
      <c r="AG54" s="56">
        <f>IF($C$54=$F$54,AG$18*Data!$E$390*Data!AF$66,0)*(1+AG$52)*(1+Data!$E$91)</f>
        <v>0</v>
      </c>
      <c r="AH54" s="56">
        <f>IF($C$54=$F$54,AH$18*Data!$E$390*Data!AG$66,0)*(1+AH$52)*(1+Data!$E$91)</f>
        <v>0</v>
      </c>
      <c r="AI54" s="56">
        <f>IF($C$54=$F$54,AI$18*Data!$E$390*Data!AH$66,0)*(1+AI$52)*(1+Data!$E$91)</f>
        <v>0</v>
      </c>
      <c r="AJ54" s="56">
        <f>IF($C$54=$F$54,AJ$18*Data!$E$390*Data!AI$66,0)*(1+AJ$52)*(1+Data!$E$91)</f>
        <v>0</v>
      </c>
      <c r="AK54" s="56">
        <f>IF($C$54=$F$54,AK$18*Data!$E$390*Data!AJ$66,0)*(1+AK$52)*(1+Data!$E$91)</f>
        <v>0</v>
      </c>
      <c r="AL54" s="56">
        <f>IF($C$54=$F$54,AL$18*Data!$E$390*Data!AK$66,0)*(1+AL$52)*(1+Data!$E$91)</f>
        <v>0</v>
      </c>
      <c r="AM54" s="56">
        <f>IF($C$54=$F$54,AM$18*Data!$E$390*Data!AL$66,0)*(1+AM$52)*(1+Data!$E$91)</f>
        <v>0</v>
      </c>
      <c r="AN54" s="56">
        <f>IF($C$54=$F$54,AN$18*Data!$E$390*Data!AM$66,0)*(1+AN$52)*(1+Data!$E$91)</f>
        <v>0</v>
      </c>
      <c r="AO54" s="56">
        <f>IF($C$54=$F$54,AO$18*Data!$E$390*Data!AN$66,0)*(1+AO$52)*(1+Data!$E$91)</f>
        <v>0</v>
      </c>
      <c r="AP54" s="29"/>
    </row>
    <row r="55" spans="1:42" hidden="1" outlineLevel="1" x14ac:dyDescent="0.25">
      <c r="A55" s="12"/>
      <c r="B55" s="13"/>
      <c r="C55" s="96" t="s">
        <v>126</v>
      </c>
      <c r="D55" s="45"/>
      <c r="E55" s="15"/>
      <c r="F55" s="158" t="str">
        <f>Dashboard!$I$43</f>
        <v>2 Axle rigid</v>
      </c>
      <c r="G55" s="14"/>
      <c r="H55" s="28"/>
      <c r="I55" s="56">
        <f>IF($C$55=$F$55,I$18*Data!$E$391*Data!H$66,0)*(1+I$52)*(1+Data!$E$91)</f>
        <v>0</v>
      </c>
      <c r="J55" s="56">
        <f>IF($C$55=$F$55,J$18*Data!$E$391*Data!I$66,0)*(1+J$52)*(1+Data!$E$91)</f>
        <v>0</v>
      </c>
      <c r="K55" s="56">
        <f>IF($C$55=$F$55,K$18*Data!$E$391*Data!J$66,0)*(1+K$52)*(1+Data!$E$91)</f>
        <v>0</v>
      </c>
      <c r="L55" s="56">
        <f>IF($C$55=$F$55,L$18*Data!$E$391*Data!K$66,0)*(1+L$52)*(1+Data!$E$91)</f>
        <v>0</v>
      </c>
      <c r="M55" s="56">
        <f>IF($C$55=$F$55,M$18*Data!$E$391*Data!L$66,0)*(1+M$52)*(1+Data!$E$91)</f>
        <v>0</v>
      </c>
      <c r="N55" s="56">
        <f>IF($C$55=$F$55,N$18*Data!$E$391*Data!M$66,0)*(1+N$52)*(1+Data!$E$91)</f>
        <v>0</v>
      </c>
      <c r="O55" s="56">
        <f>IF($C$55=$F$55,O$18*Data!$E$391*Data!N$66,0)*(1+O$52)*(1+Data!$E$91)</f>
        <v>0</v>
      </c>
      <c r="P55" s="56">
        <f>IF($C$55=$F$55,P$18*Data!$E$391*Data!O$66,0)*(1+P$52)*(1+Data!$E$91)</f>
        <v>0</v>
      </c>
      <c r="Q55" s="56">
        <f>IF($C$55=$F$55,Q$18*Data!$E$391*Data!P$66,0)*(1+Q$52)*(1+Data!$E$91)</f>
        <v>0</v>
      </c>
      <c r="R55" s="56">
        <f>IF($C$55=$F$55,R$18*Data!$E$391*Data!Q$66,0)*(1+R$52)*(1+Data!$E$91)</f>
        <v>0</v>
      </c>
      <c r="S55" s="56">
        <f>IF($C$55=$F$55,S$18*Data!$E$391*Data!R$66,0)*(1+S$52)*(1+Data!$E$91)</f>
        <v>0</v>
      </c>
      <c r="T55" s="56">
        <f>IF($C$55=$F$55,T$18*Data!$E$391*Data!S$66,0)*(1+T$52)*(1+Data!$E$91)</f>
        <v>0</v>
      </c>
      <c r="U55" s="56">
        <f>IF($C$55=$F$55,U$18*Data!$E$391*Data!T$66,0)*(1+U$52)*(1+Data!$E$91)</f>
        <v>0</v>
      </c>
      <c r="V55" s="56">
        <f>IF($C$55=$F$55,V$18*Data!$E$391*Data!U$66,0)*(1+V$52)*(1+Data!$E$91)</f>
        <v>0</v>
      </c>
      <c r="W55" s="56">
        <f>IF($C$55=$F$55,W$18*Data!$E$391*Data!V$66,0)*(1+W$52)*(1+Data!$E$91)</f>
        <v>0</v>
      </c>
      <c r="X55" s="56">
        <f>IF($C$55=$F$55,X$18*Data!$E$391*Data!W$66,0)*(1+X$52)*(1+Data!$E$91)</f>
        <v>0</v>
      </c>
      <c r="Y55" s="56">
        <f>IF($C$55=$F$55,Y$18*Data!$E$391*Data!X$66,0)*(1+Y$52)*(1+Data!$E$91)</f>
        <v>0</v>
      </c>
      <c r="Z55" s="56">
        <f>IF($C$55=$F$55,Z$18*Data!$E$391*Data!Y$66,0)*(1+Z$52)*(1+Data!$E$91)</f>
        <v>0</v>
      </c>
      <c r="AA55" s="56">
        <f>IF($C$55=$F$55,AA$18*Data!$E$391*Data!Z$66,0)*(1+AA$52)*(1+Data!$E$91)</f>
        <v>0</v>
      </c>
      <c r="AB55" s="56">
        <f>IF($C$55=$F$55,AB$18*Data!$E$391*Data!AA$66,0)*(1+AB$52)*(1+Data!$E$91)</f>
        <v>0</v>
      </c>
      <c r="AC55" s="56">
        <f>IF($C$55=$F$55,AC$18*Data!$E$391*Data!AB$66,0)*(1+AC$52)*(1+Data!$E$91)</f>
        <v>0</v>
      </c>
      <c r="AD55" s="56">
        <f>IF($C$55=$F$55,AD$18*Data!$E$391*Data!AC$66,0)*(1+AD$52)*(1+Data!$E$91)</f>
        <v>0</v>
      </c>
      <c r="AE55" s="56">
        <f>IF($C$55=$F$55,AE$18*Data!$E$391*Data!AD$66,0)*(1+AE$52)*(1+Data!$E$91)</f>
        <v>0</v>
      </c>
      <c r="AF55" s="56">
        <f>IF($C$55=$F$55,AF$18*Data!$E$391*Data!AE$66,0)*(1+AF$52)*(1+Data!$E$91)</f>
        <v>0</v>
      </c>
      <c r="AG55" s="56">
        <f>IF($C$55=$F$55,AG$18*Data!$E$391*Data!AF$66,0)*(1+AG$52)*(1+Data!$E$91)</f>
        <v>0</v>
      </c>
      <c r="AH55" s="56">
        <f>IF($C$55=$F$55,AH$18*Data!$E$391*Data!AG$66,0)*(1+AH$52)*(1+Data!$E$91)</f>
        <v>0</v>
      </c>
      <c r="AI55" s="56">
        <f>IF($C$55=$F$55,AI$18*Data!$E$391*Data!AH$66,0)*(1+AI$52)*(1+Data!$E$91)</f>
        <v>0</v>
      </c>
      <c r="AJ55" s="56">
        <f>IF($C$55=$F$55,AJ$18*Data!$E$391*Data!AI$66,0)*(1+AJ$52)*(1+Data!$E$91)</f>
        <v>0</v>
      </c>
      <c r="AK55" s="56">
        <f>IF($C$55=$F$55,AK$18*Data!$E$391*Data!AJ$66,0)*(1+AK$52)*(1+Data!$E$91)</f>
        <v>0</v>
      </c>
      <c r="AL55" s="56">
        <f>IF($C$55=$F$55,AL$18*Data!$E$391*Data!AK$66,0)*(1+AL$52)*(1+Data!$E$91)</f>
        <v>0</v>
      </c>
      <c r="AM55" s="56">
        <f>IF($C$55=$F$55,AM$18*Data!$E$391*Data!AL$66,0)*(1+AM$52)*(1+Data!$E$91)</f>
        <v>0</v>
      </c>
      <c r="AN55" s="56">
        <f>IF($C$55=$F$55,AN$18*Data!$E$391*Data!AM$66,0)*(1+AN$52)*(1+Data!$E$91)</f>
        <v>0</v>
      </c>
      <c r="AO55" s="56">
        <f>IF($C$55=$F$55,AO$18*Data!$E$391*Data!AN$66,0)*(1+AO$52)*(1+Data!$E$91)</f>
        <v>0</v>
      </c>
      <c r="AP55" s="29"/>
    </row>
    <row r="56" spans="1:42" hidden="1" outlineLevel="1" x14ac:dyDescent="0.25">
      <c r="A56" s="12"/>
      <c r="B56" s="13"/>
      <c r="C56" s="19" t="s">
        <v>600</v>
      </c>
      <c r="D56" s="45"/>
      <c r="E56" s="15"/>
      <c r="F56" s="158"/>
      <c r="G56" s="14"/>
      <c r="H56" s="28"/>
      <c r="I56" s="182">
        <f>SUM(I46:I48)+SUM(I53:I55) +I50</f>
        <v>0</v>
      </c>
      <c r="J56" s="182">
        <f t="shared" ref="J56:AO56" si="6">SUM(J46:J48)+SUM(J53:J55) +J50</f>
        <v>0</v>
      </c>
      <c r="K56" s="182">
        <f t="shared" si="6"/>
        <v>0</v>
      </c>
      <c r="L56" s="182">
        <f t="shared" si="6"/>
        <v>0</v>
      </c>
      <c r="M56" s="182">
        <f t="shared" si="6"/>
        <v>0</v>
      </c>
      <c r="N56" s="182">
        <f t="shared" si="6"/>
        <v>0</v>
      </c>
      <c r="O56" s="182">
        <f t="shared" si="6"/>
        <v>0</v>
      </c>
      <c r="P56" s="182">
        <f t="shared" si="6"/>
        <v>0</v>
      </c>
      <c r="Q56" s="182">
        <f t="shared" si="6"/>
        <v>0</v>
      </c>
      <c r="R56" s="182">
        <f t="shared" si="6"/>
        <v>0</v>
      </c>
      <c r="S56" s="182">
        <f t="shared" si="6"/>
        <v>0</v>
      </c>
      <c r="T56" s="182">
        <f t="shared" si="6"/>
        <v>0</v>
      </c>
      <c r="U56" s="182">
        <f t="shared" si="6"/>
        <v>150662.87497214007</v>
      </c>
      <c r="V56" s="182">
        <f t="shared" si="6"/>
        <v>149531.18293977965</v>
      </c>
      <c r="W56" s="182">
        <f t="shared" si="6"/>
        <v>148425.78064649421</v>
      </c>
      <c r="X56" s="182">
        <f t="shared" si="6"/>
        <v>147345.95131784177</v>
      </c>
      <c r="Y56" s="182">
        <f t="shared" si="6"/>
        <v>146290.99999460543</v>
      </c>
      <c r="Z56" s="182">
        <f t="shared" si="6"/>
        <v>145260.25282811988</v>
      </c>
      <c r="AA56" s="182">
        <f t="shared" si="6"/>
        <v>144253.05639902188</v>
      </c>
      <c r="AB56" s="182">
        <f t="shared" si="6"/>
        <v>143268.77705863517</v>
      </c>
      <c r="AC56" s="182">
        <f t="shared" si="6"/>
        <v>142306.80029222893</v>
      </c>
      <c r="AD56" s="182">
        <f t="shared" si="6"/>
        <v>141366.53010341257</v>
      </c>
      <c r="AE56" s="182">
        <f t="shared" si="6"/>
        <v>140447.38841895637</v>
      </c>
      <c r="AF56" s="182">
        <f t="shared" si="6"/>
        <v>139548.81451335066</v>
      </c>
      <c r="AG56" s="182">
        <f t="shared" si="6"/>
        <v>138670.2644524393</v>
      </c>
      <c r="AH56" s="182">
        <f t="shared" si="6"/>
        <v>137811.21055548638</v>
      </c>
      <c r="AI56" s="182">
        <f t="shared" si="6"/>
        <v>136971.14087505656</v>
      </c>
      <c r="AJ56" s="182">
        <f t="shared" si="6"/>
        <v>136149.55869410955</v>
      </c>
      <c r="AK56" s="182">
        <f t="shared" si="6"/>
        <v>136149.55869410955</v>
      </c>
      <c r="AL56" s="182">
        <f t="shared" si="6"/>
        <v>136149.55869410955</v>
      </c>
      <c r="AM56" s="182">
        <f t="shared" si="6"/>
        <v>136149.55869410955</v>
      </c>
      <c r="AN56" s="182">
        <f t="shared" si="6"/>
        <v>136149.55869410955</v>
      </c>
      <c r="AO56" s="182">
        <f t="shared" si="6"/>
        <v>0</v>
      </c>
      <c r="AP56" s="29"/>
    </row>
    <row r="57" spans="1:42" hidden="1" outlineLevel="1" x14ac:dyDescent="0.25">
      <c r="A57" s="12"/>
      <c r="B57" s="13"/>
      <c r="C57" s="19"/>
      <c r="D57" s="45"/>
      <c r="E57" s="15"/>
      <c r="F57" s="158"/>
      <c r="G57" s="14"/>
      <c r="H57" s="28"/>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29"/>
    </row>
    <row r="58" spans="1:42" hidden="1" outlineLevel="1" x14ac:dyDescent="0.25">
      <c r="A58" s="12"/>
      <c r="B58" s="13"/>
      <c r="C58" s="37" t="s">
        <v>601</v>
      </c>
      <c r="D58" s="37"/>
      <c r="E58" s="38"/>
      <c r="F58" s="39"/>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17"/>
    </row>
    <row r="59" spans="1:42" s="140" customFormat="1" hidden="1" outlineLevel="1" x14ac:dyDescent="0.25">
      <c r="A59" s="78"/>
      <c r="B59" s="19"/>
      <c r="C59" s="95" t="s">
        <v>249</v>
      </c>
      <c r="D59" s="44"/>
      <c r="E59" s="21" t="s">
        <v>142</v>
      </c>
      <c r="F59" s="48"/>
      <c r="G59" s="95"/>
      <c r="H59" s="182"/>
      <c r="I59" s="182">
        <f>IF(COUNT($I$3:I3)=(Dashboard!$I$31+Data!$E$386+1),SUM($H$30:$AO$32)*Data!$E$359,0)</f>
        <v>0</v>
      </c>
      <c r="J59" s="182">
        <f>IF(COUNT($I$3:J3)=(Dashboard!$I$31+Data!$E$386+1),SUM($H$30:$AO$32)*Data!$E$359,0)</f>
        <v>0</v>
      </c>
      <c r="K59" s="182">
        <f>IF(COUNT($I$3:K3)=(Dashboard!$I$31+Data!$E$386+1),SUM($H$30:$AO$32)*Data!$E$359,0)</f>
        <v>0</v>
      </c>
      <c r="L59" s="182">
        <f>IF(COUNT($I$3:L3)=(Dashboard!$I$31+Data!$E$386+1),SUM($H$30:$AO$32)*Data!$E$359,0)</f>
        <v>0</v>
      </c>
      <c r="M59" s="182">
        <f>IF(COUNT($I$3:M3)=(Dashboard!$I$31+Data!$E$386+1),SUM($H$30:$AO$32)*Data!$E$359,0)</f>
        <v>0</v>
      </c>
      <c r="N59" s="182">
        <f>IF(COUNT($I$3:N3)=(Dashboard!$I$31+Data!$E$386+1),SUM($H$30:$AO$32)*Data!$E$359,0)</f>
        <v>0</v>
      </c>
      <c r="O59" s="182">
        <f>IF(COUNT($I$3:O3)=(Dashboard!$I$31+Data!$E$386+1),SUM($H$30:$AO$32)*Data!$E$359,0)</f>
        <v>0</v>
      </c>
      <c r="P59" s="182">
        <f>IF(COUNT($I$3:P3)=(Dashboard!$I$31+Data!$E$386+1),SUM($H$30:$AO$32)*Data!$E$359,0)</f>
        <v>0</v>
      </c>
      <c r="Q59" s="182">
        <f>IF(COUNT($I$3:Q3)=(Dashboard!$I$31+Data!$E$386+1),SUM($H$30:$AO$32)*Data!$E$359,0)</f>
        <v>0</v>
      </c>
      <c r="R59" s="182">
        <f>IF(COUNT($I$3:R3)=(Dashboard!$I$31+Data!$E$386+1),SUM($H$30:$AO$32)*Data!$E$359,0)</f>
        <v>0</v>
      </c>
      <c r="S59" s="182">
        <f>IF(COUNT($I$3:S3)=(Dashboard!$I$31+Data!$E$386+1),SUM($H$30:$AO$32)*Data!$E$359,0)</f>
        <v>0</v>
      </c>
      <c r="T59" s="182">
        <f>IF(COUNT($I$3:T3)=(Dashboard!$I$31+Data!$E$386+1),SUM($H$30:$AO$32)*Data!$E$359,0)</f>
        <v>0</v>
      </c>
      <c r="U59" s="182">
        <f>IF(COUNT($I$3:U3)=(Dashboard!$I$31+Data!$E$386+1),SUM($H$30:$AO$32)*Data!$E$359,0)</f>
        <v>0</v>
      </c>
      <c r="V59" s="182">
        <f>IF(COUNT($I$3:V3)=(Dashboard!$I$31+Data!$E$386+1),SUM($H$30:$AO$32)*Data!$E$359,0)</f>
        <v>0</v>
      </c>
      <c r="W59" s="182">
        <f>IF(COUNT($I$3:W3)=(Dashboard!$I$31+Data!$E$386+1),SUM($H$30:$AO$32)*Data!$E$359,0)</f>
        <v>0</v>
      </c>
      <c r="X59" s="182">
        <f>IF(COUNT($I$3:X3)=(Dashboard!$I$31+Data!$E$386+1),SUM($H$30:$AO$32)*Data!$E$359,0)</f>
        <v>0</v>
      </c>
      <c r="Y59" s="182">
        <f>IF(COUNT($I$3:Y3)=(Dashboard!$I$31+Data!$E$386+1),SUM($H$30:$AO$32)*Data!$E$359,0)</f>
        <v>0</v>
      </c>
      <c r="Z59" s="182">
        <f>IF(COUNT($I$3:Z3)=(Dashboard!$I$31+Data!$E$386+1),SUM($H$30:$AO$32)*Data!$E$359,0)</f>
        <v>0</v>
      </c>
      <c r="AA59" s="182">
        <f>IF(COUNT($I$3:AA3)=(Dashboard!$I$31+Data!$E$386+1),SUM($H$30:$AO$32)*Data!$E$359,0)</f>
        <v>0</v>
      </c>
      <c r="AB59" s="182">
        <f>IF(COUNT($I$3:AB3)=(Dashboard!$I$31+Data!$E$386+1),SUM($H$30:$AO$32)*Data!$E$359,0)</f>
        <v>0</v>
      </c>
      <c r="AC59" s="182">
        <f>IF(COUNT($I$3:AC3)=(Dashboard!$I$31+Data!$E$386+1),SUM($H$30:$AO$32)*Data!$E$359,0)</f>
        <v>0</v>
      </c>
      <c r="AD59" s="182">
        <f>IF(COUNT($I$3:AD3)=(Dashboard!$I$31+Data!$E$386+1),SUM($H$30:$AO$32)*Data!$E$359,0)</f>
        <v>0</v>
      </c>
      <c r="AE59" s="182">
        <f>IF(COUNT($I$3:AE3)=(Dashboard!$I$31+Data!$E$386+1),SUM($H$30:$AO$32)*Data!$E$359,0)</f>
        <v>0</v>
      </c>
      <c r="AF59" s="182">
        <f>IF(COUNT($I$3:AF3)=(Dashboard!$I$31+Data!$E$386+1),SUM($H$30:$AO$32)*Data!$E$359,0)</f>
        <v>0</v>
      </c>
      <c r="AG59" s="182">
        <f>IF(COUNT($I$3:AG3)=(Dashboard!$I$31+Data!$E$386+1),SUM($H$30:$AO$32)*Data!$E$359,0)</f>
        <v>0</v>
      </c>
      <c r="AH59" s="182">
        <f>IF(COUNT($I$3:AH3)=(Dashboard!$I$31+Data!$E$386+1),SUM($H$30:$AO$32)*Data!$E$359,0)</f>
        <v>0</v>
      </c>
      <c r="AI59" s="182">
        <f>IF(COUNT($I$3:AI3)=(Dashboard!$I$31+Data!$E$386+1),SUM($H$30:$AO$32)*Data!$E$359,0)</f>
        <v>0</v>
      </c>
      <c r="AJ59" s="182">
        <f>IF(COUNT($I$3:AJ3)=(Dashboard!$I$31+Data!$E$386+1),SUM($H$30:$AO$32)*Data!$E$359,0)</f>
        <v>0</v>
      </c>
      <c r="AK59" s="182">
        <f>IF(COUNT($I$3:AK3)=(Dashboard!$I$31+Data!$E$386+1),SUM($H$30:$AO$32)*Data!$E$359,0)</f>
        <v>0</v>
      </c>
      <c r="AL59" s="182">
        <f>IF(COUNT($I$3:AL3)=(Dashboard!$I$31+Data!$E$386+1),SUM($H$30:$AO$32)*Data!$E$359,0)</f>
        <v>0</v>
      </c>
      <c r="AM59" s="182">
        <f>IF(COUNT($I$3:AM3)=(Dashboard!$I$31+Data!$E$386+1),SUM($H$30:$AO$32)*Data!$E$359,0)</f>
        <v>0</v>
      </c>
      <c r="AN59" s="182">
        <f>IF(COUNT($I$3:AN3)=(Dashboard!$I$31+Data!$E$386+1),SUM($H$30:$AO$32)*Data!$E$359,0)</f>
        <v>0</v>
      </c>
      <c r="AO59" s="182">
        <f>IF(COUNT($I$3:AO3)=(Dashboard!$I$31+Data!$E$386+1),SUM($H$30:$AO$32)*Data!$E$359,0)</f>
        <v>123000</v>
      </c>
      <c r="AP59" s="50"/>
    </row>
    <row r="60" spans="1:42" s="140" customFormat="1" hidden="1" outlineLevel="1" x14ac:dyDescent="0.25">
      <c r="A60" s="78"/>
      <c r="B60" s="19"/>
      <c r="C60" s="95"/>
      <c r="D60" s="44"/>
      <c r="E60" s="21"/>
      <c r="F60" s="48"/>
      <c r="G60" s="95"/>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50"/>
    </row>
    <row r="61" spans="1:42" hidden="1" outlineLevel="1" x14ac:dyDescent="0.25">
      <c r="A61" s="12"/>
      <c r="B61" s="13"/>
      <c r="C61" s="96"/>
      <c r="D61" s="45"/>
      <c r="E61" s="15"/>
      <c r="F61" s="158"/>
      <c r="G61" s="96"/>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29"/>
    </row>
    <row r="62" spans="1:42" hidden="1" outlineLevel="1" x14ac:dyDescent="0.25">
      <c r="A62" s="12"/>
      <c r="B62" s="13"/>
      <c r="C62" s="19" t="s">
        <v>252</v>
      </c>
      <c r="D62" s="45"/>
      <c r="E62" s="15"/>
      <c r="F62" s="158"/>
      <c r="G62" s="14"/>
      <c r="H62" s="28"/>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29"/>
    </row>
    <row r="63" spans="1:42" hidden="1" outlineLevel="1" x14ac:dyDescent="0.25">
      <c r="A63" s="12"/>
      <c r="B63" s="13"/>
      <c r="C63" s="44" t="s">
        <v>258</v>
      </c>
      <c r="D63" s="44"/>
      <c r="E63" s="15"/>
      <c r="F63" s="16"/>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7"/>
    </row>
    <row r="64" spans="1:42" hidden="1" outlineLevel="1" x14ac:dyDescent="0.25">
      <c r="A64" s="12"/>
      <c r="B64" s="13"/>
      <c r="C64" s="45" t="s">
        <v>120</v>
      </c>
      <c r="D64" s="45"/>
      <c r="E64" s="15" t="s">
        <v>474</v>
      </c>
      <c r="F64" s="158" t="str">
        <f>Dashboard!$I$43</f>
        <v>2 Axle rigid</v>
      </c>
      <c r="G64" s="14"/>
      <c r="H64" s="14"/>
      <c r="I64" s="177">
        <f>IF($C$64=$F$64,Data!$E$118*I16,0)</f>
        <v>70200</v>
      </c>
      <c r="J64" s="177">
        <f>IF($C$64=$F$64,Data!$E$118*J16,0)</f>
        <v>70200</v>
      </c>
      <c r="K64" s="177">
        <f>IF($C$64=$F$64,Data!$E$118*K16,0)</f>
        <v>70200</v>
      </c>
      <c r="L64" s="177">
        <f>IF($C$64=$F$64,Data!$E$118*L16,0)</f>
        <v>70200</v>
      </c>
      <c r="M64" s="177">
        <f>IF($C$64=$F$64,Data!$E$118*M16,0)</f>
        <v>70200</v>
      </c>
      <c r="N64" s="177">
        <f>IF($C$64=$F$64,Data!$E$118*N16,0)</f>
        <v>70200</v>
      </c>
      <c r="O64" s="177">
        <f>IF($C$64=$F$64,Data!$E$118*O16,0)</f>
        <v>70200</v>
      </c>
      <c r="P64" s="177">
        <f>IF($C$64=$F$64,Data!$E$118*P16,0)</f>
        <v>70200</v>
      </c>
      <c r="Q64" s="177">
        <f>IF($C$64=$F$64,Data!$E$118*Q16,0)</f>
        <v>70200</v>
      </c>
      <c r="R64" s="177">
        <f>IF($C$64=$F$64,Data!$E$118*R16,0)</f>
        <v>70200</v>
      </c>
      <c r="S64" s="177">
        <f>IF($C$64=$F$64,Data!$E$118*S16,0)</f>
        <v>70200</v>
      </c>
      <c r="T64" s="177">
        <f>IF($C$64=$F$64,Data!$E$118*T16,0)</f>
        <v>70200</v>
      </c>
      <c r="U64" s="177">
        <f>IF($C$64=$F$64,Data!$E$118*U16,0)</f>
        <v>0</v>
      </c>
      <c r="V64" s="177">
        <f>IF($C$64=$F$64,Data!$E$118*V16,0)</f>
        <v>0</v>
      </c>
      <c r="W64" s="177">
        <f>IF($C$64=$F$64,Data!$E$118*W16,0)</f>
        <v>0</v>
      </c>
      <c r="X64" s="177">
        <f>IF($C$64=$F$64,Data!$E$118*X16,0)</f>
        <v>0</v>
      </c>
      <c r="Y64" s="177">
        <f>IF($C$64=$F$64,Data!$E$118*Y16,0)</f>
        <v>0</v>
      </c>
      <c r="Z64" s="177">
        <f>IF($C$64=$F$64,Data!$E$118*Z16,0)</f>
        <v>0</v>
      </c>
      <c r="AA64" s="177">
        <f>IF($C$64=$F$64,Data!$E$118*AA16,0)</f>
        <v>0</v>
      </c>
      <c r="AB64" s="177">
        <f>IF($C$64=$F$64,Data!$E$118*AB16,0)</f>
        <v>0</v>
      </c>
      <c r="AC64" s="177">
        <f>IF($C$64=$F$64,Data!$E$118*AC16,0)</f>
        <v>0</v>
      </c>
      <c r="AD64" s="177">
        <f>IF($C$64=$F$64,Data!$E$118*AD16,0)</f>
        <v>0</v>
      </c>
      <c r="AE64" s="177">
        <f>IF($C$64=$F$64,Data!$E$118*AE16,0)</f>
        <v>0</v>
      </c>
      <c r="AF64" s="177">
        <f>IF($C$64=$F$64,Data!$E$118*AF16,0)</f>
        <v>0</v>
      </c>
      <c r="AG64" s="177">
        <f>IF($C$64=$F$64,Data!$E$118*AG16,0)</f>
        <v>0</v>
      </c>
      <c r="AH64" s="177">
        <f>IF($C$64=$F$64,Data!$E$118*AH16,0)</f>
        <v>0</v>
      </c>
      <c r="AI64" s="177">
        <f>IF($C$64=$F$64,Data!$E$118*AI16,0)</f>
        <v>0</v>
      </c>
      <c r="AJ64" s="177">
        <f>IF($C$64=$F$64,Data!$E$118*AJ16,0)</f>
        <v>0</v>
      </c>
      <c r="AK64" s="177">
        <f>IF($C$64=$F$64,Data!$E$118*AK16,0)</f>
        <v>0</v>
      </c>
      <c r="AL64" s="177">
        <f>IF($C$64=$F$64,Data!$E$118*AL16,0)</f>
        <v>0</v>
      </c>
      <c r="AM64" s="177">
        <f>IF($C$64=$F$64,Data!$E$118*AM16,0)</f>
        <v>0</v>
      </c>
      <c r="AN64" s="177">
        <f>IF($C$64=$F$64,Data!$E$118*AN16,0)</f>
        <v>0</v>
      </c>
      <c r="AO64" s="177">
        <f>IF($C$64=$F$64,Data!$E$118*AO16,0)</f>
        <v>0</v>
      </c>
      <c r="AP64" s="29"/>
    </row>
    <row r="65" spans="1:42" hidden="1" outlineLevel="1" x14ac:dyDescent="0.25">
      <c r="A65" s="12"/>
      <c r="B65" s="13"/>
      <c r="C65" s="45" t="s">
        <v>124</v>
      </c>
      <c r="D65" s="45"/>
      <c r="E65" s="15" t="s">
        <v>474</v>
      </c>
      <c r="F65" s="158" t="str">
        <f>Dashboard!$I$43</f>
        <v>2 Axle rigid</v>
      </c>
      <c r="G65" s="14"/>
      <c r="H65" s="14"/>
      <c r="I65" s="177">
        <f>IF($C$65=$F$65,Data!$E$119*I16,0)</f>
        <v>0</v>
      </c>
      <c r="J65" s="177">
        <f>IF($C$65=$F$65,Data!$E$119*J16,0)</f>
        <v>0</v>
      </c>
      <c r="K65" s="177">
        <f>IF($C$65=$F$65,Data!$E$119*K16,0)</f>
        <v>0</v>
      </c>
      <c r="L65" s="177">
        <f>IF($C$65=$F$65,Data!$E$119*L16,0)</f>
        <v>0</v>
      </c>
      <c r="M65" s="177">
        <f>IF($C$65=$F$65,Data!$E$119*M16,0)</f>
        <v>0</v>
      </c>
      <c r="N65" s="177">
        <f>IF($C$65=$F$65,Data!$E$119*N16,0)</f>
        <v>0</v>
      </c>
      <c r="O65" s="177">
        <f>IF($C$65=$F$65,Data!$E$119*O16,0)</f>
        <v>0</v>
      </c>
      <c r="P65" s="177">
        <f>IF($C$65=$F$65,Data!$E$119*P16,0)</f>
        <v>0</v>
      </c>
      <c r="Q65" s="177">
        <f>IF($C$65=$F$65,Data!$E$119*Q16,0)</f>
        <v>0</v>
      </c>
      <c r="R65" s="177">
        <f>IF($C$65=$F$65,Data!$E$119*R16,0)</f>
        <v>0</v>
      </c>
      <c r="S65" s="177">
        <f>IF($C$65=$F$65,Data!$E$119*S16,0)</f>
        <v>0</v>
      </c>
      <c r="T65" s="177">
        <f>IF($C$65=$F$65,Data!$E$119*T16,0)</f>
        <v>0</v>
      </c>
      <c r="U65" s="177">
        <f>IF($C$65=$F$65,Data!$E$119*U16,0)</f>
        <v>0</v>
      </c>
      <c r="V65" s="177">
        <f>IF($C$65=$F$65,Data!$E$119*V16,0)</f>
        <v>0</v>
      </c>
      <c r="W65" s="177">
        <f>IF($C$65=$F$65,Data!$E$119*W16,0)</f>
        <v>0</v>
      </c>
      <c r="X65" s="177">
        <f>IF($C$65=$F$65,Data!$E$119*X16,0)</f>
        <v>0</v>
      </c>
      <c r="Y65" s="177">
        <f>IF($C$65=$F$65,Data!$E$119*Y16,0)</f>
        <v>0</v>
      </c>
      <c r="Z65" s="177">
        <f>IF($C$65=$F$65,Data!$E$119*Z16,0)</f>
        <v>0</v>
      </c>
      <c r="AA65" s="177">
        <f>IF($C$65=$F$65,Data!$E$119*AA16,0)</f>
        <v>0</v>
      </c>
      <c r="AB65" s="177">
        <f>IF($C$65=$F$65,Data!$E$119*AB16,0)</f>
        <v>0</v>
      </c>
      <c r="AC65" s="177">
        <f>IF($C$65=$F$65,Data!$E$119*AC16,0)</f>
        <v>0</v>
      </c>
      <c r="AD65" s="177">
        <f>IF($C$65=$F$65,Data!$E$119*AD16,0)</f>
        <v>0</v>
      </c>
      <c r="AE65" s="177">
        <f>IF($C$65=$F$65,Data!$E$119*AE16,0)</f>
        <v>0</v>
      </c>
      <c r="AF65" s="177">
        <f>IF($C$65=$F$65,Data!$E$119*AF16,0)</f>
        <v>0</v>
      </c>
      <c r="AG65" s="177">
        <f>IF($C$65=$F$65,Data!$E$119*AG16,0)</f>
        <v>0</v>
      </c>
      <c r="AH65" s="177">
        <f>IF($C$65=$F$65,Data!$E$119*AH16,0)</f>
        <v>0</v>
      </c>
      <c r="AI65" s="177">
        <f>IF($C$65=$F$65,Data!$E$119*AI16,0)</f>
        <v>0</v>
      </c>
      <c r="AJ65" s="177">
        <f>IF($C$65=$F$65,Data!$E$119*AJ16,0)</f>
        <v>0</v>
      </c>
      <c r="AK65" s="177">
        <f>IF($C$65=$F$65,Data!$E$119*AK16,0)</f>
        <v>0</v>
      </c>
      <c r="AL65" s="177">
        <f>IF($C$65=$F$65,Data!$E$119*AL16,0)</f>
        <v>0</v>
      </c>
      <c r="AM65" s="177">
        <f>IF($C$65=$F$65,Data!$E$119*AM16,0)</f>
        <v>0</v>
      </c>
      <c r="AN65" s="177">
        <f>IF($C$65=$F$65,Data!$E$119*AN16,0)</f>
        <v>0</v>
      </c>
      <c r="AO65" s="177">
        <f>IF($C$65=$F$65,Data!$E$119*AO16,0)</f>
        <v>0</v>
      </c>
      <c r="AP65" s="29"/>
    </row>
    <row r="66" spans="1:42" hidden="1" outlineLevel="1" x14ac:dyDescent="0.25">
      <c r="A66" s="12"/>
      <c r="B66" s="13"/>
      <c r="C66" s="45" t="s">
        <v>126</v>
      </c>
      <c r="D66" s="45"/>
      <c r="E66" s="15" t="s">
        <v>474</v>
      </c>
      <c r="F66" s="158" t="str">
        <f>Dashboard!$I$43</f>
        <v>2 Axle rigid</v>
      </c>
      <c r="G66" s="14"/>
      <c r="H66" s="14"/>
      <c r="I66" s="177">
        <f>IF($C$66=$F$66,Data!$E$120*I16,0)</f>
        <v>0</v>
      </c>
      <c r="J66" s="177">
        <f>IF($C$66=$F$66,Data!$E$120*J16,0)</f>
        <v>0</v>
      </c>
      <c r="K66" s="177">
        <f>IF($C$66=$F$66,Data!$E$120*K16,0)</f>
        <v>0</v>
      </c>
      <c r="L66" s="177">
        <f>IF($C$66=$F$66,Data!$E$120*L16,0)</f>
        <v>0</v>
      </c>
      <c r="M66" s="177">
        <f>IF($C$66=$F$66,Data!$E$120*M16,0)</f>
        <v>0</v>
      </c>
      <c r="N66" s="177">
        <f>IF($C$66=$F$66,Data!$E$120*N16,0)</f>
        <v>0</v>
      </c>
      <c r="O66" s="177">
        <f>IF($C$66=$F$66,Data!$E$120*O16,0)</f>
        <v>0</v>
      </c>
      <c r="P66" s="177">
        <f>IF($C$66=$F$66,Data!$E$120*P16,0)</f>
        <v>0</v>
      </c>
      <c r="Q66" s="177">
        <f>IF($C$66=$F$66,Data!$E$120*Q16,0)</f>
        <v>0</v>
      </c>
      <c r="R66" s="177">
        <f>IF($C$66=$F$66,Data!$E$120*R16,0)</f>
        <v>0</v>
      </c>
      <c r="S66" s="177">
        <f>IF($C$66=$F$66,Data!$E$120*S16,0)</f>
        <v>0</v>
      </c>
      <c r="T66" s="177">
        <f>IF($C$66=$F$66,Data!$E$120*T16,0)</f>
        <v>0</v>
      </c>
      <c r="U66" s="177">
        <f>IF($C$66=$F$66,Data!$E$120*U16,0)</f>
        <v>0</v>
      </c>
      <c r="V66" s="177">
        <f>IF($C$66=$F$66,Data!$E$120*V16,0)</f>
        <v>0</v>
      </c>
      <c r="W66" s="177">
        <f>IF($C$66=$F$66,Data!$E$120*W16,0)</f>
        <v>0</v>
      </c>
      <c r="X66" s="177">
        <f>IF($C$66=$F$66,Data!$E$120*X16,0)</f>
        <v>0</v>
      </c>
      <c r="Y66" s="177">
        <f>IF($C$66=$F$66,Data!$E$120*Y16,0)</f>
        <v>0</v>
      </c>
      <c r="Z66" s="177">
        <f>IF($C$66=$F$66,Data!$E$120*Z16,0)</f>
        <v>0</v>
      </c>
      <c r="AA66" s="177">
        <f>IF($C$66=$F$66,Data!$E$120*AA16,0)</f>
        <v>0</v>
      </c>
      <c r="AB66" s="177">
        <f>IF($C$66=$F$66,Data!$E$120*AB16,0)</f>
        <v>0</v>
      </c>
      <c r="AC66" s="177">
        <f>IF($C$66=$F$66,Data!$E$120*AC16,0)</f>
        <v>0</v>
      </c>
      <c r="AD66" s="177">
        <f>IF($C$66=$F$66,Data!$E$120*AD16,0)</f>
        <v>0</v>
      </c>
      <c r="AE66" s="177">
        <f>IF($C$66=$F$66,Data!$E$120*AE16,0)</f>
        <v>0</v>
      </c>
      <c r="AF66" s="177">
        <f>IF($C$66=$F$66,Data!$E$120*AF16,0)</f>
        <v>0</v>
      </c>
      <c r="AG66" s="177">
        <f>IF($C$66=$F$66,Data!$E$120*AG16,0)</f>
        <v>0</v>
      </c>
      <c r="AH66" s="177">
        <f>IF($C$66=$F$66,Data!$E$120*AH16,0)</f>
        <v>0</v>
      </c>
      <c r="AI66" s="177">
        <f>IF($C$66=$F$66,Data!$E$120*AI16,0)</f>
        <v>0</v>
      </c>
      <c r="AJ66" s="177">
        <f>IF($C$66=$F$66,Data!$E$120*AJ16,0)</f>
        <v>0</v>
      </c>
      <c r="AK66" s="177">
        <f>IF($C$66=$F$66,Data!$E$120*AK16,0)</f>
        <v>0</v>
      </c>
      <c r="AL66" s="177">
        <f>IF($C$66=$F$66,Data!$E$120*AL16,0)</f>
        <v>0</v>
      </c>
      <c r="AM66" s="177">
        <f>IF($C$66=$F$66,Data!$E$120*AM16,0)</f>
        <v>0</v>
      </c>
      <c r="AN66" s="177">
        <f>IF($C$66=$F$66,Data!$E$120*AN16,0)</f>
        <v>0</v>
      </c>
      <c r="AO66" s="177">
        <f>IF($C$66=$F$66,Data!$E$120*AO16,0)</f>
        <v>0</v>
      </c>
      <c r="AP66" s="29"/>
    </row>
    <row r="67" spans="1:42" hidden="1" outlineLevel="1" x14ac:dyDescent="0.25">
      <c r="A67" s="12"/>
      <c r="B67" s="13"/>
      <c r="C67" s="45"/>
      <c r="D67" s="45"/>
      <c r="E67" s="15"/>
      <c r="F67" s="16"/>
      <c r="G67" s="14"/>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9"/>
    </row>
    <row r="68" spans="1:42" hidden="1" outlineLevel="1" x14ac:dyDescent="0.25">
      <c r="A68" s="12"/>
      <c r="B68" s="13"/>
      <c r="C68" s="374"/>
      <c r="D68" s="45"/>
      <c r="E68" s="15" t="s">
        <v>318</v>
      </c>
      <c r="F68" s="16"/>
      <c r="G68" s="14"/>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9"/>
    </row>
    <row r="69" spans="1:42" hidden="1" outlineLevel="1" x14ac:dyDescent="0.25">
      <c r="A69" s="12"/>
      <c r="B69" s="13"/>
      <c r="C69" s="44" t="s">
        <v>260</v>
      </c>
      <c r="D69" s="14"/>
      <c r="E69" s="15" t="s">
        <v>318</v>
      </c>
      <c r="F69" s="16"/>
      <c r="G69" s="14"/>
      <c r="H69" s="151"/>
      <c r="I69" s="151">
        <f>Data!$E$122*I16</f>
        <v>33733.440000000002</v>
      </c>
      <c r="J69" s="151">
        <f>Data!$E$122*J16</f>
        <v>33733.440000000002</v>
      </c>
      <c r="K69" s="151">
        <f>Data!$E$122*K16</f>
        <v>33733.440000000002</v>
      </c>
      <c r="L69" s="151">
        <f>Data!$E$122*L16</f>
        <v>33733.440000000002</v>
      </c>
      <c r="M69" s="151">
        <f>Data!$E$122*M16</f>
        <v>33733.440000000002</v>
      </c>
      <c r="N69" s="151">
        <f>Data!$E$122*N16</f>
        <v>33733.440000000002</v>
      </c>
      <c r="O69" s="151">
        <f>Data!$E$122*O16</f>
        <v>33733.440000000002</v>
      </c>
      <c r="P69" s="151">
        <f>Data!$E$122*P16</f>
        <v>33733.440000000002</v>
      </c>
      <c r="Q69" s="151">
        <f>Data!$E$122*Q16</f>
        <v>33733.440000000002</v>
      </c>
      <c r="R69" s="151">
        <f>Data!$E$122*R16</f>
        <v>33733.440000000002</v>
      </c>
      <c r="S69" s="151">
        <f>Data!$E$122*S16</f>
        <v>33733.440000000002</v>
      </c>
      <c r="T69" s="151">
        <f>Data!$E$122*T16</f>
        <v>33733.440000000002</v>
      </c>
      <c r="U69" s="151">
        <f>Data!$E$122*U16</f>
        <v>0</v>
      </c>
      <c r="V69" s="151">
        <f>Data!$E$122*V16</f>
        <v>0</v>
      </c>
      <c r="W69" s="151">
        <f>Data!$E$122*W16</f>
        <v>0</v>
      </c>
      <c r="X69" s="151">
        <f>Data!$E$122*X16</f>
        <v>0</v>
      </c>
      <c r="Y69" s="151">
        <f>Data!$E$122*Y16</f>
        <v>0</v>
      </c>
      <c r="Z69" s="151">
        <f>Data!$E$122*Z16</f>
        <v>0</v>
      </c>
      <c r="AA69" s="151">
        <f>Data!$E$122*AA16</f>
        <v>0</v>
      </c>
      <c r="AB69" s="151">
        <f>Data!$E$122*AB16</f>
        <v>0</v>
      </c>
      <c r="AC69" s="151">
        <f>Data!$E$122*AC16</f>
        <v>0</v>
      </c>
      <c r="AD69" s="151">
        <f>Data!$E$122*AD16</f>
        <v>0</v>
      </c>
      <c r="AE69" s="151">
        <f>Data!$E$122*AE16</f>
        <v>0</v>
      </c>
      <c r="AF69" s="151">
        <f>Data!$E$122*AF16</f>
        <v>0</v>
      </c>
      <c r="AG69" s="151">
        <f>Data!$E$122*AG16</f>
        <v>0</v>
      </c>
      <c r="AH69" s="151">
        <f>Data!$E$122*AH16</f>
        <v>0</v>
      </c>
      <c r="AI69" s="151">
        <f>Data!$E$122*AI16</f>
        <v>0</v>
      </c>
      <c r="AJ69" s="151">
        <f>Data!$E$122*AJ16</f>
        <v>0</v>
      </c>
      <c r="AK69" s="151">
        <f>Data!$E$122*AK16</f>
        <v>0</v>
      </c>
      <c r="AL69" s="151">
        <f>Data!$E$122*AL16</f>
        <v>0</v>
      </c>
      <c r="AM69" s="151">
        <f>Data!$E$122*AM16</f>
        <v>0</v>
      </c>
      <c r="AN69" s="151">
        <f>Data!$E$122*AN16</f>
        <v>0</v>
      </c>
      <c r="AO69" s="151">
        <f>Data!$E$122*AO16</f>
        <v>0</v>
      </c>
      <c r="AP69" s="17"/>
    </row>
    <row r="70" spans="1:42" hidden="1" outlineLevel="1" x14ac:dyDescent="0.25">
      <c r="A70" s="12"/>
      <c r="B70" s="13"/>
      <c r="C70" s="44"/>
      <c r="D70" s="44"/>
      <c r="E70" s="15"/>
      <c r="F70" s="16"/>
      <c r="G70" s="14"/>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17"/>
    </row>
    <row r="71" spans="1:42" hidden="1" outlineLevel="1" x14ac:dyDescent="0.25">
      <c r="A71" s="12"/>
      <c r="B71" s="13"/>
      <c r="C71" s="44" t="s">
        <v>398</v>
      </c>
      <c r="D71" s="45"/>
      <c r="E71" s="15"/>
      <c r="F71" s="16"/>
      <c r="G71" s="14"/>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9"/>
    </row>
    <row r="72" spans="1:42" hidden="1" outlineLevel="1" x14ac:dyDescent="0.25">
      <c r="A72" s="12"/>
      <c r="B72" s="13"/>
      <c r="C72" s="45" t="s">
        <v>127</v>
      </c>
      <c r="D72" s="45"/>
      <c r="E72" s="15" t="s">
        <v>475</v>
      </c>
      <c r="F72" s="158" t="str">
        <f>Dashboard!$I$42</f>
        <v>Flat (Gradient  0%)</v>
      </c>
      <c r="G72" s="14"/>
      <c r="H72" s="62"/>
      <c r="I72" s="181" cm="1">
        <f t="array" ref="I72">INDEX('Control panel'!$E$17:$E$19,MATCH($F$72,'Control panel'!$C$17:$C$19,0),0)</f>
        <v>0</v>
      </c>
      <c r="J72" s="181" cm="1">
        <f t="array" ref="J72">INDEX('Control panel'!$E$17:$E$19,MATCH($F$72,'Control panel'!$C$17:$C$19,0),0)</f>
        <v>0</v>
      </c>
      <c r="K72" s="181" cm="1">
        <f t="array" ref="K72">INDEX('Control panel'!$E$17:$E$19,MATCH($F$72,'Control panel'!$C$17:$C$19,0),0)</f>
        <v>0</v>
      </c>
      <c r="L72" s="181" cm="1">
        <f t="array" ref="L72">INDEX('Control panel'!$E$17:$E$19,MATCH($F$72,'Control panel'!$C$17:$C$19,0),0)</f>
        <v>0</v>
      </c>
      <c r="M72" s="181" cm="1">
        <f t="array" ref="M72">INDEX('Control panel'!$E$17:$E$19,MATCH($F$72,'Control panel'!$C$17:$C$19,0),0)</f>
        <v>0</v>
      </c>
      <c r="N72" s="181" cm="1">
        <f t="array" ref="N72">INDEX('Control panel'!$E$17:$E$19,MATCH($F$72,'Control panel'!$C$17:$C$19,0),0)</f>
        <v>0</v>
      </c>
      <c r="O72" s="181" cm="1">
        <f t="array" ref="O72">INDEX('Control panel'!$E$17:$E$19,MATCH($F$72,'Control panel'!$C$17:$C$19,0),0)</f>
        <v>0</v>
      </c>
      <c r="P72" s="181" cm="1">
        <f t="array" ref="P72">INDEX('Control panel'!$E$17:$E$19,MATCH($F$72,'Control panel'!$C$17:$C$19,0),0)</f>
        <v>0</v>
      </c>
      <c r="Q72" s="181" cm="1">
        <f t="array" ref="Q72">INDEX('Control panel'!$E$17:$E$19,MATCH($F$72,'Control panel'!$C$17:$C$19,0),0)</f>
        <v>0</v>
      </c>
      <c r="R72" s="181" cm="1">
        <f t="array" ref="R72">INDEX('Control panel'!$E$17:$E$19,MATCH($F$72,'Control panel'!$C$17:$C$19,0),0)</f>
        <v>0</v>
      </c>
      <c r="S72" s="181" cm="1">
        <f t="array" ref="S72">INDEX('Control panel'!$E$17:$E$19,MATCH($F$72,'Control panel'!$C$17:$C$19,0),0)</f>
        <v>0</v>
      </c>
      <c r="T72" s="181" cm="1">
        <f t="array" ref="T72">INDEX('Control panel'!$E$17:$E$19,MATCH($F$72,'Control panel'!$C$17:$C$19,0),0)</f>
        <v>0</v>
      </c>
      <c r="U72" s="181" cm="1">
        <f t="array" ref="U72">INDEX('Control panel'!$E$17:$E$19,MATCH($F$72,'Control panel'!$C$17:$C$19,0),0)</f>
        <v>0</v>
      </c>
      <c r="V72" s="181" cm="1">
        <f t="array" ref="V72">INDEX('Control panel'!$E$17:$E$19,MATCH($F$72,'Control panel'!$C$17:$C$19,0),0)</f>
        <v>0</v>
      </c>
      <c r="W72" s="181" cm="1">
        <f t="array" ref="W72">INDEX('Control panel'!$E$17:$E$19,MATCH($F$72,'Control panel'!$C$17:$C$19,0),0)</f>
        <v>0</v>
      </c>
      <c r="X72" s="181" cm="1">
        <f t="array" ref="X72">INDEX('Control panel'!$E$17:$E$19,MATCH($F$72,'Control panel'!$C$17:$C$19,0),0)</f>
        <v>0</v>
      </c>
      <c r="Y72" s="181" cm="1">
        <f t="array" ref="Y72">INDEX('Control panel'!$E$17:$E$19,MATCH($F$72,'Control panel'!$C$17:$C$19,0),0)</f>
        <v>0</v>
      </c>
      <c r="Z72" s="181" cm="1">
        <f t="array" ref="Z72">INDEX('Control panel'!$E$17:$E$19,MATCH($F$72,'Control panel'!$C$17:$C$19,0),0)</f>
        <v>0</v>
      </c>
      <c r="AA72" s="181" cm="1">
        <f t="array" ref="AA72">INDEX('Control panel'!$E$17:$E$19,MATCH($F$72,'Control panel'!$C$17:$C$19,0),0)</f>
        <v>0</v>
      </c>
      <c r="AB72" s="181" cm="1">
        <f t="array" ref="AB72">INDEX('Control panel'!$E$17:$E$19,MATCH($F$72,'Control panel'!$C$17:$C$19,0),0)</f>
        <v>0</v>
      </c>
      <c r="AC72" s="181" cm="1">
        <f t="array" ref="AC72">INDEX('Control panel'!$E$17:$E$19,MATCH($F$72,'Control panel'!$C$17:$C$19,0),0)</f>
        <v>0</v>
      </c>
      <c r="AD72" s="181" cm="1">
        <f t="array" ref="AD72">INDEX('Control panel'!$E$17:$E$19,MATCH($F$72,'Control panel'!$C$17:$C$19,0),0)</f>
        <v>0</v>
      </c>
      <c r="AE72" s="181" cm="1">
        <f t="array" ref="AE72">INDEX('Control panel'!$E$17:$E$19,MATCH($F$72,'Control panel'!$C$17:$C$19,0),0)</f>
        <v>0</v>
      </c>
      <c r="AF72" s="181" cm="1">
        <f t="array" ref="AF72">INDEX('Control panel'!$E$17:$E$19,MATCH($F$72,'Control panel'!$C$17:$C$19,0),0)</f>
        <v>0</v>
      </c>
      <c r="AG72" s="181" cm="1">
        <f t="array" ref="AG72">INDEX('Control panel'!$E$17:$E$19,MATCH($F$72,'Control panel'!$C$17:$C$19,0),0)</f>
        <v>0</v>
      </c>
      <c r="AH72" s="181" cm="1">
        <f t="array" ref="AH72">INDEX('Control panel'!$E$17:$E$19,MATCH($F$72,'Control panel'!$C$17:$C$19,0),0)</f>
        <v>0</v>
      </c>
      <c r="AI72" s="181" cm="1">
        <f t="array" ref="AI72">INDEX('Control panel'!$E$17:$E$19,MATCH($F$72,'Control panel'!$C$17:$C$19,0),0)</f>
        <v>0</v>
      </c>
      <c r="AJ72" s="181" cm="1">
        <f t="array" ref="AJ72">INDEX('Control panel'!$E$17:$E$19,MATCH($F$72,'Control panel'!$C$17:$C$19,0),0)</f>
        <v>0</v>
      </c>
      <c r="AK72" s="181" cm="1">
        <f t="array" ref="AK72">INDEX('Control panel'!$E$17:$E$19,MATCH($F$72,'Control panel'!$C$17:$C$19,0),0)</f>
        <v>0</v>
      </c>
      <c r="AL72" s="181" cm="1">
        <f t="array" ref="AL72">INDEX('Control panel'!$E$17:$E$19,MATCH($F$72,'Control panel'!$C$17:$C$19,0),0)</f>
        <v>0</v>
      </c>
      <c r="AM72" s="181" cm="1">
        <f t="array" ref="AM72">INDEX('Control panel'!$E$17:$E$19,MATCH($F$72,'Control panel'!$C$17:$C$19,0),0)</f>
        <v>0</v>
      </c>
      <c r="AN72" s="181" cm="1">
        <f t="array" ref="AN72">INDEX('Control panel'!$E$17:$E$19,MATCH($F$72,'Control panel'!$C$17:$C$19,0),0)</f>
        <v>0</v>
      </c>
      <c r="AO72" s="181" cm="1">
        <f t="array" ref="AO72">INDEX('Control panel'!$E$17:$E$19,MATCH($F$72,'Control panel'!$C$17:$C$19,0),0)</f>
        <v>0</v>
      </c>
      <c r="AP72" s="29"/>
    </row>
    <row r="73" spans="1:42" hidden="1" outlineLevel="1" x14ac:dyDescent="0.25">
      <c r="A73" s="12"/>
      <c r="B73" s="13"/>
      <c r="C73" s="45" t="s">
        <v>120</v>
      </c>
      <c r="D73" s="45"/>
      <c r="E73" s="15" t="s">
        <v>318</v>
      </c>
      <c r="F73" s="158" t="str">
        <f>Dashboard!$I$43</f>
        <v>2 Axle rigid</v>
      </c>
      <c r="G73" s="14"/>
      <c r="H73" s="62"/>
      <c r="I73" s="177">
        <f>IF($C$73=$F$73,I16*Data!$E$129*Data!H$61,0)*(1+I72)*(1+Data!$E$91)</f>
        <v>124310.52967544652</v>
      </c>
      <c r="J73" s="177">
        <f>IF($C$73=$F$73,J16*Data!$E$129*Data!I$61,0)*(1+J72)*(1+Data!$E$91)</f>
        <v>99306.774091390267</v>
      </c>
      <c r="K73" s="177">
        <f>IF($C$73=$F$73,K16*Data!$E$129*Data!J$61,0)*(1+K72)*(1+Data!$E$91)</f>
        <v>99306.774091390267</v>
      </c>
      <c r="L73" s="177">
        <f>IF($C$73=$F$73,L16*Data!$E$129*Data!K$61,0)*(1+L72)*(1+Data!$E$91)</f>
        <v>99306.774091390267</v>
      </c>
      <c r="M73" s="177">
        <f>IF($C$73=$F$73,M16*Data!$E$129*Data!L$61,0)*(1+M72)*(1+Data!$E$91)</f>
        <v>99306.774091390267</v>
      </c>
      <c r="N73" s="177">
        <f>IF($C$73=$F$73,N16*Data!$E$129*Data!M$61,0)*(1+N72)*(1+Data!$E$91)</f>
        <v>99306.774091390267</v>
      </c>
      <c r="O73" s="177">
        <f>IF($C$73=$F$73,O16*Data!$E$129*Data!N$61,0)*(1+O72)*(1+Data!$E$91)</f>
        <v>99306.774091390267</v>
      </c>
      <c r="P73" s="177">
        <f>IF($C$73=$F$73,P16*Data!$E$129*Data!O$61,0)*(1+P72)*(1+Data!$E$91)</f>
        <v>99306.774091390267</v>
      </c>
      <c r="Q73" s="177">
        <f>IF($C$73=$F$73,Q16*Data!$E$129*Data!P$61,0)*(1+Q72)*(1+Data!$E$91)</f>
        <v>99306.774091390267</v>
      </c>
      <c r="R73" s="177">
        <f>IF($C$73=$F$73,R16*Data!$E$129*Data!Q$61,0)*(1+R72)*(1+Data!$E$91)</f>
        <v>99306.774091390267</v>
      </c>
      <c r="S73" s="177">
        <f>IF($C$73=$F$73,S16*Data!$E$129*Data!R$61,0)*(1+S72)*(1+Data!$E$91)</f>
        <v>99306.774091390267</v>
      </c>
      <c r="T73" s="177">
        <f>IF($C$73=$F$73,T16*Data!$E$129*Data!S$61,0)*(1+T72)*(1+Data!$E$91)</f>
        <v>99306.774091390267</v>
      </c>
      <c r="U73" s="177">
        <f>IF($C$73=$F$73,U16*Data!$E$129*Data!T$61,0)*(1+U72)*(1+Data!$E$91)</f>
        <v>0</v>
      </c>
      <c r="V73" s="177">
        <f>IF($C$73=$F$73,V16*Data!$E$129*Data!U$61,0)*(1+V72)*(1+Data!$E$91)</f>
        <v>0</v>
      </c>
      <c r="W73" s="177">
        <f>IF($C$73=$F$73,W16*Data!$E$129*Data!V$61,0)*(1+W72)*(1+Data!$E$91)</f>
        <v>0</v>
      </c>
      <c r="X73" s="177">
        <f>IF($C$73=$F$73,X16*Data!$E$129*Data!W$61,0)*(1+X72)*(1+Data!$E$91)</f>
        <v>0</v>
      </c>
      <c r="Y73" s="177">
        <f>IF($C$73=$F$73,Y16*Data!$E$129*Data!X$61,0)*(1+Y72)*(1+Data!$E$91)</f>
        <v>0</v>
      </c>
      <c r="Z73" s="177">
        <f>IF($C$73=$F$73,Z16*Data!$E$129*Data!Y$61,0)*(1+Z72)*(1+Data!$E$91)</f>
        <v>0</v>
      </c>
      <c r="AA73" s="177">
        <f>IF($C$73=$F$73,AA16*Data!$E$129*Data!Z$61,0)*(1+AA72)*(1+Data!$E$91)</f>
        <v>0</v>
      </c>
      <c r="AB73" s="177">
        <f>IF($C$73=$F$73,AB16*Data!$E$129*Data!AA$61,0)*(1+AB72)*(1+Data!$E$91)</f>
        <v>0</v>
      </c>
      <c r="AC73" s="177">
        <f>IF($C$73=$F$73,AC16*Data!$E$129*Data!AB$61,0)*(1+AC72)*(1+Data!$E$91)</f>
        <v>0</v>
      </c>
      <c r="AD73" s="177">
        <f>IF($C$73=$F$73,AD16*Data!$E$129*Data!AC$61,0)*(1+AD72)*(1+Data!$E$91)</f>
        <v>0</v>
      </c>
      <c r="AE73" s="177">
        <f>IF($C$73=$F$73,AE16*Data!$E$129*Data!AD$61,0)*(1+AE72)*(1+Data!$E$91)</f>
        <v>0</v>
      </c>
      <c r="AF73" s="177">
        <f>IF($C$73=$F$73,AF16*Data!$E$129*Data!AE$61,0)*(1+AF72)*(1+Data!$E$91)</f>
        <v>0</v>
      </c>
      <c r="AG73" s="177">
        <f>IF($C$73=$F$73,AG16*Data!$E$129*Data!AF$61,0)*(1+AG72)*(1+Data!$E$91)</f>
        <v>0</v>
      </c>
      <c r="AH73" s="177">
        <f>IF($C$73=$F$73,AH16*Data!$E$129*Data!AG$61,0)*(1+AH72)*(1+Data!$E$91)</f>
        <v>0</v>
      </c>
      <c r="AI73" s="177">
        <f>IF($C$73=$F$73,AI16*Data!$E$129*Data!AH$61,0)*(1+AI72)*(1+Data!$E$91)</f>
        <v>0</v>
      </c>
      <c r="AJ73" s="177">
        <f>IF($C$73=$F$73,AJ16*Data!$E$129*Data!AI$61,0)*(1+AJ72)*(1+Data!$E$91)</f>
        <v>0</v>
      </c>
      <c r="AK73" s="177">
        <f>IF($C$73=$F$73,AK16*Data!$E$129*Data!AJ$61,0)*(1+AK72)*(1+Data!$E$91)</f>
        <v>0</v>
      </c>
      <c r="AL73" s="177">
        <f>IF($C$73=$F$73,AL16*Data!$E$129*Data!AK$61,0)*(1+AL72)*(1+Data!$E$91)</f>
        <v>0</v>
      </c>
      <c r="AM73" s="177">
        <f>IF($C$73=$F$73,AM16*Data!$E$129*Data!AL$61,0)*(1+AM72)*(1+Data!$E$91)</f>
        <v>0</v>
      </c>
      <c r="AN73" s="177">
        <f>IF($C$73=$F$73,AN16*Data!$E$129*Data!AM$61,0)*(1+AN72)*(1+Data!$E$91)</f>
        <v>0</v>
      </c>
      <c r="AO73" s="177">
        <f>IF($C$73=$F$73,AO16*Data!$E$129*Data!AN$61,0)*(1+AO72)*(1+Data!$E$91)</f>
        <v>0</v>
      </c>
      <c r="AP73" s="29"/>
    </row>
    <row r="74" spans="1:42" hidden="1" outlineLevel="1" x14ac:dyDescent="0.25">
      <c r="A74" s="12"/>
      <c r="B74" s="13"/>
      <c r="C74" s="45" t="s">
        <v>124</v>
      </c>
      <c r="D74" s="45"/>
      <c r="E74" s="15" t="s">
        <v>318</v>
      </c>
      <c r="F74" s="158" t="str">
        <f>Dashboard!$I$43</f>
        <v>2 Axle rigid</v>
      </c>
      <c r="G74" s="14"/>
      <c r="H74" s="62"/>
      <c r="I74" s="177">
        <f>IF($C$74=$F$74,I16*Data!$E$130*Data!H$61,0)*(1+I72)*(1+Data!$E$91)</f>
        <v>0</v>
      </c>
      <c r="J74" s="177">
        <f>IF($C$74=$F$74,J16*Data!$E$130*Data!I$61,0)*(1+J72)*(1+Data!$E$91)</f>
        <v>0</v>
      </c>
      <c r="K74" s="177">
        <f>IF($C$74=$F$74,K16*Data!$E$130*Data!J$61,0)*(1+K72)*(1+Data!$E$91)</f>
        <v>0</v>
      </c>
      <c r="L74" s="177">
        <f>IF($C$74=$F$74,L16*Data!$E$130*Data!K$61,0)*(1+L72)*(1+Data!$E$91)</f>
        <v>0</v>
      </c>
      <c r="M74" s="177">
        <f>IF($C$74=$F$74,M16*Data!$E$130*Data!L$61,0)*(1+M72)*(1+Data!$E$91)</f>
        <v>0</v>
      </c>
      <c r="N74" s="177">
        <f>IF($C$74=$F$74,N16*Data!$E$130*Data!M$61,0)*(1+N72)*(1+Data!$E$91)</f>
        <v>0</v>
      </c>
      <c r="O74" s="177">
        <f>IF($C$74=$F$74,O16*Data!$E$130*Data!N$61,0)*(1+O72)*(1+Data!$E$91)</f>
        <v>0</v>
      </c>
      <c r="P74" s="177">
        <f>IF($C$74=$F$74,P16*Data!$E$130*Data!O$61,0)*(1+P72)*(1+Data!$E$91)</f>
        <v>0</v>
      </c>
      <c r="Q74" s="177">
        <f>IF($C$74=$F$74,Q16*Data!$E$130*Data!P$61,0)*(1+Q72)*(1+Data!$E$91)</f>
        <v>0</v>
      </c>
      <c r="R74" s="177">
        <f>IF($C$74=$F$74,R16*Data!$E$130*Data!Q$61,0)*(1+R72)*(1+Data!$E$91)</f>
        <v>0</v>
      </c>
      <c r="S74" s="177">
        <f>IF($C$74=$F$74,S16*Data!$E$130*Data!R$61,0)*(1+S72)*(1+Data!$E$91)</f>
        <v>0</v>
      </c>
      <c r="T74" s="177">
        <f>IF($C$74=$F$74,T16*Data!$E$130*Data!S$61,0)*(1+T72)*(1+Data!$E$91)</f>
        <v>0</v>
      </c>
      <c r="U74" s="177">
        <f>IF($C$74=$F$74,U16*Data!$E$130*Data!T$61,0)*(1+U72)*(1+Data!$E$91)</f>
        <v>0</v>
      </c>
      <c r="V74" s="177">
        <f>IF($C$74=$F$74,V16*Data!$E$130*Data!U$61,0)*(1+V72)*(1+Data!$E$91)</f>
        <v>0</v>
      </c>
      <c r="W74" s="177">
        <f>IF($C$74=$F$74,W16*Data!$E$130*Data!V$61,0)*(1+W72)*(1+Data!$E$91)</f>
        <v>0</v>
      </c>
      <c r="X74" s="177">
        <f>IF($C$74=$F$74,X16*Data!$E$130*Data!W$61,0)*(1+X72)*(1+Data!$E$91)</f>
        <v>0</v>
      </c>
      <c r="Y74" s="177">
        <f>IF($C$74=$F$74,Y16*Data!$E$130*Data!X$61,0)*(1+Y72)*(1+Data!$E$91)</f>
        <v>0</v>
      </c>
      <c r="Z74" s="177">
        <f>IF($C$74=$F$74,Z16*Data!$E$130*Data!Y$61,0)*(1+Z72)*(1+Data!$E$91)</f>
        <v>0</v>
      </c>
      <c r="AA74" s="177">
        <f>IF($C$74=$F$74,AA16*Data!$E$130*Data!Z$61,0)*(1+AA72)*(1+Data!$E$91)</f>
        <v>0</v>
      </c>
      <c r="AB74" s="177">
        <f>IF($C$74=$F$74,AB16*Data!$E$130*Data!AA$61,0)*(1+AB72)*(1+Data!$E$91)</f>
        <v>0</v>
      </c>
      <c r="AC74" s="177">
        <f>IF($C$74=$F$74,AC16*Data!$E$130*Data!AB$61,0)*(1+AC72)*(1+Data!$E$91)</f>
        <v>0</v>
      </c>
      <c r="AD74" s="177">
        <f>IF($C$74=$F$74,AD16*Data!$E$130*Data!AC$61,0)*(1+AD72)*(1+Data!$E$91)</f>
        <v>0</v>
      </c>
      <c r="AE74" s="177">
        <f>IF($C$74=$F$74,AE16*Data!$E$130*Data!AD$61,0)*(1+AE72)*(1+Data!$E$91)</f>
        <v>0</v>
      </c>
      <c r="AF74" s="177">
        <f>IF($C$74=$F$74,AF16*Data!$E$130*Data!AE$61,0)*(1+AF72)*(1+Data!$E$91)</f>
        <v>0</v>
      </c>
      <c r="AG74" s="177">
        <f>IF($C$74=$F$74,AG16*Data!$E$130*Data!AF$61,0)*(1+AG72)*(1+Data!$E$91)</f>
        <v>0</v>
      </c>
      <c r="AH74" s="177">
        <f>IF($C$74=$F$74,AH16*Data!$E$130*Data!AG$61,0)*(1+AH72)*(1+Data!$E$91)</f>
        <v>0</v>
      </c>
      <c r="AI74" s="177">
        <f>IF($C$74=$F$74,AI16*Data!$E$130*Data!AH$61,0)*(1+AI72)*(1+Data!$E$91)</f>
        <v>0</v>
      </c>
      <c r="AJ74" s="177">
        <f>IF($C$74=$F$74,AJ16*Data!$E$130*Data!AI$61,0)*(1+AJ72)*(1+Data!$E$91)</f>
        <v>0</v>
      </c>
      <c r="AK74" s="177">
        <f>IF($C$74=$F$74,AK16*Data!$E$130*Data!AJ$61,0)*(1+AK72)*(1+Data!$E$91)</f>
        <v>0</v>
      </c>
      <c r="AL74" s="177">
        <f>IF($C$74=$F$74,AL16*Data!$E$130*Data!AK$61,0)*(1+AL72)*(1+Data!$E$91)</f>
        <v>0</v>
      </c>
      <c r="AM74" s="177">
        <f>IF($C$74=$F$74,AM16*Data!$E$130*Data!AL$61,0)*(1+AM72)*(1+Data!$E$91)</f>
        <v>0</v>
      </c>
      <c r="AN74" s="177">
        <f>IF($C$74=$F$74,AN16*Data!$E$130*Data!AM$61,0)*(1+AN72)*(1+Data!$E$91)</f>
        <v>0</v>
      </c>
      <c r="AO74" s="177">
        <f>IF($C$74=$F$74,AO16*Data!$E$130*Data!AN$61,0)*(1+AO72)*(1+Data!$E$91)</f>
        <v>0</v>
      </c>
      <c r="AP74" s="29"/>
    </row>
    <row r="75" spans="1:42" hidden="1" outlineLevel="1" x14ac:dyDescent="0.25">
      <c r="A75" s="12"/>
      <c r="B75" s="13"/>
      <c r="C75" s="45" t="s">
        <v>126</v>
      </c>
      <c r="D75" s="45"/>
      <c r="E75" s="15" t="s">
        <v>318</v>
      </c>
      <c r="F75" s="158" t="str">
        <f>Dashboard!$I$43</f>
        <v>2 Axle rigid</v>
      </c>
      <c r="G75" s="14"/>
      <c r="H75" s="62"/>
      <c r="I75" s="177">
        <f>IF($C$75=$F$75,I16*Data!$E$131*Data!H$61,0)*(1+I72)*(1+Data!$E$91)</f>
        <v>0</v>
      </c>
      <c r="J75" s="177">
        <f>IF($C$75=$F$75,J16*Data!$E$131*Data!I$61,0)*(1+J72)*(1+Data!$E$91)</f>
        <v>0</v>
      </c>
      <c r="K75" s="177">
        <f>IF($C$75=$F$75,K16*Data!$E$131*Data!J$61,0)*(1+K72)*(1+Data!$E$91)</f>
        <v>0</v>
      </c>
      <c r="L75" s="177">
        <f>IF($C$75=$F$75,L16*Data!$E$131*Data!K$61,0)*(1+L72)*(1+Data!$E$91)</f>
        <v>0</v>
      </c>
      <c r="M75" s="177">
        <f>IF($C$75=$F$75,M16*Data!$E$131*Data!L$61,0)*(1+M72)*(1+Data!$E$91)</f>
        <v>0</v>
      </c>
      <c r="N75" s="177">
        <f>IF($C$75=$F$75,N16*Data!$E$131*Data!M$61,0)*(1+N72)*(1+Data!$E$91)</f>
        <v>0</v>
      </c>
      <c r="O75" s="177">
        <f>IF($C$75=$F$75,O16*Data!$E$131*Data!N$61,0)*(1+O72)*(1+Data!$E$91)</f>
        <v>0</v>
      </c>
      <c r="P75" s="177">
        <f>IF($C$75=$F$75,P16*Data!$E$131*Data!O$61,0)*(1+P72)*(1+Data!$E$91)</f>
        <v>0</v>
      </c>
      <c r="Q75" s="177">
        <f>IF($C$75=$F$75,Q16*Data!$E$131*Data!P$61,0)*(1+Q72)*(1+Data!$E$91)</f>
        <v>0</v>
      </c>
      <c r="R75" s="177">
        <f>IF($C$75=$F$75,R16*Data!$E$131*Data!Q$61,0)*(1+R72)*(1+Data!$E$91)</f>
        <v>0</v>
      </c>
      <c r="S75" s="177">
        <f>IF($C$75=$F$75,S16*Data!$E$131*Data!R$61,0)*(1+S72)*(1+Data!$E$91)</f>
        <v>0</v>
      </c>
      <c r="T75" s="177">
        <f>IF($C$75=$F$75,T16*Data!$E$131*Data!S$61,0)*(1+T72)*(1+Data!$E$91)</f>
        <v>0</v>
      </c>
      <c r="U75" s="177">
        <f>IF($C$75=$F$75,U16*Data!$E$131*Data!T$61,0)*(1+U72)*(1+Data!$E$91)</f>
        <v>0</v>
      </c>
      <c r="V75" s="177">
        <f>IF($C$75=$F$75,V16*Data!$E$131*Data!U$61,0)*(1+V72)*(1+Data!$E$91)</f>
        <v>0</v>
      </c>
      <c r="W75" s="177">
        <f>IF($C$75=$F$75,W16*Data!$E$131*Data!V$61,0)*(1+W72)*(1+Data!$E$91)</f>
        <v>0</v>
      </c>
      <c r="X75" s="177">
        <f>IF($C$75=$F$75,X16*Data!$E$131*Data!W$61,0)*(1+X72)*(1+Data!$E$91)</f>
        <v>0</v>
      </c>
      <c r="Y75" s="177">
        <f>IF($C$75=$F$75,Y16*Data!$E$131*Data!X$61,0)*(1+Y72)*(1+Data!$E$91)</f>
        <v>0</v>
      </c>
      <c r="Z75" s="177">
        <f>IF($C$75=$F$75,Z16*Data!$E$131*Data!Y$61,0)*(1+Z72)*(1+Data!$E$91)</f>
        <v>0</v>
      </c>
      <c r="AA75" s="177">
        <f>IF($C$75=$F$75,AA16*Data!$E$131*Data!Z$61,0)*(1+AA72)*(1+Data!$E$91)</f>
        <v>0</v>
      </c>
      <c r="AB75" s="177">
        <f>IF($C$75=$F$75,AB16*Data!$E$131*Data!AA$61,0)*(1+AB72)*(1+Data!$E$91)</f>
        <v>0</v>
      </c>
      <c r="AC75" s="177">
        <f>IF($C$75=$F$75,AC16*Data!$E$131*Data!AB$61,0)*(1+AC72)*(1+Data!$E$91)</f>
        <v>0</v>
      </c>
      <c r="AD75" s="177">
        <f>IF($C$75=$F$75,AD16*Data!$E$131*Data!AC$61,0)*(1+AD72)*(1+Data!$E$91)</f>
        <v>0</v>
      </c>
      <c r="AE75" s="177">
        <f>IF($C$75=$F$75,AE16*Data!$E$131*Data!AD$61,0)*(1+AE72)*(1+Data!$E$91)</f>
        <v>0</v>
      </c>
      <c r="AF75" s="177">
        <f>IF($C$75=$F$75,AF16*Data!$E$131*Data!AE$61,0)*(1+AF72)*(1+Data!$E$91)</f>
        <v>0</v>
      </c>
      <c r="AG75" s="177">
        <f>IF($C$75=$F$75,AG16*Data!$E$131*Data!AF$61,0)*(1+AG72)*(1+Data!$E$91)</f>
        <v>0</v>
      </c>
      <c r="AH75" s="177">
        <f>IF($C$75=$F$75,AH16*Data!$E$131*Data!AG$61,0)*(1+AH72)*(1+Data!$E$91)</f>
        <v>0</v>
      </c>
      <c r="AI75" s="177">
        <f>IF($C$75=$F$75,AI16*Data!$E$131*Data!AH$61,0)*(1+AI72)*(1+Data!$E$91)</f>
        <v>0</v>
      </c>
      <c r="AJ75" s="177">
        <f>IF($C$75=$F$75,AJ16*Data!$E$131*Data!AI$61,0)*(1+AJ72)*(1+Data!$E$91)</f>
        <v>0</v>
      </c>
      <c r="AK75" s="177">
        <f>IF($C$75=$F$75,AK16*Data!$E$131*Data!AJ$61,0)*(1+AK72)*(1+Data!$E$91)</f>
        <v>0</v>
      </c>
      <c r="AL75" s="177">
        <f>IF($C$75=$F$75,AL16*Data!$E$131*Data!AK$61,0)*(1+AL72)*(1+Data!$E$91)</f>
        <v>0</v>
      </c>
      <c r="AM75" s="177">
        <f>IF($C$75=$F$75,AM16*Data!$E$131*Data!AL$61,0)*(1+AM72)*(1+Data!$E$91)</f>
        <v>0</v>
      </c>
      <c r="AN75" s="177">
        <f>IF($C$75=$F$75,AN16*Data!$E$131*Data!AM$61,0)*(1+AN72)*(1+Data!$E$91)</f>
        <v>0</v>
      </c>
      <c r="AO75" s="177">
        <f>IF($C$75=$F$75,AO16*Data!$E$131*Data!AN$61,0)*(1+AO72)*(1+Data!$E$91)</f>
        <v>0</v>
      </c>
      <c r="AP75" s="17"/>
    </row>
    <row r="76" spans="1:42" hidden="1" outlineLevel="1" x14ac:dyDescent="0.25">
      <c r="A76" s="12"/>
      <c r="B76" s="13"/>
      <c r="C76" s="19" t="s">
        <v>476</v>
      </c>
      <c r="D76" s="45"/>
      <c r="E76" s="15"/>
      <c r="F76" s="158"/>
      <c r="G76" s="14"/>
      <c r="H76" s="28"/>
      <c r="I76" s="182">
        <f>SUM(I64:I66)+I69+I68+SUM(I73:I75)</f>
        <v>228243.96967544651</v>
      </c>
      <c r="J76" s="182">
        <f t="shared" ref="J76:AN76" si="7">SUM(J64:J66)+J69+J68+SUM(J73:J75)</f>
        <v>203240.21409139025</v>
      </c>
      <c r="K76" s="182">
        <f t="shared" si="7"/>
        <v>203240.21409139025</v>
      </c>
      <c r="L76" s="182">
        <f t="shared" si="7"/>
        <v>203240.21409139025</v>
      </c>
      <c r="M76" s="182">
        <f t="shared" si="7"/>
        <v>203240.21409139025</v>
      </c>
      <c r="N76" s="182">
        <f t="shared" si="7"/>
        <v>203240.21409139025</v>
      </c>
      <c r="O76" s="182">
        <f t="shared" si="7"/>
        <v>203240.21409139025</v>
      </c>
      <c r="P76" s="182">
        <f t="shared" si="7"/>
        <v>203240.21409139025</v>
      </c>
      <c r="Q76" s="182">
        <f t="shared" si="7"/>
        <v>203240.21409139025</v>
      </c>
      <c r="R76" s="182">
        <f t="shared" si="7"/>
        <v>203240.21409139025</v>
      </c>
      <c r="S76" s="182">
        <f t="shared" si="7"/>
        <v>203240.21409139025</v>
      </c>
      <c r="T76" s="182">
        <f t="shared" si="7"/>
        <v>203240.21409139025</v>
      </c>
      <c r="U76" s="182">
        <f t="shared" si="7"/>
        <v>0</v>
      </c>
      <c r="V76" s="182">
        <f t="shared" si="7"/>
        <v>0</v>
      </c>
      <c r="W76" s="182">
        <f t="shared" si="7"/>
        <v>0</v>
      </c>
      <c r="X76" s="182">
        <f t="shared" si="7"/>
        <v>0</v>
      </c>
      <c r="Y76" s="182">
        <f t="shared" si="7"/>
        <v>0</v>
      </c>
      <c r="Z76" s="182">
        <f t="shared" si="7"/>
        <v>0</v>
      </c>
      <c r="AA76" s="182">
        <f t="shared" si="7"/>
        <v>0</v>
      </c>
      <c r="AB76" s="182">
        <f t="shared" si="7"/>
        <v>0</v>
      </c>
      <c r="AC76" s="182">
        <f t="shared" si="7"/>
        <v>0</v>
      </c>
      <c r="AD76" s="182">
        <f t="shared" si="7"/>
        <v>0</v>
      </c>
      <c r="AE76" s="182">
        <f t="shared" si="7"/>
        <v>0</v>
      </c>
      <c r="AF76" s="182">
        <f t="shared" si="7"/>
        <v>0</v>
      </c>
      <c r="AG76" s="182">
        <f t="shared" si="7"/>
        <v>0</v>
      </c>
      <c r="AH76" s="182">
        <f t="shared" si="7"/>
        <v>0</v>
      </c>
      <c r="AI76" s="182">
        <f t="shared" si="7"/>
        <v>0</v>
      </c>
      <c r="AJ76" s="182">
        <f t="shared" si="7"/>
        <v>0</v>
      </c>
      <c r="AK76" s="182">
        <f t="shared" si="7"/>
        <v>0</v>
      </c>
      <c r="AL76" s="182">
        <f t="shared" si="7"/>
        <v>0</v>
      </c>
      <c r="AM76" s="182">
        <f t="shared" si="7"/>
        <v>0</v>
      </c>
      <c r="AN76" s="182">
        <f t="shared" si="7"/>
        <v>0</v>
      </c>
      <c r="AO76" s="182">
        <f>SUM(AO64:AO66)+AO69+AO68+SUM(AO73:AO75)</f>
        <v>0</v>
      </c>
      <c r="AP76" s="29"/>
    </row>
    <row r="77" spans="1:42" hidden="1" outlineLevel="1" x14ac:dyDescent="0.25">
      <c r="A77" s="12"/>
      <c r="B77" s="13"/>
      <c r="C77" s="96"/>
      <c r="D77" s="45"/>
      <c r="E77" s="15"/>
      <c r="F77" s="158"/>
      <c r="G77" s="14"/>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9"/>
    </row>
    <row r="78" spans="1:42" hidden="1" outlineLevel="1" x14ac:dyDescent="0.25">
      <c r="A78" s="12"/>
      <c r="B78" s="13"/>
      <c r="C78" s="37" t="s">
        <v>477</v>
      </c>
      <c r="D78" s="37"/>
      <c r="E78" s="38"/>
      <c r="F78" s="39"/>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17"/>
    </row>
    <row r="79" spans="1:42" s="140" customFormat="1" collapsed="1" x14ac:dyDescent="0.25">
      <c r="A79" s="78"/>
      <c r="B79" s="19"/>
      <c r="C79" s="44" t="s">
        <v>249</v>
      </c>
      <c r="D79" s="44"/>
      <c r="E79" s="21" t="s">
        <v>142</v>
      </c>
      <c r="F79" s="375" t="str">
        <f>Dashboard!I43</f>
        <v>2 Axle rigid</v>
      </c>
      <c r="G79" s="20"/>
      <c r="H79" s="49"/>
      <c r="I79" s="182">
        <f>-IF(COUNT($I$3:I$3)=(Dashboard!$I$31+1),INDEX(Data!$E$99:$E$101,MATCH($F$79,Data!$B$99:$B$101,0)),0)</f>
        <v>0</v>
      </c>
      <c r="J79" s="182">
        <f>-IF(COUNT($I$3:J$3)=(Dashboard!$I$31+1),INDEX(Data!$E$99:$E$101,MATCH($F$79,Data!$B$99:$B$101,0)),0)</f>
        <v>0</v>
      </c>
      <c r="K79" s="182">
        <f>-IF(COUNT($I$3:K$3)=(Dashboard!$I$31+1),INDEX(Data!$E$99:$E$101,MATCH($F$79,Data!$B$99:$B$101,0)),0)</f>
        <v>0</v>
      </c>
      <c r="L79" s="182">
        <f>-IF(COUNT($I$3:L$3)=(Dashboard!$I$31+1),INDEX(Data!$E$99:$E$101,MATCH($F$79,Data!$B$99:$B$101,0)),0)</f>
        <v>0</v>
      </c>
      <c r="M79" s="182">
        <f>-IF(COUNT($I$3:M$3)=(Dashboard!$I$31+1),INDEX(Data!$E$99:$E$101,MATCH($F$79,Data!$B$99:$B$101,0)),0)</f>
        <v>0</v>
      </c>
      <c r="N79" s="182">
        <f>-IF(COUNT($I$3:N$3)=(Dashboard!$I$31+1),INDEX(Data!$E$99:$E$101,MATCH($F$79,Data!$B$99:$B$101,0)),0)</f>
        <v>0</v>
      </c>
      <c r="O79" s="182">
        <f>-IF(COUNT($I$3:O$3)=(Dashboard!$I$31+1),INDEX(Data!$E$99:$E$101,MATCH($F$79,Data!$B$99:$B$101,0)),0)</f>
        <v>0</v>
      </c>
      <c r="P79" s="182">
        <f>-IF(COUNT($I$3:P$3)=(Dashboard!$I$31+1),INDEX(Data!$E$99:$E$101,MATCH($F$79,Data!$B$99:$B$101,0)),0)</f>
        <v>0</v>
      </c>
      <c r="Q79" s="182">
        <f>-IF(COUNT($I$3:Q$3)=(Dashboard!$I$31+1),INDEX(Data!$E$99:$E$101,MATCH($F$79,Data!$B$99:$B$101,0)),0)</f>
        <v>0</v>
      </c>
      <c r="R79" s="182">
        <f>-IF(COUNT($I$3:R$3)=(Dashboard!$I$31+1),INDEX(Data!$E$99:$E$101,MATCH($F$79,Data!$B$99:$B$101,0)),0)</f>
        <v>0</v>
      </c>
      <c r="S79" s="182">
        <f>-IF(COUNT($I$3:S$3)=(Dashboard!$I$31+1),INDEX(Data!$E$99:$E$101,MATCH($F$79,Data!$B$99:$B$101,0)),0)</f>
        <v>0</v>
      </c>
      <c r="T79" s="182">
        <f>-IF(COUNT($I$3:T$3)=(Dashboard!$I$31+1),INDEX(Data!$E$99:$E$101,MATCH($F$79,Data!$B$99:$B$101,0)),0)</f>
        <v>0</v>
      </c>
      <c r="U79" s="182">
        <f>-IF(COUNT($I$3:U$3)=(Dashboard!$I$31+1),INDEX(Data!$E$99:$E$101,MATCH($F$79,Data!$B$99:$B$101,0)),0)</f>
        <v>-52500</v>
      </c>
      <c r="V79" s="182">
        <f>-IF(COUNT($I$3:V$3)=(Dashboard!$I$31+1),INDEX(Data!$E$99:$E$101,MATCH($F$79,Data!$B$99:$B$101,0)),0)</f>
        <v>0</v>
      </c>
      <c r="W79" s="182">
        <f>-IF(COUNT($I$3:W$3)=(Dashboard!$I$31+1),INDEX(Data!$E$99:$E$101,MATCH($F$79,Data!$B$99:$B$101,0)),0)</f>
        <v>0</v>
      </c>
      <c r="X79" s="182">
        <f>-IF(COUNT($I$3:X$3)=(Dashboard!$I$31+1),INDEX(Data!$E$99:$E$101,MATCH($F$79,Data!$B$99:$B$101,0)),0)</f>
        <v>0</v>
      </c>
      <c r="Y79" s="182">
        <f>-IF(COUNT($I$3:Y$3)=(Dashboard!$I$31+1),INDEX(Data!$E$99:$E$101,MATCH($F$79,Data!$B$99:$B$101,0)),0)</f>
        <v>0</v>
      </c>
      <c r="Z79" s="182">
        <f>-IF(COUNT($I$3:Z$3)=(Dashboard!$I$31+1),INDEX(Data!$E$99:$E$101,MATCH($F$79,Data!$B$99:$B$101,0)),0)</f>
        <v>0</v>
      </c>
      <c r="AA79" s="182">
        <f>-IF(COUNT($I$3:AA$3)=(Dashboard!$I$31+1),INDEX(Data!$E$99:$E$101,MATCH($F$79,Data!$B$99:$B$101,0)),0)</f>
        <v>0</v>
      </c>
      <c r="AB79" s="182">
        <f>-IF(COUNT($I$3:AB$3)=(Dashboard!$I$31+1),INDEX(Data!$E$99:$E$101,MATCH($F$79,Data!$B$99:$B$101,0)),0)</f>
        <v>0</v>
      </c>
      <c r="AC79" s="182">
        <f>-IF(COUNT($I$3:AC$3)=(Dashboard!$I$31+1),INDEX(Data!$E$99:$E$101,MATCH($F$79,Data!$B$99:$B$101,0)),0)</f>
        <v>0</v>
      </c>
      <c r="AD79" s="182">
        <f>-IF(COUNT($I$3:AD$3)=(Dashboard!$I$31+1),INDEX(Data!$E$99:$E$101,MATCH($F$79,Data!$B$99:$B$101,0)),0)</f>
        <v>0</v>
      </c>
      <c r="AE79" s="182">
        <f>-IF(COUNT($I$3:AE$3)=(Dashboard!$I$31+1),INDEX(Data!$E$99:$E$101,MATCH($F$79,Data!$B$99:$B$101,0)),0)</f>
        <v>0</v>
      </c>
      <c r="AF79" s="182">
        <f>-IF(COUNT($I$3:AF$3)=(Dashboard!$I$31+1),INDEX(Data!$E$99:$E$101,MATCH($F$79,Data!$B$99:$B$101,0)),0)</f>
        <v>0</v>
      </c>
      <c r="AG79" s="182">
        <f>-IF(COUNT($I$3:AG$3)=(Dashboard!$I$31+1),INDEX(Data!$E$99:$E$101,MATCH($F$79,Data!$B$99:$B$101,0)),0)</f>
        <v>0</v>
      </c>
      <c r="AH79" s="182">
        <f>-IF(COUNT($I$3:AH$3)=(Dashboard!$I$31+1),INDEX(Data!$E$99:$E$101,MATCH($F$79,Data!$B$99:$B$101,0)),0)</f>
        <v>0</v>
      </c>
      <c r="AI79" s="182">
        <f>-IF(COUNT($I$3:AI$3)=(Dashboard!$I$31+1),INDEX(Data!$E$99:$E$101,MATCH($F$79,Data!$B$99:$B$101,0)),0)</f>
        <v>0</v>
      </c>
      <c r="AJ79" s="182">
        <f>-IF(COUNT($I$3:AJ$3)=(Dashboard!$I$31+1),INDEX(Data!$E$99:$E$101,MATCH($F$79,Data!$B$99:$B$101,0)),0)</f>
        <v>0</v>
      </c>
      <c r="AK79" s="182">
        <f>-IF(COUNT($I$3:AK$3)=(Dashboard!$I$31+1),INDEX(Data!$E$99:$E$101,MATCH($F$79,Data!$B$99:$B$101,0)),0)</f>
        <v>0</v>
      </c>
      <c r="AL79" s="182">
        <f>-IF(COUNT($I$3:AL$3)=(Dashboard!$I$31+1),INDEX(Data!$E$99:$E$101,MATCH($F$79,Data!$B$99:$B$101,0)),0)</f>
        <v>0</v>
      </c>
      <c r="AM79" s="182">
        <f>-IF(COUNT($I$3:AM$3)=(Dashboard!$I$31+1),INDEX(Data!$E$99:$E$101,MATCH($F$79,Data!$B$99:$B$101,0)),0)</f>
        <v>0</v>
      </c>
      <c r="AN79" s="182">
        <f>-IF(COUNT($I$3:AN$3)=(Dashboard!$I$31+1),INDEX(Data!$E$99:$E$101,MATCH($F$79,Data!$B$99:$B$101,0)),0)</f>
        <v>0</v>
      </c>
      <c r="AO79" s="182">
        <f>-IF(COUNT($I$3:AO$3)=(Dashboard!$I$31+1),INDEX(Data!$E$99:$E$101,MATCH($F$79,Data!$B$99:$B$101,0)),0)</f>
        <v>0</v>
      </c>
      <c r="AP79" s="50"/>
    </row>
    <row r="80" spans="1:42" s="140" customFormat="1" x14ac:dyDescent="0.25">
      <c r="A80" s="78"/>
      <c r="B80" s="19"/>
      <c r="C80" s="44"/>
      <c r="D80" s="44"/>
      <c r="E80" s="21"/>
      <c r="F80" s="375"/>
      <c r="G80" s="20"/>
      <c r="H80" s="49"/>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50"/>
    </row>
    <row r="81" spans="1:42" hidden="1" outlineLevel="1" x14ac:dyDescent="0.25">
      <c r="A81" s="12"/>
      <c r="B81" s="13"/>
      <c r="C81" s="20" t="s">
        <v>478</v>
      </c>
      <c r="D81" s="14"/>
      <c r="E81" s="15" t="s">
        <v>142</v>
      </c>
      <c r="F81" s="16"/>
      <c r="G81" s="231">
        <f>SUM(I81:AO81)</f>
        <v>3077765.5782782659</v>
      </c>
      <c r="H81" s="46"/>
      <c r="I81" s="56">
        <f>(I56+I76-I59+I79)*Data!H$9</f>
        <v>219465.3554571601</v>
      </c>
      <c r="J81" s="56">
        <f>(J56+J76-J59+J79)*Data!I$9</f>
        <v>187907.00267325281</v>
      </c>
      <c r="K81" s="56">
        <f>(K56+K76-K59+K79)*Data!J$9</f>
        <v>180679.81026274309</v>
      </c>
      <c r="L81" s="56">
        <f>(L56+L76-L59+L79)*Data!K$9</f>
        <v>173730.58679109911</v>
      </c>
      <c r="M81" s="56">
        <f>(M56+M76-M59+M79)*Data!L$9</f>
        <v>167048.64114528758</v>
      </c>
      <c r="N81" s="56">
        <f>(N56+N76-N59+N79)*Data!M$9</f>
        <v>160623.69340893035</v>
      </c>
      <c r="O81" s="56">
        <f>(O56+O76-O59+O79)*Data!N$9</f>
        <v>154445.85904704846</v>
      </c>
      <c r="P81" s="56">
        <f>(P56+P76-P59+P79)*Data!O$9</f>
        <v>148505.63369908501</v>
      </c>
      <c r="Q81" s="56">
        <f>(Q56+Q76-Q59+Q79)*Data!P$9</f>
        <v>142793.8785568125</v>
      </c>
      <c r="R81" s="56">
        <f>(R56+R76-R59+R79)*Data!Q$9</f>
        <v>137301.80630462739</v>
      </c>
      <c r="S81" s="56">
        <f>(S56+S76-S59+S79)*Data!R$9</f>
        <v>132020.9676006033</v>
      </c>
      <c r="T81" s="56">
        <f>(T56+T76-T59+T79)*Data!S$9</f>
        <v>126943.23807750313</v>
      </c>
      <c r="U81" s="56">
        <f>(U56+U76-U59+U79)*Data!T$9</f>
        <v>58954.078928745679</v>
      </c>
      <c r="V81" s="56">
        <f>(V56+V76-V59+V79)*Data!U$9</f>
        <v>86350.53225259186</v>
      </c>
      <c r="W81" s="56">
        <f>(W56+W76-W59+W79)*Data!V$9</f>
        <v>82415.567280505216</v>
      </c>
      <c r="X81" s="56">
        <f>(X56+X76-X59+X79)*Data!W$9</f>
        <v>78669.208062803649</v>
      </c>
      <c r="Y81" s="56">
        <f>(Y56+Y76-Y59+Y79)*Data!X$9</f>
        <v>75101.88550613189</v>
      </c>
      <c r="Z81" s="56">
        <f>(Z56+Z76-Z59+Z79)*Data!Y$9</f>
        <v>71704.545661173732</v>
      </c>
      <c r="AA81" s="56">
        <f>(AA56+AA76-AA59+AA79)*Data!Z$9</f>
        <v>68468.620365758441</v>
      </c>
      <c r="AB81" s="56">
        <f>(AB56+AB76-AB59+AB79)*Data!AA$9</f>
        <v>65385.999647784236</v>
      </c>
      <c r="AC81" s="56">
        <f>(AC56+AC76-AC59+AC79)*Data!AB$9</f>
        <v>62449.005777930273</v>
      </c>
      <c r="AD81" s="56">
        <f>(AD56+AD76-AD59+AD79)*Data!AC$9</f>
        <v>59650.36886923953</v>
      </c>
      <c r="AE81" s="56">
        <f>(AE56+AE76-AE59+AE79)*Data!AD$9</f>
        <v>56983.203927296279</v>
      </c>
      <c r="AF81" s="56">
        <f>(AF56+AF76-AF59+AF79)*Data!AE$9</f>
        <v>54440.989260922826</v>
      </c>
      <c r="AG81" s="56">
        <f>(AG56+AG76-AG59+AG79)*Data!AF$9</f>
        <v>52017.54616911053</v>
      </c>
      <c r="AH81" s="56">
        <f>(AH56+AH76-AH59+AH79)*Data!AG$9</f>
        <v>49707.019825309384</v>
      </c>
      <c r="AI81" s="56">
        <f>(AI56+AI76-AI59+AI79)*Data!AH$9</f>
        <v>47503.861285251856</v>
      </c>
      <c r="AJ81" s="56">
        <f>(AJ56+AJ76-AJ59+AJ79)*Data!AI$9</f>
        <v>45402.810549206588</v>
      </c>
      <c r="AK81" s="56">
        <f>(AK56+AK76-AK59+AK79)*Data!AJ$9</f>
        <v>43656.548605006334</v>
      </c>
      <c r="AL81" s="56">
        <f>(AL56+AL76-AL59+AL79)*Data!AK$9</f>
        <v>41977.45058173687</v>
      </c>
      <c r="AM81" s="56">
        <f>(AM56+AM76-AM59+AM79)*Data!AL$9</f>
        <v>40362.93325167006</v>
      </c>
      <c r="AN81" s="56">
        <f>(AN56+AN76-AN59+AN79)*Data!AM$9</f>
        <v>38810.512741990438</v>
      </c>
      <c r="AO81" s="56">
        <f>(AO56+AO76-AO59+AO79)*Data!AN$9</f>
        <v>-33713.583296052406</v>
      </c>
      <c r="AP81" s="17"/>
    </row>
    <row r="82" spans="1:42" hidden="1" outlineLevel="1" x14ac:dyDescent="0.25">
      <c r="A82" s="12"/>
      <c r="B82" s="13"/>
      <c r="C82" s="96"/>
      <c r="D82" s="45"/>
      <c r="E82" s="15"/>
      <c r="F82" s="16"/>
      <c r="G82" s="183">
        <f>G81/(SUM(H16:AN16)+SUM(H18:AN18))</f>
        <v>1.0275659649700406</v>
      </c>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9"/>
    </row>
    <row r="83" spans="1:42" hidden="1" outlineLevel="1" x14ac:dyDescent="0.25">
      <c r="A83" s="12"/>
      <c r="B83" s="13"/>
      <c r="C83" s="37" t="s">
        <v>479</v>
      </c>
      <c r="D83" s="37"/>
      <c r="E83" s="38"/>
      <c r="F83" s="39"/>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17"/>
    </row>
    <row r="84" spans="1:42" hidden="1" outlineLevel="1" x14ac:dyDescent="0.25">
      <c r="A84" s="12"/>
      <c r="B84" s="13"/>
      <c r="C84" s="14" t="s">
        <v>479</v>
      </c>
      <c r="D84" s="14"/>
      <c r="E84" s="15" t="s">
        <v>318</v>
      </c>
      <c r="F84" s="16"/>
      <c r="G84" s="14"/>
      <c r="H84" s="165"/>
      <c r="I84" s="165">
        <f t="shared" ref="I84:AO84" si="8">I42+I56+I76-I59+I79</f>
        <v>228243.96967544651</v>
      </c>
      <c r="J84" s="165">
        <f t="shared" si="8"/>
        <v>203240.21409139025</v>
      </c>
      <c r="K84" s="165">
        <f t="shared" si="8"/>
        <v>203240.21409139025</v>
      </c>
      <c r="L84" s="165">
        <f t="shared" si="8"/>
        <v>203240.21409139025</v>
      </c>
      <c r="M84" s="165">
        <f t="shared" si="8"/>
        <v>203240.21409139025</v>
      </c>
      <c r="N84" s="165">
        <f t="shared" si="8"/>
        <v>203240.21409139025</v>
      </c>
      <c r="O84" s="165">
        <f t="shared" si="8"/>
        <v>203240.21409139025</v>
      </c>
      <c r="P84" s="165">
        <f t="shared" si="8"/>
        <v>203240.21409139025</v>
      </c>
      <c r="Q84" s="165">
        <f t="shared" si="8"/>
        <v>203240.21409139025</v>
      </c>
      <c r="R84" s="165">
        <f t="shared" si="8"/>
        <v>203240.21409139025</v>
      </c>
      <c r="S84" s="165">
        <f t="shared" si="8"/>
        <v>203240.21409139025</v>
      </c>
      <c r="T84" s="165">
        <f t="shared" si="8"/>
        <v>263577.24936086597</v>
      </c>
      <c r="U84" s="165">
        <f t="shared" si="8"/>
        <v>158499.91024161575</v>
      </c>
      <c r="V84" s="165">
        <f t="shared" si="8"/>
        <v>209868.21820925534</v>
      </c>
      <c r="W84" s="165">
        <f t="shared" si="8"/>
        <v>208762.8159159699</v>
      </c>
      <c r="X84" s="165">
        <f t="shared" si="8"/>
        <v>207682.98658731746</v>
      </c>
      <c r="Y84" s="165">
        <f t="shared" si="8"/>
        <v>206628.03526408112</v>
      </c>
      <c r="Z84" s="165">
        <f t="shared" si="8"/>
        <v>205597.28809759556</v>
      </c>
      <c r="AA84" s="165">
        <f t="shared" si="8"/>
        <v>204590.09166849757</v>
      </c>
      <c r="AB84" s="165">
        <f t="shared" si="8"/>
        <v>203605.81232811086</v>
      </c>
      <c r="AC84" s="165">
        <f t="shared" si="8"/>
        <v>202643.83556170462</v>
      </c>
      <c r="AD84" s="165">
        <f t="shared" si="8"/>
        <v>201703.56537288826</v>
      </c>
      <c r="AE84" s="165">
        <f t="shared" si="8"/>
        <v>200784.42368843206</v>
      </c>
      <c r="AF84" s="165">
        <f t="shared" si="8"/>
        <v>199885.84978282635</v>
      </c>
      <c r="AG84" s="165">
        <f t="shared" si="8"/>
        <v>199007.29972191498</v>
      </c>
      <c r="AH84" s="165">
        <f t="shared" si="8"/>
        <v>198148.24582496207</v>
      </c>
      <c r="AI84" s="165">
        <f t="shared" si="8"/>
        <v>197308.17614453225</v>
      </c>
      <c r="AJ84" s="165">
        <f t="shared" si="8"/>
        <v>196486.59396358524</v>
      </c>
      <c r="AK84" s="165">
        <f t="shared" si="8"/>
        <v>196486.59396358524</v>
      </c>
      <c r="AL84" s="165">
        <f t="shared" si="8"/>
        <v>196486.59396358524</v>
      </c>
      <c r="AM84" s="165">
        <f t="shared" si="8"/>
        <v>196486.59396358524</v>
      </c>
      <c r="AN84" s="165">
        <f t="shared" si="8"/>
        <v>136149.55869410955</v>
      </c>
      <c r="AO84" s="165">
        <f t="shared" si="8"/>
        <v>-123000</v>
      </c>
      <c r="AP84" s="29"/>
    </row>
    <row r="85" spans="1:42" s="140" customFormat="1" hidden="1" outlineLevel="1" x14ac:dyDescent="0.25">
      <c r="A85" s="78"/>
      <c r="B85" s="19"/>
      <c r="C85" s="20" t="s">
        <v>480</v>
      </c>
      <c r="D85" s="20"/>
      <c r="E85" s="21" t="s">
        <v>318</v>
      </c>
      <c r="F85" s="48"/>
      <c r="G85" s="20"/>
      <c r="H85" s="182"/>
      <c r="I85" s="372">
        <f>I84*Data!H$9</f>
        <v>219465.3554571601</v>
      </c>
      <c r="J85" s="372">
        <f>J84*Data!I$9</f>
        <v>187907.00267325281</v>
      </c>
      <c r="K85" s="372">
        <f>K84*Data!J$9</f>
        <v>180679.81026274309</v>
      </c>
      <c r="L85" s="372">
        <f>L84*Data!K$9</f>
        <v>173730.58679109911</v>
      </c>
      <c r="M85" s="372">
        <f>M84*Data!L$9</f>
        <v>167048.64114528758</v>
      </c>
      <c r="N85" s="372">
        <f>N84*Data!M$9</f>
        <v>160623.69340893035</v>
      </c>
      <c r="O85" s="372">
        <f>O84*Data!N$9</f>
        <v>154445.85904704846</v>
      </c>
      <c r="P85" s="372">
        <f>P84*Data!O$9</f>
        <v>148505.63369908501</v>
      </c>
      <c r="Q85" s="372">
        <f>Q84*Data!P$9</f>
        <v>142793.8785568125</v>
      </c>
      <c r="R85" s="372">
        <f>R84*Data!Q$9</f>
        <v>137301.80630462739</v>
      </c>
      <c r="S85" s="372">
        <f>S84*Data!R$9</f>
        <v>132020.9676006033</v>
      </c>
      <c r="T85" s="372">
        <f>T84*Data!S$9</f>
        <v>164629.57228722598</v>
      </c>
      <c r="U85" s="372">
        <f>U84*Data!T$9</f>
        <v>95190.938745786872</v>
      </c>
      <c r="V85" s="372">
        <f>V84*Data!U$9</f>
        <v>121193.66669205454</v>
      </c>
      <c r="W85" s="372">
        <f>W84*Data!V$9</f>
        <v>115918.58116460395</v>
      </c>
      <c r="X85" s="372">
        <f>X84*Data!W$9</f>
        <v>110883.64448982166</v>
      </c>
      <c r="Y85" s="372">
        <f>Y84*Data!X$9</f>
        <v>106077.30514749537</v>
      </c>
      <c r="Z85" s="372">
        <f>Z84*Data!Y$9</f>
        <v>101488.6030086386</v>
      </c>
      <c r="AA85" s="372">
        <f>AA84*Data!Z$9</f>
        <v>97107.137046013129</v>
      </c>
      <c r="AB85" s="372">
        <f>AB84*Data!AA$9</f>
        <v>92923.034917259894</v>
      </c>
      <c r="AC85" s="372">
        <f>AC84*Data!AB$9</f>
        <v>88926.924306272253</v>
      </c>
      <c r="AD85" s="372">
        <f>AD84*Data!AC$9</f>
        <v>85109.905915722207</v>
      </c>
      <c r="AE85" s="372">
        <f>AE84*Data!AD$9</f>
        <v>81463.52801045269</v>
      </c>
      <c r="AF85" s="372">
        <f>AF84*Data!AE$9</f>
        <v>77979.762417803999</v>
      </c>
      <c r="AG85" s="372">
        <f>AG84*Data!AF$9</f>
        <v>74650.981896880883</v>
      </c>
      <c r="AH85" s="372">
        <f>AH84*Data!AG$9</f>
        <v>71469.938794319343</v>
      </c>
      <c r="AI85" s="372">
        <f>AI84*Data!AH$9</f>
        <v>68429.744909299887</v>
      </c>
      <c r="AJ85" s="372">
        <f>AJ84*Data!AI$9</f>
        <v>65523.852495406616</v>
      </c>
      <c r="AK85" s="372">
        <f>AK84*Data!AJ$9</f>
        <v>63003.704322506361</v>
      </c>
      <c r="AL85" s="372">
        <f>AL84*Data!AK$9</f>
        <v>60580.484925486897</v>
      </c>
      <c r="AM85" s="372">
        <f>AM84*Data!AL$9</f>
        <v>58250.466274506616</v>
      </c>
      <c r="AN85" s="372">
        <f>AN84*Data!AM$9</f>
        <v>38810.512741990438</v>
      </c>
      <c r="AO85" s="372">
        <f>AO84*Data!AN$9</f>
        <v>-33713.583296052406</v>
      </c>
      <c r="AP85" s="50"/>
    </row>
    <row r="86" spans="1:42" hidden="1" outlineLevel="1" x14ac:dyDescent="0.25">
      <c r="A86" s="12"/>
      <c r="B86" s="13"/>
      <c r="C86" s="14" t="s">
        <v>479</v>
      </c>
      <c r="D86" s="14"/>
      <c r="E86" s="15" t="s">
        <v>54</v>
      </c>
      <c r="F86" s="16"/>
      <c r="G86" s="159">
        <f>SUM(H85:AO85)</f>
        <v>3610421.9421601458</v>
      </c>
      <c r="H86" s="165"/>
      <c r="I86" s="165"/>
      <c r="J86" s="165"/>
      <c r="K86" s="165"/>
      <c r="L86" s="165"/>
      <c r="M86" s="165"/>
      <c r="N86" s="165"/>
      <c r="O86" s="165"/>
      <c r="P86" s="165"/>
      <c r="Q86" s="165"/>
      <c r="R86" s="165"/>
      <c r="S86" s="165"/>
      <c r="T86" s="165"/>
      <c r="U86" s="165"/>
      <c r="V86" s="165"/>
      <c r="W86" s="28"/>
      <c r="X86" s="28"/>
      <c r="Y86" s="28"/>
      <c r="Z86" s="28"/>
      <c r="AA86" s="28"/>
      <c r="AB86" s="28"/>
      <c r="AC86" s="28"/>
      <c r="AD86" s="28"/>
      <c r="AE86" s="28"/>
      <c r="AF86" s="28"/>
      <c r="AG86" s="28"/>
      <c r="AH86" s="28"/>
      <c r="AI86" s="28"/>
      <c r="AJ86" s="28"/>
      <c r="AK86" s="28"/>
      <c r="AL86" s="28"/>
      <c r="AM86" s="28"/>
      <c r="AN86" s="28"/>
      <c r="AO86" s="28"/>
      <c r="AP86" s="29"/>
    </row>
    <row r="87" spans="1:42" hidden="1" outlineLevel="1" x14ac:dyDescent="0.25">
      <c r="A87" s="12"/>
      <c r="B87" s="13"/>
      <c r="C87" s="44" t="s">
        <v>481</v>
      </c>
      <c r="D87" s="45"/>
      <c r="E87" s="15" t="s">
        <v>261</v>
      </c>
      <c r="F87" s="16"/>
      <c r="G87" s="183">
        <f>G86/(SUM(H16:AN16)+SUM(H18:AN18))</f>
        <v>1.2054026249199206</v>
      </c>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9"/>
    </row>
    <row r="88" spans="1:42" hidden="1" outlineLevel="1" x14ac:dyDescent="0.25">
      <c r="A88" s="12"/>
      <c r="B88" s="13"/>
      <c r="C88" s="41"/>
      <c r="D88" s="41"/>
      <c r="E88" s="15"/>
      <c r="F88" s="16"/>
      <c r="G88" s="14"/>
      <c r="I88" s="141"/>
      <c r="J88" s="141"/>
      <c r="K88" s="141"/>
      <c r="L88" s="141"/>
      <c r="M88" s="141"/>
      <c r="N88" s="141"/>
      <c r="O88" s="141"/>
      <c r="P88" s="141"/>
      <c r="Q88" s="141"/>
      <c r="R88" s="141"/>
      <c r="S88" s="141"/>
      <c r="T88" s="141"/>
      <c r="U88" s="141"/>
      <c r="V88" s="141"/>
      <c r="W88" s="141"/>
      <c r="X88" s="141"/>
      <c r="Y88" s="141"/>
      <c r="Z88" s="141"/>
      <c r="AA88" s="141"/>
      <c r="AB88" s="141"/>
      <c r="AC88" s="14"/>
      <c r="AD88" s="14"/>
      <c r="AE88" s="14"/>
      <c r="AF88" s="14"/>
      <c r="AG88" s="14"/>
      <c r="AH88" s="14"/>
      <c r="AI88" s="14"/>
      <c r="AJ88" s="14"/>
      <c r="AK88" s="14"/>
      <c r="AL88" s="14"/>
      <c r="AM88" s="14"/>
      <c r="AN88" s="14"/>
      <c r="AO88" s="14"/>
      <c r="AP88" s="17"/>
    </row>
    <row r="89" spans="1:42" hidden="1" outlineLevel="1" x14ac:dyDescent="0.25">
      <c r="A89" s="12"/>
      <c r="B89" s="13"/>
      <c r="C89" s="37" t="s">
        <v>515</v>
      </c>
      <c r="D89" s="37"/>
      <c r="E89" s="38"/>
      <c r="F89" s="39"/>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17"/>
    </row>
    <row r="90" spans="1:42" hidden="1" outlineLevel="1" x14ac:dyDescent="0.25">
      <c r="A90" s="12"/>
      <c r="B90" s="13"/>
      <c r="C90" s="14"/>
      <c r="D90" s="14"/>
      <c r="E90" s="15"/>
      <c r="F90" s="16"/>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row>
    <row r="91" spans="1:42" hidden="1" outlineLevel="1" x14ac:dyDescent="0.25">
      <c r="A91" s="12"/>
      <c r="B91" s="13"/>
      <c r="C91" s="20" t="s">
        <v>602</v>
      </c>
      <c r="D91" s="45"/>
      <c r="E91" s="15"/>
      <c r="F91" s="16"/>
      <c r="G91" s="165"/>
      <c r="H91" s="165"/>
      <c r="I91" s="165"/>
      <c r="J91" s="165"/>
      <c r="K91" s="165"/>
      <c r="L91" s="165"/>
      <c r="M91" s="165"/>
      <c r="N91" s="165"/>
      <c r="O91" s="165"/>
      <c r="P91" s="165"/>
      <c r="Q91" s="165"/>
      <c r="R91" s="165"/>
      <c r="S91" s="165"/>
      <c r="T91" s="165"/>
      <c r="U91" s="28"/>
      <c r="V91" s="28"/>
      <c r="W91" s="28"/>
      <c r="X91" s="28"/>
      <c r="Y91" s="28"/>
      <c r="Z91" s="28"/>
      <c r="AA91" s="28"/>
      <c r="AB91" s="28"/>
      <c r="AC91" s="28"/>
      <c r="AD91" s="28"/>
      <c r="AE91" s="28"/>
      <c r="AF91" s="28"/>
      <c r="AG91" s="28"/>
      <c r="AH91" s="28"/>
      <c r="AI91" s="28"/>
      <c r="AJ91" s="28"/>
      <c r="AK91" s="28"/>
      <c r="AL91" s="28"/>
      <c r="AM91" s="28"/>
      <c r="AN91" s="28"/>
      <c r="AO91" s="28"/>
      <c r="AP91" s="29"/>
    </row>
    <row r="92" spans="1:42" hidden="1" outlineLevel="1" x14ac:dyDescent="0.25">
      <c r="A92" s="12"/>
      <c r="B92" s="13"/>
      <c r="C92" s="45" t="s">
        <v>517</v>
      </c>
      <c r="D92" s="45"/>
      <c r="E92" s="15" t="s">
        <v>342</v>
      </c>
      <c r="F92" s="179">
        <f>Data!$E$396</f>
        <v>105600</v>
      </c>
      <c r="G92" s="165"/>
      <c r="H92" s="165"/>
      <c r="I92" s="165"/>
      <c r="J92" s="165"/>
      <c r="K92" s="165"/>
      <c r="L92" s="165"/>
      <c r="M92" s="165"/>
      <c r="N92" s="165"/>
      <c r="O92" s="165"/>
      <c r="P92" s="165"/>
      <c r="Q92" s="165"/>
      <c r="R92" s="165"/>
      <c r="S92" s="165"/>
      <c r="T92" s="165"/>
      <c r="U92" s="28"/>
      <c r="V92" s="28"/>
      <c r="W92" s="28"/>
      <c r="X92" s="28"/>
      <c r="Y92" s="28"/>
      <c r="Z92" s="28"/>
      <c r="AA92" s="28"/>
      <c r="AB92" s="28"/>
      <c r="AC92" s="28"/>
      <c r="AD92" s="28"/>
      <c r="AE92" s="28"/>
      <c r="AF92" s="28"/>
      <c r="AG92" s="28"/>
      <c r="AH92" s="28"/>
      <c r="AI92" s="28"/>
      <c r="AJ92" s="28"/>
      <c r="AK92" s="28"/>
      <c r="AL92" s="28"/>
      <c r="AM92" s="28"/>
      <c r="AN92" s="28"/>
      <c r="AO92" s="28"/>
      <c r="AP92" s="29"/>
    </row>
    <row r="93" spans="1:42" hidden="1" outlineLevel="1" x14ac:dyDescent="0.25">
      <c r="A93" s="12"/>
      <c r="B93" s="13"/>
      <c r="C93" s="45" t="s">
        <v>518</v>
      </c>
      <c r="D93" s="45"/>
      <c r="E93" s="15" t="s">
        <v>142</v>
      </c>
      <c r="F93" s="179"/>
      <c r="G93" s="186">
        <f>F92*Data!G16/1000</f>
        <v>9187.2000000000007</v>
      </c>
      <c r="H93" s="165"/>
      <c r="I93" s="165"/>
      <c r="J93" s="165"/>
      <c r="K93" s="165"/>
      <c r="L93" s="165"/>
      <c r="M93" s="165"/>
      <c r="N93" s="165"/>
      <c r="O93" s="165"/>
      <c r="P93" s="165"/>
      <c r="Q93" s="165"/>
      <c r="R93" s="165"/>
      <c r="S93" s="165"/>
      <c r="T93" s="165"/>
      <c r="U93" s="28"/>
      <c r="V93" s="28"/>
      <c r="W93" s="28"/>
      <c r="X93" s="28"/>
      <c r="Y93" s="28"/>
      <c r="Z93" s="28"/>
      <c r="AA93" s="28"/>
      <c r="AB93" s="28"/>
      <c r="AC93" s="28"/>
      <c r="AD93" s="28"/>
      <c r="AE93" s="28"/>
      <c r="AF93" s="28"/>
      <c r="AG93" s="28"/>
      <c r="AH93" s="28"/>
      <c r="AI93" s="28"/>
      <c r="AJ93" s="28"/>
      <c r="AK93" s="28"/>
      <c r="AL93" s="28"/>
      <c r="AM93" s="28"/>
      <c r="AN93" s="28"/>
      <c r="AO93" s="28"/>
      <c r="AP93" s="29"/>
    </row>
    <row r="94" spans="1:42" hidden="1" outlineLevel="1" x14ac:dyDescent="0.25">
      <c r="A94" s="12"/>
      <c r="B94" s="13"/>
      <c r="C94" s="45" t="s">
        <v>518</v>
      </c>
      <c r="D94" s="45"/>
      <c r="E94" s="15" t="s">
        <v>261</v>
      </c>
      <c r="F94" s="179"/>
      <c r="G94" s="184">
        <f>G93/SUM(H18:AN18)</f>
        <v>4.9076923076923082E-3</v>
      </c>
      <c r="H94" s="165"/>
      <c r="I94" s="165"/>
      <c r="J94" s="165"/>
      <c r="K94" s="165"/>
      <c r="L94" s="165"/>
      <c r="M94" s="165"/>
      <c r="N94" s="165"/>
      <c r="O94" s="165"/>
      <c r="P94" s="165"/>
      <c r="Q94" s="165"/>
      <c r="R94" s="165"/>
      <c r="S94" s="165"/>
      <c r="T94" s="165"/>
      <c r="U94" s="28"/>
      <c r="V94" s="28"/>
      <c r="W94" s="28"/>
      <c r="X94" s="28"/>
      <c r="Y94" s="28"/>
      <c r="Z94" s="28"/>
      <c r="AA94" s="28"/>
      <c r="AB94" s="28"/>
      <c r="AC94" s="28"/>
      <c r="AD94" s="28"/>
      <c r="AE94" s="28"/>
      <c r="AF94" s="28"/>
      <c r="AG94" s="28"/>
      <c r="AH94" s="28"/>
      <c r="AI94" s="28"/>
      <c r="AJ94" s="28"/>
      <c r="AK94" s="28"/>
      <c r="AL94" s="28"/>
      <c r="AM94" s="28"/>
      <c r="AN94" s="28"/>
      <c r="AO94" s="28"/>
      <c r="AP94" s="29"/>
    </row>
    <row r="95" spans="1:42" hidden="1" outlineLevel="1" x14ac:dyDescent="0.25">
      <c r="A95" s="12"/>
      <c r="B95" s="13"/>
      <c r="C95" s="45"/>
      <c r="D95" s="45"/>
      <c r="E95" s="15"/>
      <c r="F95" s="179"/>
      <c r="G95" s="184"/>
      <c r="H95" s="165"/>
      <c r="I95" s="165"/>
      <c r="J95" s="165"/>
      <c r="K95" s="165"/>
      <c r="L95" s="165"/>
      <c r="M95" s="165"/>
      <c r="N95" s="165"/>
      <c r="O95" s="165"/>
      <c r="P95" s="165"/>
      <c r="Q95" s="165"/>
      <c r="R95" s="165"/>
      <c r="S95" s="165"/>
      <c r="T95" s="165"/>
      <c r="U95" s="28"/>
      <c r="V95" s="28"/>
      <c r="W95" s="28"/>
      <c r="X95" s="28"/>
      <c r="Y95" s="28"/>
      <c r="Z95" s="28"/>
      <c r="AA95" s="28"/>
      <c r="AB95" s="28"/>
      <c r="AC95" s="28"/>
      <c r="AD95" s="28"/>
      <c r="AE95" s="28"/>
      <c r="AF95" s="28"/>
      <c r="AG95" s="28"/>
      <c r="AH95" s="28"/>
      <c r="AI95" s="28"/>
      <c r="AJ95" s="28"/>
      <c r="AK95" s="28"/>
      <c r="AL95" s="28"/>
      <c r="AM95" s="28"/>
      <c r="AN95" s="28"/>
      <c r="AO95" s="28"/>
      <c r="AP95" s="29"/>
    </row>
    <row r="96" spans="1:42" hidden="1" outlineLevel="1" x14ac:dyDescent="0.25">
      <c r="A96" s="12"/>
      <c r="B96" s="13"/>
      <c r="C96" s="20" t="s">
        <v>483</v>
      </c>
      <c r="D96" s="19"/>
      <c r="E96" s="15"/>
      <c r="F96" s="16"/>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7"/>
    </row>
    <row r="97" spans="1:42" hidden="1" outlineLevel="1" x14ac:dyDescent="0.25">
      <c r="A97" s="12"/>
      <c r="B97" s="13"/>
      <c r="C97" s="19" t="s">
        <v>599</v>
      </c>
      <c r="D97" s="19"/>
      <c r="E97" s="15"/>
      <c r="F97" s="16"/>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7"/>
    </row>
    <row r="98" spans="1:42" hidden="1" outlineLevel="1" x14ac:dyDescent="0.25">
      <c r="A98" s="12"/>
      <c r="B98" s="13"/>
      <c r="C98" s="45" t="s">
        <v>520</v>
      </c>
      <c r="D98" s="14"/>
      <c r="E98" s="15" t="s">
        <v>521</v>
      </c>
      <c r="F98" s="16"/>
      <c r="G98" s="14"/>
      <c r="H98" s="141"/>
      <c r="I98" s="141">
        <f t="shared" ref="I98:AO98" si="9">I18</f>
        <v>0</v>
      </c>
      <c r="J98" s="141">
        <f t="shared" si="9"/>
        <v>0</v>
      </c>
      <c r="K98" s="141">
        <f t="shared" si="9"/>
        <v>0</v>
      </c>
      <c r="L98" s="141">
        <f t="shared" si="9"/>
        <v>0</v>
      </c>
      <c r="M98" s="141">
        <f t="shared" si="9"/>
        <v>0</v>
      </c>
      <c r="N98" s="141">
        <f t="shared" si="9"/>
        <v>0</v>
      </c>
      <c r="O98" s="141">
        <f t="shared" si="9"/>
        <v>0</v>
      </c>
      <c r="P98" s="141">
        <f t="shared" si="9"/>
        <v>0</v>
      </c>
      <c r="Q98" s="141">
        <f t="shared" si="9"/>
        <v>0</v>
      </c>
      <c r="R98" s="141">
        <f t="shared" si="9"/>
        <v>0</v>
      </c>
      <c r="S98" s="141">
        <f t="shared" si="9"/>
        <v>0</v>
      </c>
      <c r="T98" s="141">
        <f t="shared" si="9"/>
        <v>0</v>
      </c>
      <c r="U98" s="141">
        <f t="shared" si="9"/>
        <v>93600</v>
      </c>
      <c r="V98" s="141">
        <f t="shared" si="9"/>
        <v>93600</v>
      </c>
      <c r="W98" s="141">
        <f t="shared" si="9"/>
        <v>93600</v>
      </c>
      <c r="X98" s="141">
        <f t="shared" si="9"/>
        <v>93600</v>
      </c>
      <c r="Y98" s="141">
        <f t="shared" si="9"/>
        <v>93600</v>
      </c>
      <c r="Z98" s="141">
        <f t="shared" si="9"/>
        <v>93600</v>
      </c>
      <c r="AA98" s="141">
        <f t="shared" si="9"/>
        <v>93600</v>
      </c>
      <c r="AB98" s="141">
        <f t="shared" si="9"/>
        <v>93600</v>
      </c>
      <c r="AC98" s="141">
        <f t="shared" si="9"/>
        <v>93600</v>
      </c>
      <c r="AD98" s="141">
        <f t="shared" si="9"/>
        <v>93600</v>
      </c>
      <c r="AE98" s="141">
        <f t="shared" si="9"/>
        <v>93600</v>
      </c>
      <c r="AF98" s="141">
        <f t="shared" si="9"/>
        <v>93600</v>
      </c>
      <c r="AG98" s="141">
        <f t="shared" si="9"/>
        <v>93600</v>
      </c>
      <c r="AH98" s="141">
        <f t="shared" si="9"/>
        <v>93600</v>
      </c>
      <c r="AI98" s="141">
        <f t="shared" si="9"/>
        <v>93600</v>
      </c>
      <c r="AJ98" s="141">
        <f t="shared" si="9"/>
        <v>93600</v>
      </c>
      <c r="AK98" s="141">
        <f t="shared" si="9"/>
        <v>93600</v>
      </c>
      <c r="AL98" s="141">
        <f t="shared" si="9"/>
        <v>93600</v>
      </c>
      <c r="AM98" s="141">
        <f t="shared" si="9"/>
        <v>93600</v>
      </c>
      <c r="AN98" s="141">
        <f t="shared" si="9"/>
        <v>93600</v>
      </c>
      <c r="AO98" s="141">
        <f t="shared" si="9"/>
        <v>0</v>
      </c>
      <c r="AP98" s="14"/>
    </row>
    <row r="99" spans="1:42" hidden="1" outlineLevel="1" x14ac:dyDescent="0.25">
      <c r="A99" s="12"/>
      <c r="B99" s="13"/>
      <c r="C99" s="20" t="s">
        <v>483</v>
      </c>
      <c r="D99" s="14"/>
      <c r="E99" s="15"/>
      <c r="F99" s="16"/>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4"/>
      <c r="AH99" s="14"/>
      <c r="AI99" s="14"/>
      <c r="AJ99" s="14"/>
      <c r="AK99" s="14"/>
      <c r="AL99" s="14"/>
      <c r="AM99" s="14"/>
      <c r="AN99" s="14"/>
      <c r="AO99" s="14"/>
      <c r="AP99" s="14"/>
    </row>
    <row r="100" spans="1:42" ht="14.25" hidden="1" customHeight="1" outlineLevel="1" x14ac:dyDescent="0.25">
      <c r="A100" s="54"/>
      <c r="B100" s="13"/>
      <c r="C100" s="45" t="s">
        <v>205</v>
      </c>
      <c r="D100" s="14"/>
      <c r="E100" s="70" t="s">
        <v>352</v>
      </c>
      <c r="F100" s="201">
        <f>Data!$E$465/1000</f>
        <v>0</v>
      </c>
      <c r="G100" s="56"/>
      <c r="H100" s="56"/>
      <c r="I100" s="56">
        <f>I$98*$F$100</f>
        <v>0</v>
      </c>
      <c r="J100" s="56">
        <f t="shared" ref="J100:AO100" si="10">J$98*$F$100</f>
        <v>0</v>
      </c>
      <c r="K100" s="56">
        <f t="shared" si="10"/>
        <v>0</v>
      </c>
      <c r="L100" s="56">
        <f t="shared" si="10"/>
        <v>0</v>
      </c>
      <c r="M100" s="56">
        <f t="shared" si="10"/>
        <v>0</v>
      </c>
      <c r="N100" s="56">
        <f t="shared" si="10"/>
        <v>0</v>
      </c>
      <c r="O100" s="56">
        <f t="shared" si="10"/>
        <v>0</v>
      </c>
      <c r="P100" s="56">
        <f t="shared" si="10"/>
        <v>0</v>
      </c>
      <c r="Q100" s="56">
        <f t="shared" si="10"/>
        <v>0</v>
      </c>
      <c r="R100" s="56">
        <f t="shared" si="10"/>
        <v>0</v>
      </c>
      <c r="S100" s="56">
        <f t="shared" si="10"/>
        <v>0</v>
      </c>
      <c r="T100" s="56">
        <f t="shared" si="10"/>
        <v>0</v>
      </c>
      <c r="U100" s="56">
        <f t="shared" si="10"/>
        <v>0</v>
      </c>
      <c r="V100" s="56">
        <f t="shared" si="10"/>
        <v>0</v>
      </c>
      <c r="W100" s="56">
        <f t="shared" si="10"/>
        <v>0</v>
      </c>
      <c r="X100" s="56">
        <f t="shared" si="10"/>
        <v>0</v>
      </c>
      <c r="Y100" s="56">
        <f t="shared" si="10"/>
        <v>0</v>
      </c>
      <c r="Z100" s="56">
        <f t="shared" si="10"/>
        <v>0</v>
      </c>
      <c r="AA100" s="56">
        <f t="shared" si="10"/>
        <v>0</v>
      </c>
      <c r="AB100" s="56">
        <f t="shared" si="10"/>
        <v>0</v>
      </c>
      <c r="AC100" s="56">
        <f t="shared" si="10"/>
        <v>0</v>
      </c>
      <c r="AD100" s="56">
        <f t="shared" si="10"/>
        <v>0</v>
      </c>
      <c r="AE100" s="56">
        <f t="shared" si="10"/>
        <v>0</v>
      </c>
      <c r="AF100" s="56">
        <f t="shared" si="10"/>
        <v>0</v>
      </c>
      <c r="AG100" s="56">
        <f t="shared" si="10"/>
        <v>0</v>
      </c>
      <c r="AH100" s="56">
        <f t="shared" si="10"/>
        <v>0</v>
      </c>
      <c r="AI100" s="56">
        <f t="shared" si="10"/>
        <v>0</v>
      </c>
      <c r="AJ100" s="56">
        <f t="shared" si="10"/>
        <v>0</v>
      </c>
      <c r="AK100" s="56">
        <f t="shared" si="10"/>
        <v>0</v>
      </c>
      <c r="AL100" s="56">
        <f t="shared" si="10"/>
        <v>0</v>
      </c>
      <c r="AM100" s="56">
        <f t="shared" si="10"/>
        <v>0</v>
      </c>
      <c r="AN100" s="56">
        <f t="shared" si="10"/>
        <v>0</v>
      </c>
      <c r="AO100" s="56">
        <f t="shared" si="10"/>
        <v>0</v>
      </c>
      <c r="AP100" s="29"/>
    </row>
    <row r="101" spans="1:42" hidden="1" outlineLevel="1" x14ac:dyDescent="0.25">
      <c r="A101" s="54"/>
      <c r="B101" s="13"/>
      <c r="C101" s="45" t="s">
        <v>484</v>
      </c>
      <c r="D101" s="14"/>
      <c r="E101" s="70" t="s">
        <v>352</v>
      </c>
      <c r="F101" s="223">
        <f>Data!$E$466</f>
        <v>0</v>
      </c>
      <c r="G101" s="56"/>
      <c r="H101" s="56"/>
      <c r="I101" s="56">
        <f>I$98*$F$101</f>
        <v>0</v>
      </c>
      <c r="J101" s="56">
        <f t="shared" ref="J101:AO101" si="11">J$98*$F$101</f>
        <v>0</v>
      </c>
      <c r="K101" s="56">
        <f t="shared" si="11"/>
        <v>0</v>
      </c>
      <c r="L101" s="56">
        <f t="shared" si="11"/>
        <v>0</v>
      </c>
      <c r="M101" s="56">
        <f t="shared" si="11"/>
        <v>0</v>
      </c>
      <c r="N101" s="56">
        <f t="shared" si="11"/>
        <v>0</v>
      </c>
      <c r="O101" s="56">
        <f t="shared" si="11"/>
        <v>0</v>
      </c>
      <c r="P101" s="56">
        <f t="shared" si="11"/>
        <v>0</v>
      </c>
      <c r="Q101" s="56">
        <f t="shared" si="11"/>
        <v>0</v>
      </c>
      <c r="R101" s="56">
        <f t="shared" si="11"/>
        <v>0</v>
      </c>
      <c r="S101" s="56">
        <f t="shared" si="11"/>
        <v>0</v>
      </c>
      <c r="T101" s="56">
        <f t="shared" si="11"/>
        <v>0</v>
      </c>
      <c r="U101" s="56">
        <f t="shared" si="11"/>
        <v>0</v>
      </c>
      <c r="V101" s="56">
        <f t="shared" si="11"/>
        <v>0</v>
      </c>
      <c r="W101" s="56">
        <f t="shared" si="11"/>
        <v>0</v>
      </c>
      <c r="X101" s="56">
        <f t="shared" si="11"/>
        <v>0</v>
      </c>
      <c r="Y101" s="56">
        <f t="shared" si="11"/>
        <v>0</v>
      </c>
      <c r="Z101" s="56">
        <f t="shared" si="11"/>
        <v>0</v>
      </c>
      <c r="AA101" s="56">
        <f t="shared" si="11"/>
        <v>0</v>
      </c>
      <c r="AB101" s="56">
        <f t="shared" si="11"/>
        <v>0</v>
      </c>
      <c r="AC101" s="56">
        <f t="shared" si="11"/>
        <v>0</v>
      </c>
      <c r="AD101" s="56">
        <f t="shared" si="11"/>
        <v>0</v>
      </c>
      <c r="AE101" s="56">
        <f t="shared" si="11"/>
        <v>0</v>
      </c>
      <c r="AF101" s="56">
        <f t="shared" si="11"/>
        <v>0</v>
      </c>
      <c r="AG101" s="56">
        <f t="shared" si="11"/>
        <v>0</v>
      </c>
      <c r="AH101" s="56">
        <f t="shared" si="11"/>
        <v>0</v>
      </c>
      <c r="AI101" s="56">
        <f t="shared" si="11"/>
        <v>0</v>
      </c>
      <c r="AJ101" s="56">
        <f t="shared" si="11"/>
        <v>0</v>
      </c>
      <c r="AK101" s="56">
        <f t="shared" si="11"/>
        <v>0</v>
      </c>
      <c r="AL101" s="56">
        <f t="shared" si="11"/>
        <v>0</v>
      </c>
      <c r="AM101" s="56">
        <f t="shared" si="11"/>
        <v>0</v>
      </c>
      <c r="AN101" s="56">
        <f t="shared" si="11"/>
        <v>0</v>
      </c>
      <c r="AO101" s="56">
        <f t="shared" si="11"/>
        <v>0</v>
      </c>
      <c r="AP101" s="29"/>
    </row>
    <row r="102" spans="1:42" hidden="1" outlineLevel="1" x14ac:dyDescent="0.25">
      <c r="A102" s="54"/>
      <c r="B102" s="13"/>
      <c r="C102" s="45" t="s">
        <v>285</v>
      </c>
      <c r="D102" s="14"/>
      <c r="E102" s="70" t="s">
        <v>352</v>
      </c>
      <c r="F102" s="201">
        <f>Data!$E$467/1000</f>
        <v>0</v>
      </c>
      <c r="G102" s="56"/>
      <c r="H102" s="56"/>
      <c r="I102" s="56">
        <f>I$98*$F$102</f>
        <v>0</v>
      </c>
      <c r="J102" s="56">
        <f t="shared" ref="J102:AO102" si="12">J$98*$F$102</f>
        <v>0</v>
      </c>
      <c r="K102" s="56">
        <f t="shared" si="12"/>
        <v>0</v>
      </c>
      <c r="L102" s="56">
        <f t="shared" si="12"/>
        <v>0</v>
      </c>
      <c r="M102" s="56">
        <f t="shared" si="12"/>
        <v>0</v>
      </c>
      <c r="N102" s="56">
        <f t="shared" si="12"/>
        <v>0</v>
      </c>
      <c r="O102" s="56">
        <f t="shared" si="12"/>
        <v>0</v>
      </c>
      <c r="P102" s="56">
        <f t="shared" si="12"/>
        <v>0</v>
      </c>
      <c r="Q102" s="56">
        <f t="shared" si="12"/>
        <v>0</v>
      </c>
      <c r="R102" s="56">
        <f t="shared" si="12"/>
        <v>0</v>
      </c>
      <c r="S102" s="56">
        <f t="shared" si="12"/>
        <v>0</v>
      </c>
      <c r="T102" s="56">
        <f t="shared" si="12"/>
        <v>0</v>
      </c>
      <c r="U102" s="56">
        <f t="shared" si="12"/>
        <v>0</v>
      </c>
      <c r="V102" s="56">
        <f t="shared" si="12"/>
        <v>0</v>
      </c>
      <c r="W102" s="56">
        <f t="shared" si="12"/>
        <v>0</v>
      </c>
      <c r="X102" s="56">
        <f t="shared" si="12"/>
        <v>0</v>
      </c>
      <c r="Y102" s="56">
        <f t="shared" si="12"/>
        <v>0</v>
      </c>
      <c r="Z102" s="56">
        <f t="shared" si="12"/>
        <v>0</v>
      </c>
      <c r="AA102" s="56">
        <f t="shared" si="12"/>
        <v>0</v>
      </c>
      <c r="AB102" s="56">
        <f t="shared" si="12"/>
        <v>0</v>
      </c>
      <c r="AC102" s="56">
        <f t="shared" si="12"/>
        <v>0</v>
      </c>
      <c r="AD102" s="56">
        <f t="shared" si="12"/>
        <v>0</v>
      </c>
      <c r="AE102" s="56">
        <f t="shared" si="12"/>
        <v>0</v>
      </c>
      <c r="AF102" s="56">
        <f t="shared" si="12"/>
        <v>0</v>
      </c>
      <c r="AG102" s="56">
        <f t="shared" si="12"/>
        <v>0</v>
      </c>
      <c r="AH102" s="56">
        <f t="shared" si="12"/>
        <v>0</v>
      </c>
      <c r="AI102" s="56">
        <f t="shared" si="12"/>
        <v>0</v>
      </c>
      <c r="AJ102" s="56">
        <f t="shared" si="12"/>
        <v>0</v>
      </c>
      <c r="AK102" s="56">
        <f t="shared" si="12"/>
        <v>0</v>
      </c>
      <c r="AL102" s="56">
        <f t="shared" si="12"/>
        <v>0</v>
      </c>
      <c r="AM102" s="56">
        <f t="shared" si="12"/>
        <v>0</v>
      </c>
      <c r="AN102" s="56">
        <f t="shared" si="12"/>
        <v>0</v>
      </c>
      <c r="AO102" s="56">
        <f t="shared" si="12"/>
        <v>0</v>
      </c>
      <c r="AP102" s="29"/>
    </row>
    <row r="103" spans="1:42" hidden="1" outlineLevel="1" x14ac:dyDescent="0.25">
      <c r="A103" s="54"/>
      <c r="B103" s="13"/>
      <c r="C103" s="45" t="s">
        <v>220</v>
      </c>
      <c r="D103" s="14"/>
      <c r="E103" s="70" t="s">
        <v>352</v>
      </c>
      <c r="F103" s="201">
        <f>Data!$E$468/1000</f>
        <v>0</v>
      </c>
      <c r="G103" s="56"/>
      <c r="H103" s="56"/>
      <c r="I103" s="56">
        <f>I$98*$F$103</f>
        <v>0</v>
      </c>
      <c r="J103" s="56">
        <f t="shared" ref="J103:AO103" si="13">J$98*$F$103</f>
        <v>0</v>
      </c>
      <c r="K103" s="56">
        <f t="shared" si="13"/>
        <v>0</v>
      </c>
      <c r="L103" s="56">
        <f t="shared" si="13"/>
        <v>0</v>
      </c>
      <c r="M103" s="56">
        <f t="shared" si="13"/>
        <v>0</v>
      </c>
      <c r="N103" s="56">
        <f t="shared" si="13"/>
        <v>0</v>
      </c>
      <c r="O103" s="56">
        <f t="shared" si="13"/>
        <v>0</v>
      </c>
      <c r="P103" s="56">
        <f t="shared" si="13"/>
        <v>0</v>
      </c>
      <c r="Q103" s="56">
        <f t="shared" si="13"/>
        <v>0</v>
      </c>
      <c r="R103" s="56">
        <f t="shared" si="13"/>
        <v>0</v>
      </c>
      <c r="S103" s="56">
        <f t="shared" si="13"/>
        <v>0</v>
      </c>
      <c r="T103" s="56">
        <f t="shared" si="13"/>
        <v>0</v>
      </c>
      <c r="U103" s="56">
        <f t="shared" si="13"/>
        <v>0</v>
      </c>
      <c r="V103" s="56">
        <f t="shared" si="13"/>
        <v>0</v>
      </c>
      <c r="W103" s="56">
        <f t="shared" si="13"/>
        <v>0</v>
      </c>
      <c r="X103" s="56">
        <f t="shared" si="13"/>
        <v>0</v>
      </c>
      <c r="Y103" s="56">
        <f t="shared" si="13"/>
        <v>0</v>
      </c>
      <c r="Z103" s="56">
        <f t="shared" si="13"/>
        <v>0</v>
      </c>
      <c r="AA103" s="56">
        <f t="shared" si="13"/>
        <v>0</v>
      </c>
      <c r="AB103" s="56">
        <f t="shared" si="13"/>
        <v>0</v>
      </c>
      <c r="AC103" s="56">
        <f t="shared" si="13"/>
        <v>0</v>
      </c>
      <c r="AD103" s="56">
        <f t="shared" si="13"/>
        <v>0</v>
      </c>
      <c r="AE103" s="56">
        <f t="shared" si="13"/>
        <v>0</v>
      </c>
      <c r="AF103" s="56">
        <f t="shared" si="13"/>
        <v>0</v>
      </c>
      <c r="AG103" s="56">
        <f t="shared" si="13"/>
        <v>0</v>
      </c>
      <c r="AH103" s="56">
        <f t="shared" si="13"/>
        <v>0</v>
      </c>
      <c r="AI103" s="56">
        <f t="shared" si="13"/>
        <v>0</v>
      </c>
      <c r="AJ103" s="56">
        <f t="shared" si="13"/>
        <v>0</v>
      </c>
      <c r="AK103" s="56">
        <f t="shared" si="13"/>
        <v>0</v>
      </c>
      <c r="AL103" s="56">
        <f t="shared" si="13"/>
        <v>0</v>
      </c>
      <c r="AM103" s="56">
        <f t="shared" si="13"/>
        <v>0</v>
      </c>
      <c r="AN103" s="56">
        <f t="shared" si="13"/>
        <v>0</v>
      </c>
      <c r="AO103" s="56">
        <f t="shared" si="13"/>
        <v>0</v>
      </c>
      <c r="AP103" s="29"/>
    </row>
    <row r="104" spans="1:42" hidden="1" outlineLevel="1" x14ac:dyDescent="0.25">
      <c r="A104" s="54"/>
      <c r="B104" s="13"/>
      <c r="C104" s="45" t="s">
        <v>212</v>
      </c>
      <c r="D104" s="14"/>
      <c r="E104" s="70" t="s">
        <v>352</v>
      </c>
      <c r="F104" s="201">
        <f>Data!$E$469/1000</f>
        <v>0</v>
      </c>
      <c r="G104" s="56"/>
      <c r="H104" s="56"/>
      <c r="I104" s="56">
        <f>I$98*$F$104</f>
        <v>0</v>
      </c>
      <c r="J104" s="56">
        <f t="shared" ref="J104:AO104" si="14">J$98*$F$104</f>
        <v>0</v>
      </c>
      <c r="K104" s="56">
        <f t="shared" si="14"/>
        <v>0</v>
      </c>
      <c r="L104" s="56">
        <f t="shared" si="14"/>
        <v>0</v>
      </c>
      <c r="M104" s="56">
        <f t="shared" si="14"/>
        <v>0</v>
      </c>
      <c r="N104" s="56">
        <f t="shared" si="14"/>
        <v>0</v>
      </c>
      <c r="O104" s="56">
        <f t="shared" si="14"/>
        <v>0</v>
      </c>
      <c r="P104" s="56">
        <f t="shared" si="14"/>
        <v>0</v>
      </c>
      <c r="Q104" s="56">
        <f t="shared" si="14"/>
        <v>0</v>
      </c>
      <c r="R104" s="56">
        <f t="shared" si="14"/>
        <v>0</v>
      </c>
      <c r="S104" s="56">
        <f t="shared" si="14"/>
        <v>0</v>
      </c>
      <c r="T104" s="56">
        <f t="shared" si="14"/>
        <v>0</v>
      </c>
      <c r="U104" s="56">
        <f t="shared" si="14"/>
        <v>0</v>
      </c>
      <c r="V104" s="56">
        <f t="shared" si="14"/>
        <v>0</v>
      </c>
      <c r="W104" s="56">
        <f t="shared" si="14"/>
        <v>0</v>
      </c>
      <c r="X104" s="56">
        <f t="shared" si="14"/>
        <v>0</v>
      </c>
      <c r="Y104" s="56">
        <f t="shared" si="14"/>
        <v>0</v>
      </c>
      <c r="Z104" s="56">
        <f t="shared" si="14"/>
        <v>0</v>
      </c>
      <c r="AA104" s="56">
        <f t="shared" si="14"/>
        <v>0</v>
      </c>
      <c r="AB104" s="56">
        <f t="shared" si="14"/>
        <v>0</v>
      </c>
      <c r="AC104" s="56">
        <f t="shared" si="14"/>
        <v>0</v>
      </c>
      <c r="AD104" s="56">
        <f t="shared" si="14"/>
        <v>0</v>
      </c>
      <c r="AE104" s="56">
        <f t="shared" si="14"/>
        <v>0</v>
      </c>
      <c r="AF104" s="56">
        <f t="shared" si="14"/>
        <v>0</v>
      </c>
      <c r="AG104" s="56">
        <f t="shared" si="14"/>
        <v>0</v>
      </c>
      <c r="AH104" s="56">
        <f t="shared" si="14"/>
        <v>0</v>
      </c>
      <c r="AI104" s="56">
        <f t="shared" si="14"/>
        <v>0</v>
      </c>
      <c r="AJ104" s="56">
        <f t="shared" si="14"/>
        <v>0</v>
      </c>
      <c r="AK104" s="56">
        <f t="shared" si="14"/>
        <v>0</v>
      </c>
      <c r="AL104" s="56">
        <f t="shared" si="14"/>
        <v>0</v>
      </c>
      <c r="AM104" s="56">
        <f t="shared" si="14"/>
        <v>0</v>
      </c>
      <c r="AN104" s="56">
        <f t="shared" si="14"/>
        <v>0</v>
      </c>
      <c r="AO104" s="56">
        <f t="shared" si="14"/>
        <v>0</v>
      </c>
      <c r="AP104" s="29"/>
    </row>
    <row r="105" spans="1:42" hidden="1" outlineLevel="1" x14ac:dyDescent="0.25">
      <c r="A105" s="54"/>
      <c r="B105" s="13"/>
      <c r="C105" s="45" t="s">
        <v>485</v>
      </c>
      <c r="D105" s="14"/>
      <c r="E105" s="70" t="s">
        <v>352</v>
      </c>
      <c r="F105" s="201">
        <f>Data!$E$470/1000</f>
        <v>0</v>
      </c>
      <c r="G105" s="56"/>
      <c r="H105" s="56"/>
      <c r="I105" s="56">
        <f>I$98*$F$105</f>
        <v>0</v>
      </c>
      <c r="J105" s="56">
        <f t="shared" ref="J105:AO105" si="15">J$98*$F$105</f>
        <v>0</v>
      </c>
      <c r="K105" s="56">
        <f t="shared" si="15"/>
        <v>0</v>
      </c>
      <c r="L105" s="56">
        <f t="shared" si="15"/>
        <v>0</v>
      </c>
      <c r="M105" s="56">
        <f t="shared" si="15"/>
        <v>0</v>
      </c>
      <c r="N105" s="56">
        <f t="shared" si="15"/>
        <v>0</v>
      </c>
      <c r="O105" s="56">
        <f t="shared" si="15"/>
        <v>0</v>
      </c>
      <c r="P105" s="56">
        <f t="shared" si="15"/>
        <v>0</v>
      </c>
      <c r="Q105" s="56">
        <f t="shared" si="15"/>
        <v>0</v>
      </c>
      <c r="R105" s="56">
        <f t="shared" si="15"/>
        <v>0</v>
      </c>
      <c r="S105" s="56">
        <f t="shared" si="15"/>
        <v>0</v>
      </c>
      <c r="T105" s="56">
        <f t="shared" si="15"/>
        <v>0</v>
      </c>
      <c r="U105" s="56">
        <f t="shared" si="15"/>
        <v>0</v>
      </c>
      <c r="V105" s="56">
        <f t="shared" si="15"/>
        <v>0</v>
      </c>
      <c r="W105" s="56">
        <f t="shared" si="15"/>
        <v>0</v>
      </c>
      <c r="X105" s="56">
        <f t="shared" si="15"/>
        <v>0</v>
      </c>
      <c r="Y105" s="56">
        <f t="shared" si="15"/>
        <v>0</v>
      </c>
      <c r="Z105" s="56">
        <f t="shared" si="15"/>
        <v>0</v>
      </c>
      <c r="AA105" s="56">
        <f t="shared" si="15"/>
        <v>0</v>
      </c>
      <c r="AB105" s="56">
        <f t="shared" si="15"/>
        <v>0</v>
      </c>
      <c r="AC105" s="56">
        <f t="shared" si="15"/>
        <v>0</v>
      </c>
      <c r="AD105" s="56">
        <f t="shared" si="15"/>
        <v>0</v>
      </c>
      <c r="AE105" s="56">
        <f t="shared" si="15"/>
        <v>0</v>
      </c>
      <c r="AF105" s="56">
        <f t="shared" si="15"/>
        <v>0</v>
      </c>
      <c r="AG105" s="56">
        <f t="shared" si="15"/>
        <v>0</v>
      </c>
      <c r="AH105" s="56">
        <f t="shared" si="15"/>
        <v>0</v>
      </c>
      <c r="AI105" s="56">
        <f t="shared" si="15"/>
        <v>0</v>
      </c>
      <c r="AJ105" s="56">
        <f t="shared" si="15"/>
        <v>0</v>
      </c>
      <c r="AK105" s="56">
        <f t="shared" si="15"/>
        <v>0</v>
      </c>
      <c r="AL105" s="56">
        <f t="shared" si="15"/>
        <v>0</v>
      </c>
      <c r="AM105" s="56">
        <f t="shared" si="15"/>
        <v>0</v>
      </c>
      <c r="AN105" s="56">
        <f t="shared" si="15"/>
        <v>0</v>
      </c>
      <c r="AO105" s="56">
        <f t="shared" si="15"/>
        <v>0</v>
      </c>
      <c r="AP105" s="29"/>
    </row>
    <row r="106" spans="1:42" hidden="1" outlineLevel="1" x14ac:dyDescent="0.25">
      <c r="A106" s="54"/>
      <c r="B106" s="13"/>
      <c r="C106" s="45" t="s">
        <v>214</v>
      </c>
      <c r="D106" s="14"/>
      <c r="E106" s="70" t="s">
        <v>352</v>
      </c>
      <c r="F106" s="201">
        <f>Data!$E$471/1000</f>
        <v>0</v>
      </c>
      <c r="G106" s="56"/>
      <c r="H106" s="56"/>
      <c r="I106" s="56">
        <f>I$98*$F$106</f>
        <v>0</v>
      </c>
      <c r="J106" s="56">
        <f t="shared" ref="J106:AO106" si="16">J$98*$F$106</f>
        <v>0</v>
      </c>
      <c r="K106" s="56">
        <f t="shared" si="16"/>
        <v>0</v>
      </c>
      <c r="L106" s="56">
        <f t="shared" si="16"/>
        <v>0</v>
      </c>
      <c r="M106" s="56">
        <f t="shared" si="16"/>
        <v>0</v>
      </c>
      <c r="N106" s="56">
        <f t="shared" si="16"/>
        <v>0</v>
      </c>
      <c r="O106" s="56">
        <f t="shared" si="16"/>
        <v>0</v>
      </c>
      <c r="P106" s="56">
        <f t="shared" si="16"/>
        <v>0</v>
      </c>
      <c r="Q106" s="56">
        <f t="shared" si="16"/>
        <v>0</v>
      </c>
      <c r="R106" s="56">
        <f t="shared" si="16"/>
        <v>0</v>
      </c>
      <c r="S106" s="56">
        <f t="shared" si="16"/>
        <v>0</v>
      </c>
      <c r="T106" s="56">
        <f t="shared" si="16"/>
        <v>0</v>
      </c>
      <c r="U106" s="56">
        <f t="shared" si="16"/>
        <v>0</v>
      </c>
      <c r="V106" s="56">
        <f t="shared" si="16"/>
        <v>0</v>
      </c>
      <c r="W106" s="56">
        <f t="shared" si="16"/>
        <v>0</v>
      </c>
      <c r="X106" s="56">
        <f t="shared" si="16"/>
        <v>0</v>
      </c>
      <c r="Y106" s="56">
        <f t="shared" si="16"/>
        <v>0</v>
      </c>
      <c r="Z106" s="56">
        <f t="shared" si="16"/>
        <v>0</v>
      </c>
      <c r="AA106" s="56">
        <f t="shared" si="16"/>
        <v>0</v>
      </c>
      <c r="AB106" s="56">
        <f t="shared" si="16"/>
        <v>0</v>
      </c>
      <c r="AC106" s="56">
        <f t="shared" si="16"/>
        <v>0</v>
      </c>
      <c r="AD106" s="56">
        <f t="shared" si="16"/>
        <v>0</v>
      </c>
      <c r="AE106" s="56">
        <f t="shared" si="16"/>
        <v>0</v>
      </c>
      <c r="AF106" s="56">
        <f t="shared" si="16"/>
        <v>0</v>
      </c>
      <c r="AG106" s="56">
        <f t="shared" si="16"/>
        <v>0</v>
      </c>
      <c r="AH106" s="56">
        <f t="shared" si="16"/>
        <v>0</v>
      </c>
      <c r="AI106" s="56">
        <f t="shared" si="16"/>
        <v>0</v>
      </c>
      <c r="AJ106" s="56">
        <f t="shared" si="16"/>
        <v>0</v>
      </c>
      <c r="AK106" s="56">
        <f t="shared" si="16"/>
        <v>0</v>
      </c>
      <c r="AL106" s="56">
        <f t="shared" si="16"/>
        <v>0</v>
      </c>
      <c r="AM106" s="56">
        <f t="shared" si="16"/>
        <v>0</v>
      </c>
      <c r="AN106" s="56">
        <f t="shared" si="16"/>
        <v>0</v>
      </c>
      <c r="AO106" s="56">
        <f t="shared" si="16"/>
        <v>0</v>
      </c>
      <c r="AP106" s="29"/>
    </row>
    <row r="107" spans="1:42" hidden="1" outlineLevel="1" x14ac:dyDescent="0.25">
      <c r="A107" s="12"/>
      <c r="B107" s="13"/>
      <c r="C107" s="14"/>
      <c r="D107" s="14"/>
      <c r="E107" s="15"/>
      <c r="F107" s="16"/>
      <c r="G107" s="159"/>
      <c r="H107" s="159"/>
      <c r="I107" s="56"/>
      <c r="J107" s="56"/>
      <c r="K107" s="56"/>
      <c r="L107" s="56"/>
      <c r="M107" s="56"/>
      <c r="N107" s="56"/>
      <c r="O107" s="56"/>
      <c r="P107" s="56"/>
      <c r="Q107" s="56"/>
      <c r="R107" s="56"/>
      <c r="S107" s="56"/>
      <c r="T107" s="56"/>
      <c r="U107" s="56"/>
      <c r="V107" s="56"/>
      <c r="W107" s="56"/>
      <c r="X107" s="56"/>
      <c r="Y107" s="56"/>
      <c r="Z107" s="56"/>
      <c r="AA107" s="56"/>
      <c r="AB107" s="56"/>
      <c r="AC107" s="14"/>
      <c r="AD107" s="14"/>
      <c r="AE107" s="14"/>
      <c r="AF107" s="14"/>
      <c r="AG107" s="14"/>
      <c r="AH107" s="14"/>
      <c r="AI107" s="14"/>
      <c r="AJ107" s="14"/>
      <c r="AK107" s="14"/>
      <c r="AL107" s="14"/>
      <c r="AM107" s="14"/>
      <c r="AN107" s="14"/>
      <c r="AO107" s="14"/>
      <c r="AP107" s="14"/>
    </row>
    <row r="108" spans="1:42" hidden="1" outlineLevel="1" x14ac:dyDescent="0.25">
      <c r="A108" s="54"/>
      <c r="B108" s="13"/>
      <c r="C108" s="45" t="s">
        <v>205</v>
      </c>
      <c r="D108" s="14"/>
      <c r="E108" s="70" t="s">
        <v>474</v>
      </c>
      <c r="F108" s="200">
        <f>Data!$E$35/1000</f>
        <v>3.4099438202247192E-3</v>
      </c>
      <c r="G108" s="56"/>
      <c r="H108" s="56"/>
      <c r="I108" s="56">
        <f>I100*$F$108</f>
        <v>0</v>
      </c>
      <c r="J108" s="56">
        <f t="shared" ref="J108:AO108" si="17">J100*$F$108</f>
        <v>0</v>
      </c>
      <c r="K108" s="56">
        <f t="shared" si="17"/>
        <v>0</v>
      </c>
      <c r="L108" s="56">
        <f t="shared" si="17"/>
        <v>0</v>
      </c>
      <c r="M108" s="56">
        <f t="shared" si="17"/>
        <v>0</v>
      </c>
      <c r="N108" s="56">
        <f t="shared" si="17"/>
        <v>0</v>
      </c>
      <c r="O108" s="56">
        <f t="shared" si="17"/>
        <v>0</v>
      </c>
      <c r="P108" s="56">
        <f t="shared" si="17"/>
        <v>0</v>
      </c>
      <c r="Q108" s="56">
        <f t="shared" si="17"/>
        <v>0</v>
      </c>
      <c r="R108" s="56">
        <f t="shared" si="17"/>
        <v>0</v>
      </c>
      <c r="S108" s="56">
        <f t="shared" si="17"/>
        <v>0</v>
      </c>
      <c r="T108" s="56">
        <f t="shared" si="17"/>
        <v>0</v>
      </c>
      <c r="U108" s="56">
        <f t="shared" si="17"/>
        <v>0</v>
      </c>
      <c r="V108" s="56">
        <f t="shared" si="17"/>
        <v>0</v>
      </c>
      <c r="W108" s="56">
        <f t="shared" si="17"/>
        <v>0</v>
      </c>
      <c r="X108" s="56">
        <f t="shared" si="17"/>
        <v>0</v>
      </c>
      <c r="Y108" s="56">
        <f t="shared" si="17"/>
        <v>0</v>
      </c>
      <c r="Z108" s="56">
        <f t="shared" si="17"/>
        <v>0</v>
      </c>
      <c r="AA108" s="56">
        <f t="shared" si="17"/>
        <v>0</v>
      </c>
      <c r="AB108" s="56">
        <f t="shared" si="17"/>
        <v>0</v>
      </c>
      <c r="AC108" s="56">
        <f t="shared" si="17"/>
        <v>0</v>
      </c>
      <c r="AD108" s="56">
        <f t="shared" si="17"/>
        <v>0</v>
      </c>
      <c r="AE108" s="56">
        <f t="shared" si="17"/>
        <v>0</v>
      </c>
      <c r="AF108" s="56">
        <f t="shared" si="17"/>
        <v>0</v>
      </c>
      <c r="AG108" s="56">
        <f t="shared" si="17"/>
        <v>0</v>
      </c>
      <c r="AH108" s="56">
        <f t="shared" si="17"/>
        <v>0</v>
      </c>
      <c r="AI108" s="56">
        <f t="shared" si="17"/>
        <v>0</v>
      </c>
      <c r="AJ108" s="56">
        <f t="shared" si="17"/>
        <v>0</v>
      </c>
      <c r="AK108" s="56">
        <f t="shared" si="17"/>
        <v>0</v>
      </c>
      <c r="AL108" s="56">
        <f t="shared" si="17"/>
        <v>0</v>
      </c>
      <c r="AM108" s="56">
        <f t="shared" si="17"/>
        <v>0</v>
      </c>
      <c r="AN108" s="56">
        <f t="shared" si="17"/>
        <v>0</v>
      </c>
      <c r="AO108" s="56">
        <f t="shared" si="17"/>
        <v>0</v>
      </c>
      <c r="AP108" s="29"/>
    </row>
    <row r="109" spans="1:42" hidden="1" outlineLevel="1" x14ac:dyDescent="0.25">
      <c r="A109" s="54"/>
      <c r="B109" s="13"/>
      <c r="C109" s="45" t="s">
        <v>484</v>
      </c>
      <c r="D109" s="14"/>
      <c r="E109" s="70" t="s">
        <v>474</v>
      </c>
      <c r="F109" s="200"/>
      <c r="G109" s="56"/>
      <c r="H109" s="56"/>
      <c r="I109" s="56">
        <f>I101*Data!H$16/1000</f>
        <v>0</v>
      </c>
      <c r="J109" s="56">
        <f>J101*Data!I$16/1000</f>
        <v>0</v>
      </c>
      <c r="K109" s="56">
        <f>K101*Data!J$16/1000</f>
        <v>0</v>
      </c>
      <c r="L109" s="56">
        <f>L101*Data!K$16/1000</f>
        <v>0</v>
      </c>
      <c r="M109" s="56">
        <f>M101*Data!L$16/1000</f>
        <v>0</v>
      </c>
      <c r="N109" s="56">
        <f>N101*Data!M$16/1000</f>
        <v>0</v>
      </c>
      <c r="O109" s="56">
        <f>O101*Data!N$16/1000</f>
        <v>0</v>
      </c>
      <c r="P109" s="56">
        <f>P101*Data!O$16/1000</f>
        <v>0</v>
      </c>
      <c r="Q109" s="56">
        <f>Q101*Data!P$16/1000</f>
        <v>0</v>
      </c>
      <c r="R109" s="56">
        <f>R101*Data!Q$16/1000</f>
        <v>0</v>
      </c>
      <c r="S109" s="56">
        <f>S101*Data!R$16/1000</f>
        <v>0</v>
      </c>
      <c r="T109" s="56">
        <f>T101*Data!S$16/1000</f>
        <v>0</v>
      </c>
      <c r="U109" s="56">
        <f>U101*Data!T$16/1000</f>
        <v>0</v>
      </c>
      <c r="V109" s="56">
        <f>V101*Data!U$16/1000</f>
        <v>0</v>
      </c>
      <c r="W109" s="56">
        <f>W101*Data!V$16/1000</f>
        <v>0</v>
      </c>
      <c r="X109" s="56">
        <f>X101*Data!W$16/1000</f>
        <v>0</v>
      </c>
      <c r="Y109" s="56">
        <f>Y101*Data!X$16/1000</f>
        <v>0</v>
      </c>
      <c r="Z109" s="56">
        <f>Z101*Data!Y$16/1000</f>
        <v>0</v>
      </c>
      <c r="AA109" s="56">
        <f>AA101*Data!Z$16/1000</f>
        <v>0</v>
      </c>
      <c r="AB109" s="56">
        <f>AB101*Data!AA$16/1000</f>
        <v>0</v>
      </c>
      <c r="AC109" s="56">
        <f>AC101*Data!AB$16/1000</f>
        <v>0</v>
      </c>
      <c r="AD109" s="56">
        <f>AD101*Data!AC$16/1000</f>
        <v>0</v>
      </c>
      <c r="AE109" s="56">
        <f>AE101*Data!AD$16/1000</f>
        <v>0</v>
      </c>
      <c r="AF109" s="56">
        <f>AF101*Data!AE$16/1000</f>
        <v>0</v>
      </c>
      <c r="AG109" s="56">
        <f>AG101*Data!AF$16/1000</f>
        <v>0</v>
      </c>
      <c r="AH109" s="56">
        <f>AH101*Data!AG$16/1000</f>
        <v>0</v>
      </c>
      <c r="AI109" s="56">
        <f>AI101*Data!AH$16/1000</f>
        <v>0</v>
      </c>
      <c r="AJ109" s="56">
        <f>AJ101*Data!AI$16/1000</f>
        <v>0</v>
      </c>
      <c r="AK109" s="56">
        <f>AK101*Data!AJ$16/1000</f>
        <v>0</v>
      </c>
      <c r="AL109" s="56">
        <f>AL101*Data!AK$16/1000</f>
        <v>0</v>
      </c>
      <c r="AM109" s="56">
        <f>AM101*Data!AL$16/1000</f>
        <v>0</v>
      </c>
      <c r="AN109" s="56">
        <f>AN101*Data!AM$16/1000</f>
        <v>0</v>
      </c>
      <c r="AO109" s="56">
        <f>AO101*Data!AN$16/1000</f>
        <v>0</v>
      </c>
      <c r="AP109" s="29"/>
    </row>
    <row r="110" spans="1:42" hidden="1" outlineLevel="1" x14ac:dyDescent="0.25">
      <c r="A110" s="54"/>
      <c r="B110" s="13"/>
      <c r="C110" s="45" t="s">
        <v>285</v>
      </c>
      <c r="D110" s="14"/>
      <c r="E110" s="70" t="s">
        <v>474</v>
      </c>
      <c r="F110" s="200">
        <f>Data!$E$36/1000</f>
        <v>1.0822865168539326</v>
      </c>
      <c r="G110" s="56"/>
      <c r="H110" s="56"/>
      <c r="I110" s="56">
        <f>I102*$F$110</f>
        <v>0</v>
      </c>
      <c r="J110" s="56">
        <f t="shared" ref="J110:AO110" si="18">J102*$F$110</f>
        <v>0</v>
      </c>
      <c r="K110" s="56">
        <f t="shared" si="18"/>
        <v>0</v>
      </c>
      <c r="L110" s="56">
        <f t="shared" si="18"/>
        <v>0</v>
      </c>
      <c r="M110" s="56">
        <f t="shared" si="18"/>
        <v>0</v>
      </c>
      <c r="N110" s="56">
        <f t="shared" si="18"/>
        <v>0</v>
      </c>
      <c r="O110" s="56">
        <f t="shared" si="18"/>
        <v>0</v>
      </c>
      <c r="P110" s="56">
        <f t="shared" si="18"/>
        <v>0</v>
      </c>
      <c r="Q110" s="56">
        <f t="shared" si="18"/>
        <v>0</v>
      </c>
      <c r="R110" s="56">
        <f t="shared" si="18"/>
        <v>0</v>
      </c>
      <c r="S110" s="56">
        <f t="shared" si="18"/>
        <v>0</v>
      </c>
      <c r="T110" s="56">
        <f t="shared" si="18"/>
        <v>0</v>
      </c>
      <c r="U110" s="56">
        <f t="shared" si="18"/>
        <v>0</v>
      </c>
      <c r="V110" s="56">
        <f t="shared" si="18"/>
        <v>0</v>
      </c>
      <c r="W110" s="56">
        <f t="shared" si="18"/>
        <v>0</v>
      </c>
      <c r="X110" s="56">
        <f t="shared" si="18"/>
        <v>0</v>
      </c>
      <c r="Y110" s="56">
        <f t="shared" si="18"/>
        <v>0</v>
      </c>
      <c r="Z110" s="56">
        <f t="shared" si="18"/>
        <v>0</v>
      </c>
      <c r="AA110" s="56">
        <f t="shared" si="18"/>
        <v>0</v>
      </c>
      <c r="AB110" s="56">
        <f t="shared" si="18"/>
        <v>0</v>
      </c>
      <c r="AC110" s="56">
        <f t="shared" si="18"/>
        <v>0</v>
      </c>
      <c r="AD110" s="56">
        <f t="shared" si="18"/>
        <v>0</v>
      </c>
      <c r="AE110" s="56">
        <f t="shared" si="18"/>
        <v>0</v>
      </c>
      <c r="AF110" s="56">
        <f t="shared" si="18"/>
        <v>0</v>
      </c>
      <c r="AG110" s="56">
        <f t="shared" si="18"/>
        <v>0</v>
      </c>
      <c r="AH110" s="56">
        <f t="shared" si="18"/>
        <v>0</v>
      </c>
      <c r="AI110" s="56">
        <f t="shared" si="18"/>
        <v>0</v>
      </c>
      <c r="AJ110" s="56">
        <f t="shared" si="18"/>
        <v>0</v>
      </c>
      <c r="AK110" s="56">
        <f t="shared" si="18"/>
        <v>0</v>
      </c>
      <c r="AL110" s="56">
        <f t="shared" si="18"/>
        <v>0</v>
      </c>
      <c r="AM110" s="56">
        <f t="shared" si="18"/>
        <v>0</v>
      </c>
      <c r="AN110" s="56">
        <f t="shared" si="18"/>
        <v>0</v>
      </c>
      <c r="AO110" s="56">
        <f t="shared" si="18"/>
        <v>0</v>
      </c>
      <c r="AP110" s="29"/>
    </row>
    <row r="111" spans="1:42" hidden="1" outlineLevel="1" x14ac:dyDescent="0.25">
      <c r="A111" s="54"/>
      <c r="B111" s="13"/>
      <c r="C111" s="45" t="s">
        <v>220</v>
      </c>
      <c r="D111" s="14"/>
      <c r="E111" s="70" t="s">
        <v>474</v>
      </c>
      <c r="F111" s="200">
        <f>Data!$E$37/1000</f>
        <v>371.00188764044947</v>
      </c>
      <c r="G111" s="56"/>
      <c r="H111" s="56"/>
      <c r="I111" s="56">
        <f>I103*$F$111</f>
        <v>0</v>
      </c>
      <c r="J111" s="56">
        <f t="shared" ref="J111:AO111" si="19">J103*$F$111</f>
        <v>0</v>
      </c>
      <c r="K111" s="56">
        <f t="shared" si="19"/>
        <v>0</v>
      </c>
      <c r="L111" s="56">
        <f t="shared" si="19"/>
        <v>0</v>
      </c>
      <c r="M111" s="56">
        <f t="shared" si="19"/>
        <v>0</v>
      </c>
      <c r="N111" s="56">
        <f t="shared" si="19"/>
        <v>0</v>
      </c>
      <c r="O111" s="56">
        <f t="shared" si="19"/>
        <v>0</v>
      </c>
      <c r="P111" s="56">
        <f t="shared" si="19"/>
        <v>0</v>
      </c>
      <c r="Q111" s="56">
        <f t="shared" si="19"/>
        <v>0</v>
      </c>
      <c r="R111" s="56">
        <f t="shared" si="19"/>
        <v>0</v>
      </c>
      <c r="S111" s="56">
        <f t="shared" si="19"/>
        <v>0</v>
      </c>
      <c r="T111" s="56">
        <f t="shared" si="19"/>
        <v>0</v>
      </c>
      <c r="U111" s="56">
        <f t="shared" si="19"/>
        <v>0</v>
      </c>
      <c r="V111" s="56">
        <f t="shared" si="19"/>
        <v>0</v>
      </c>
      <c r="W111" s="56">
        <f t="shared" si="19"/>
        <v>0</v>
      </c>
      <c r="X111" s="56">
        <f t="shared" si="19"/>
        <v>0</v>
      </c>
      <c r="Y111" s="56">
        <f t="shared" si="19"/>
        <v>0</v>
      </c>
      <c r="Z111" s="56">
        <f t="shared" si="19"/>
        <v>0</v>
      </c>
      <c r="AA111" s="56">
        <f t="shared" si="19"/>
        <v>0</v>
      </c>
      <c r="AB111" s="56">
        <f t="shared" si="19"/>
        <v>0</v>
      </c>
      <c r="AC111" s="56">
        <f t="shared" si="19"/>
        <v>0</v>
      </c>
      <c r="AD111" s="56">
        <f t="shared" si="19"/>
        <v>0</v>
      </c>
      <c r="AE111" s="56">
        <f t="shared" si="19"/>
        <v>0</v>
      </c>
      <c r="AF111" s="56">
        <f t="shared" si="19"/>
        <v>0</v>
      </c>
      <c r="AG111" s="56">
        <f t="shared" si="19"/>
        <v>0</v>
      </c>
      <c r="AH111" s="56">
        <f t="shared" si="19"/>
        <v>0</v>
      </c>
      <c r="AI111" s="56">
        <f t="shared" si="19"/>
        <v>0</v>
      </c>
      <c r="AJ111" s="56">
        <f t="shared" si="19"/>
        <v>0</v>
      </c>
      <c r="AK111" s="56">
        <f t="shared" si="19"/>
        <v>0</v>
      </c>
      <c r="AL111" s="56">
        <f t="shared" si="19"/>
        <v>0</v>
      </c>
      <c r="AM111" s="56">
        <f t="shared" si="19"/>
        <v>0</v>
      </c>
      <c r="AN111" s="56">
        <f t="shared" si="19"/>
        <v>0</v>
      </c>
      <c r="AO111" s="56">
        <f t="shared" si="19"/>
        <v>0</v>
      </c>
      <c r="AP111" s="29"/>
    </row>
    <row r="112" spans="1:42" hidden="1" outlineLevel="1" x14ac:dyDescent="0.25">
      <c r="A112" s="54"/>
      <c r="B112" s="13"/>
      <c r="C112" s="45" t="s">
        <v>212</v>
      </c>
      <c r="D112" s="14"/>
      <c r="E112" s="70" t="s">
        <v>474</v>
      </c>
      <c r="F112" s="200">
        <f>Data!$E$39/1000</f>
        <v>0</v>
      </c>
      <c r="G112" s="56"/>
      <c r="H112" s="56"/>
      <c r="I112" s="56">
        <f>I104*$F$112</f>
        <v>0</v>
      </c>
      <c r="J112" s="56">
        <f t="shared" ref="J112:AO112" si="20">J104*$F$112</f>
        <v>0</v>
      </c>
      <c r="K112" s="56">
        <f t="shared" si="20"/>
        <v>0</v>
      </c>
      <c r="L112" s="56">
        <f t="shared" si="20"/>
        <v>0</v>
      </c>
      <c r="M112" s="56">
        <f t="shared" si="20"/>
        <v>0</v>
      </c>
      <c r="N112" s="56">
        <f t="shared" si="20"/>
        <v>0</v>
      </c>
      <c r="O112" s="56">
        <f t="shared" si="20"/>
        <v>0</v>
      </c>
      <c r="P112" s="56">
        <f t="shared" si="20"/>
        <v>0</v>
      </c>
      <c r="Q112" s="56">
        <f t="shared" si="20"/>
        <v>0</v>
      </c>
      <c r="R112" s="56">
        <f t="shared" si="20"/>
        <v>0</v>
      </c>
      <c r="S112" s="56">
        <f t="shared" si="20"/>
        <v>0</v>
      </c>
      <c r="T112" s="56">
        <f t="shared" si="20"/>
        <v>0</v>
      </c>
      <c r="U112" s="56">
        <f t="shared" si="20"/>
        <v>0</v>
      </c>
      <c r="V112" s="56">
        <f t="shared" si="20"/>
        <v>0</v>
      </c>
      <c r="W112" s="56">
        <f t="shared" si="20"/>
        <v>0</v>
      </c>
      <c r="X112" s="56">
        <f t="shared" si="20"/>
        <v>0</v>
      </c>
      <c r="Y112" s="56">
        <f t="shared" si="20"/>
        <v>0</v>
      </c>
      <c r="Z112" s="56">
        <f t="shared" si="20"/>
        <v>0</v>
      </c>
      <c r="AA112" s="56">
        <f t="shared" si="20"/>
        <v>0</v>
      </c>
      <c r="AB112" s="56">
        <f t="shared" si="20"/>
        <v>0</v>
      </c>
      <c r="AC112" s="56">
        <f t="shared" si="20"/>
        <v>0</v>
      </c>
      <c r="AD112" s="56">
        <f t="shared" si="20"/>
        <v>0</v>
      </c>
      <c r="AE112" s="56">
        <f t="shared" si="20"/>
        <v>0</v>
      </c>
      <c r="AF112" s="56">
        <f t="shared" si="20"/>
        <v>0</v>
      </c>
      <c r="AG112" s="56">
        <f t="shared" si="20"/>
        <v>0</v>
      </c>
      <c r="AH112" s="56">
        <f t="shared" si="20"/>
        <v>0</v>
      </c>
      <c r="AI112" s="56">
        <f t="shared" si="20"/>
        <v>0</v>
      </c>
      <c r="AJ112" s="56">
        <f t="shared" si="20"/>
        <v>0</v>
      </c>
      <c r="AK112" s="56">
        <f t="shared" si="20"/>
        <v>0</v>
      </c>
      <c r="AL112" s="56">
        <f t="shared" si="20"/>
        <v>0</v>
      </c>
      <c r="AM112" s="56">
        <f t="shared" si="20"/>
        <v>0</v>
      </c>
      <c r="AN112" s="56">
        <f t="shared" si="20"/>
        <v>0</v>
      </c>
      <c r="AO112" s="56">
        <f t="shared" si="20"/>
        <v>0</v>
      </c>
      <c r="AP112" s="29"/>
    </row>
    <row r="113" spans="1:42" hidden="1" outlineLevel="1" x14ac:dyDescent="0.25">
      <c r="A113" s="54"/>
      <c r="B113" s="13"/>
      <c r="C113" s="45" t="s">
        <v>485</v>
      </c>
      <c r="D113" s="14"/>
      <c r="E113" s="70" t="s">
        <v>474</v>
      </c>
      <c r="F113" s="200">
        <f>Data!$E$40/1000</f>
        <v>605.20914606741576</v>
      </c>
      <c r="G113" s="56"/>
      <c r="H113" s="56"/>
      <c r="I113" s="56">
        <f>I105*$F$113</f>
        <v>0</v>
      </c>
      <c r="J113" s="56">
        <f t="shared" ref="J113:AO113" si="21">J105*$F$113</f>
        <v>0</v>
      </c>
      <c r="K113" s="56">
        <f t="shared" si="21"/>
        <v>0</v>
      </c>
      <c r="L113" s="56">
        <f t="shared" si="21"/>
        <v>0</v>
      </c>
      <c r="M113" s="56">
        <f t="shared" si="21"/>
        <v>0</v>
      </c>
      <c r="N113" s="56">
        <f t="shared" si="21"/>
        <v>0</v>
      </c>
      <c r="O113" s="56">
        <f t="shared" si="21"/>
        <v>0</v>
      </c>
      <c r="P113" s="56">
        <f t="shared" si="21"/>
        <v>0</v>
      </c>
      <c r="Q113" s="56">
        <f t="shared" si="21"/>
        <v>0</v>
      </c>
      <c r="R113" s="56">
        <f t="shared" si="21"/>
        <v>0</v>
      </c>
      <c r="S113" s="56">
        <f t="shared" si="21"/>
        <v>0</v>
      </c>
      <c r="T113" s="56">
        <f t="shared" si="21"/>
        <v>0</v>
      </c>
      <c r="U113" s="56">
        <f t="shared" si="21"/>
        <v>0</v>
      </c>
      <c r="V113" s="56">
        <f t="shared" si="21"/>
        <v>0</v>
      </c>
      <c r="W113" s="56">
        <f t="shared" si="21"/>
        <v>0</v>
      </c>
      <c r="X113" s="56">
        <f t="shared" si="21"/>
        <v>0</v>
      </c>
      <c r="Y113" s="56">
        <f t="shared" si="21"/>
        <v>0</v>
      </c>
      <c r="Z113" s="56">
        <f t="shared" si="21"/>
        <v>0</v>
      </c>
      <c r="AA113" s="56">
        <f t="shared" si="21"/>
        <v>0</v>
      </c>
      <c r="AB113" s="56">
        <f t="shared" si="21"/>
        <v>0</v>
      </c>
      <c r="AC113" s="56">
        <f t="shared" si="21"/>
        <v>0</v>
      </c>
      <c r="AD113" s="56">
        <f t="shared" si="21"/>
        <v>0</v>
      </c>
      <c r="AE113" s="56">
        <f t="shared" si="21"/>
        <v>0</v>
      </c>
      <c r="AF113" s="56">
        <f t="shared" si="21"/>
        <v>0</v>
      </c>
      <c r="AG113" s="56">
        <f t="shared" si="21"/>
        <v>0</v>
      </c>
      <c r="AH113" s="56">
        <f t="shared" si="21"/>
        <v>0</v>
      </c>
      <c r="AI113" s="56">
        <f t="shared" si="21"/>
        <v>0</v>
      </c>
      <c r="AJ113" s="56">
        <f t="shared" si="21"/>
        <v>0</v>
      </c>
      <c r="AK113" s="56">
        <f t="shared" si="21"/>
        <v>0</v>
      </c>
      <c r="AL113" s="56">
        <f t="shared" si="21"/>
        <v>0</v>
      </c>
      <c r="AM113" s="56">
        <f t="shared" si="21"/>
        <v>0</v>
      </c>
      <c r="AN113" s="56">
        <f t="shared" si="21"/>
        <v>0</v>
      </c>
      <c r="AO113" s="56">
        <f t="shared" si="21"/>
        <v>0</v>
      </c>
      <c r="AP113" s="29"/>
    </row>
    <row r="114" spans="1:42" hidden="1" outlineLevel="1" x14ac:dyDescent="0.25">
      <c r="A114" s="54"/>
      <c r="B114" s="13"/>
      <c r="C114" s="45" t="s">
        <v>214</v>
      </c>
      <c r="D114" s="14"/>
      <c r="E114" s="70" t="s">
        <v>474</v>
      </c>
      <c r="F114" s="200">
        <f>Data!$E$41/1000</f>
        <v>0</v>
      </c>
      <c r="G114" s="56"/>
      <c r="H114" s="56"/>
      <c r="I114" s="56">
        <f>I106*$F$114</f>
        <v>0</v>
      </c>
      <c r="J114" s="56">
        <f t="shared" ref="J114:AO114" si="22">J106*$F$114</f>
        <v>0</v>
      </c>
      <c r="K114" s="56">
        <f t="shared" si="22"/>
        <v>0</v>
      </c>
      <c r="L114" s="56">
        <f t="shared" si="22"/>
        <v>0</v>
      </c>
      <c r="M114" s="56">
        <f t="shared" si="22"/>
        <v>0</v>
      </c>
      <c r="N114" s="56">
        <f t="shared" si="22"/>
        <v>0</v>
      </c>
      <c r="O114" s="56">
        <f t="shared" si="22"/>
        <v>0</v>
      </c>
      <c r="P114" s="56">
        <f t="shared" si="22"/>
        <v>0</v>
      </c>
      <c r="Q114" s="56">
        <f t="shared" si="22"/>
        <v>0</v>
      </c>
      <c r="R114" s="56">
        <f t="shared" si="22"/>
        <v>0</v>
      </c>
      <c r="S114" s="56">
        <f t="shared" si="22"/>
        <v>0</v>
      </c>
      <c r="T114" s="56">
        <f t="shared" si="22"/>
        <v>0</v>
      </c>
      <c r="U114" s="56">
        <f t="shared" si="22"/>
        <v>0</v>
      </c>
      <c r="V114" s="56">
        <f t="shared" si="22"/>
        <v>0</v>
      </c>
      <c r="W114" s="56">
        <f t="shared" si="22"/>
        <v>0</v>
      </c>
      <c r="X114" s="56">
        <f t="shared" si="22"/>
        <v>0</v>
      </c>
      <c r="Y114" s="56">
        <f t="shared" si="22"/>
        <v>0</v>
      </c>
      <c r="Z114" s="56">
        <f t="shared" si="22"/>
        <v>0</v>
      </c>
      <c r="AA114" s="56">
        <f t="shared" si="22"/>
        <v>0</v>
      </c>
      <c r="AB114" s="56">
        <f t="shared" si="22"/>
        <v>0</v>
      </c>
      <c r="AC114" s="56">
        <f t="shared" si="22"/>
        <v>0</v>
      </c>
      <c r="AD114" s="56">
        <f t="shared" si="22"/>
        <v>0</v>
      </c>
      <c r="AE114" s="56">
        <f t="shared" si="22"/>
        <v>0</v>
      </c>
      <c r="AF114" s="56">
        <f t="shared" si="22"/>
        <v>0</v>
      </c>
      <c r="AG114" s="56">
        <f t="shared" si="22"/>
        <v>0</v>
      </c>
      <c r="AH114" s="56">
        <f t="shared" si="22"/>
        <v>0</v>
      </c>
      <c r="AI114" s="56">
        <f t="shared" si="22"/>
        <v>0</v>
      </c>
      <c r="AJ114" s="56">
        <f t="shared" si="22"/>
        <v>0</v>
      </c>
      <c r="AK114" s="56">
        <f t="shared" si="22"/>
        <v>0</v>
      </c>
      <c r="AL114" s="56">
        <f t="shared" si="22"/>
        <v>0</v>
      </c>
      <c r="AM114" s="56">
        <f t="shared" si="22"/>
        <v>0</v>
      </c>
      <c r="AN114" s="56">
        <f t="shared" si="22"/>
        <v>0</v>
      </c>
      <c r="AO114" s="56">
        <f t="shared" si="22"/>
        <v>0</v>
      </c>
      <c r="AP114" s="29"/>
    </row>
    <row r="115" spans="1:42" hidden="1" outlineLevel="1" x14ac:dyDescent="0.25">
      <c r="A115" s="12"/>
      <c r="B115" s="13"/>
      <c r="C115" s="20" t="s">
        <v>486</v>
      </c>
      <c r="D115" s="14"/>
      <c r="E115" s="70" t="s">
        <v>474</v>
      </c>
      <c r="F115" s="16"/>
      <c r="G115" s="159"/>
      <c r="H115" s="185"/>
      <c r="I115" s="185">
        <f>SUM(I108:I114)</f>
        <v>0</v>
      </c>
      <c r="J115" s="185">
        <f>SUM(J108:J114)</f>
        <v>0</v>
      </c>
      <c r="K115" s="185">
        <f t="shared" ref="K115:V115" si="23">SUM(K108:K114)</f>
        <v>0</v>
      </c>
      <c r="L115" s="185">
        <f t="shared" si="23"/>
        <v>0</v>
      </c>
      <c r="M115" s="185">
        <f t="shared" si="23"/>
        <v>0</v>
      </c>
      <c r="N115" s="185">
        <f t="shared" si="23"/>
        <v>0</v>
      </c>
      <c r="O115" s="185">
        <f t="shared" si="23"/>
        <v>0</v>
      </c>
      <c r="P115" s="185">
        <f t="shared" si="23"/>
        <v>0</v>
      </c>
      <c r="Q115" s="185">
        <f t="shared" si="23"/>
        <v>0</v>
      </c>
      <c r="R115" s="185">
        <f t="shared" si="23"/>
        <v>0</v>
      </c>
      <c r="S115" s="185">
        <f t="shared" si="23"/>
        <v>0</v>
      </c>
      <c r="T115" s="185">
        <f t="shared" si="23"/>
        <v>0</v>
      </c>
      <c r="U115" s="185">
        <f t="shared" si="23"/>
        <v>0</v>
      </c>
      <c r="V115" s="185">
        <f t="shared" si="23"/>
        <v>0</v>
      </c>
      <c r="W115" s="185">
        <f>SUM(W108:W114)</f>
        <v>0</v>
      </c>
      <c r="X115" s="185">
        <f t="shared" ref="X115:AO115" si="24">SUM(X108:X114)</f>
        <v>0</v>
      </c>
      <c r="Y115" s="185">
        <f t="shared" si="24"/>
        <v>0</v>
      </c>
      <c r="Z115" s="185">
        <f t="shared" si="24"/>
        <v>0</v>
      </c>
      <c r="AA115" s="185">
        <f t="shared" si="24"/>
        <v>0</v>
      </c>
      <c r="AB115" s="185">
        <f t="shared" si="24"/>
        <v>0</v>
      </c>
      <c r="AC115" s="185">
        <f t="shared" si="24"/>
        <v>0</v>
      </c>
      <c r="AD115" s="185">
        <f t="shared" si="24"/>
        <v>0</v>
      </c>
      <c r="AE115" s="185">
        <f t="shared" si="24"/>
        <v>0</v>
      </c>
      <c r="AF115" s="185">
        <f t="shared" si="24"/>
        <v>0</v>
      </c>
      <c r="AG115" s="185">
        <f t="shared" si="24"/>
        <v>0</v>
      </c>
      <c r="AH115" s="185">
        <f t="shared" si="24"/>
        <v>0</v>
      </c>
      <c r="AI115" s="185">
        <f t="shared" si="24"/>
        <v>0</v>
      </c>
      <c r="AJ115" s="185">
        <f t="shared" si="24"/>
        <v>0</v>
      </c>
      <c r="AK115" s="185">
        <f t="shared" si="24"/>
        <v>0</v>
      </c>
      <c r="AL115" s="185">
        <f t="shared" si="24"/>
        <v>0</v>
      </c>
      <c r="AM115" s="185">
        <f t="shared" si="24"/>
        <v>0</v>
      </c>
      <c r="AN115" s="185">
        <f t="shared" si="24"/>
        <v>0</v>
      </c>
      <c r="AO115" s="185">
        <f t="shared" si="24"/>
        <v>0</v>
      </c>
      <c r="AP115" s="14"/>
    </row>
    <row r="116" spans="1:42" hidden="1" outlineLevel="1" x14ac:dyDescent="0.25">
      <c r="A116" s="12"/>
      <c r="B116" s="13"/>
      <c r="C116" s="14" t="s">
        <v>523</v>
      </c>
      <c r="D116" s="14"/>
      <c r="E116" s="15" t="s">
        <v>474</v>
      </c>
      <c r="F116" s="48"/>
      <c r="G116" s="185"/>
      <c r="H116" s="185"/>
      <c r="I116" s="185">
        <f>I115*Data!H$9</f>
        <v>0</v>
      </c>
      <c r="J116" s="185">
        <f>J115*Data!I$9</f>
        <v>0</v>
      </c>
      <c r="K116" s="185">
        <f>K115*Data!J$9</f>
        <v>0</v>
      </c>
      <c r="L116" s="185">
        <f>L115*Data!K$9</f>
        <v>0</v>
      </c>
      <c r="M116" s="185">
        <f>M115*Data!L$9</f>
        <v>0</v>
      </c>
      <c r="N116" s="185">
        <f>N115*Data!M$9</f>
        <v>0</v>
      </c>
      <c r="O116" s="185">
        <f>O115*Data!N$9</f>
        <v>0</v>
      </c>
      <c r="P116" s="185">
        <f>P115*Data!O$9</f>
        <v>0</v>
      </c>
      <c r="Q116" s="185">
        <f>Q115*Data!P$9</f>
        <v>0</v>
      </c>
      <c r="R116" s="185">
        <f>R115*Data!Q$9</f>
        <v>0</v>
      </c>
      <c r="S116" s="185">
        <f>S115*Data!R$9</f>
        <v>0</v>
      </c>
      <c r="T116" s="185">
        <f>T115*Data!S$9</f>
        <v>0</v>
      </c>
      <c r="U116" s="185">
        <f>U115*Data!T$9</f>
        <v>0</v>
      </c>
      <c r="V116" s="185">
        <f>V115*Data!U$9</f>
        <v>0</v>
      </c>
      <c r="W116" s="185">
        <f>W115*Data!V$9</f>
        <v>0</v>
      </c>
      <c r="X116" s="185">
        <f>X115*Data!W$9</f>
        <v>0</v>
      </c>
      <c r="Y116" s="185">
        <f>Y115*Data!X$9</f>
        <v>0</v>
      </c>
      <c r="Z116" s="185">
        <f>Z115*Data!Y$9</f>
        <v>0</v>
      </c>
      <c r="AA116" s="185">
        <f>AA115*Data!Z$9</f>
        <v>0</v>
      </c>
      <c r="AB116" s="185">
        <f>AB115*Data!AA$9</f>
        <v>0</v>
      </c>
      <c r="AC116" s="185">
        <f>AC115*Data!AB$9</f>
        <v>0</v>
      </c>
      <c r="AD116" s="185">
        <f>AD115*Data!AC$9</f>
        <v>0</v>
      </c>
      <c r="AE116" s="185">
        <f>AE115*Data!AD$9</f>
        <v>0</v>
      </c>
      <c r="AF116" s="185">
        <f>AF115*Data!AE$9</f>
        <v>0</v>
      </c>
      <c r="AG116" s="185">
        <f>AG115*Data!AF$9</f>
        <v>0</v>
      </c>
      <c r="AH116" s="185">
        <f>AH115*Data!AG$9</f>
        <v>0</v>
      </c>
      <c r="AI116" s="185">
        <f>AI115*Data!AH$9</f>
        <v>0</v>
      </c>
      <c r="AJ116" s="185">
        <f>AJ115*Data!AI$9</f>
        <v>0</v>
      </c>
      <c r="AK116" s="185">
        <f>AK115*Data!AJ$9</f>
        <v>0</v>
      </c>
      <c r="AL116" s="185">
        <f>AL115*Data!AK$9</f>
        <v>0</v>
      </c>
      <c r="AM116" s="185">
        <f>AM115*Data!AL$9</f>
        <v>0</v>
      </c>
      <c r="AN116" s="185">
        <f>AN115*Data!AM$9</f>
        <v>0</v>
      </c>
      <c r="AO116" s="185">
        <f>AO115*Data!AN$9</f>
        <v>0</v>
      </c>
      <c r="AP116" s="14"/>
    </row>
    <row r="117" spans="1:42" hidden="1" outlineLevel="1" x14ac:dyDescent="0.25">
      <c r="A117" s="12"/>
      <c r="B117" s="13"/>
      <c r="C117" s="14" t="s">
        <v>489</v>
      </c>
      <c r="D117" s="13"/>
      <c r="E117" s="15" t="s">
        <v>142</v>
      </c>
      <c r="F117" s="16"/>
      <c r="G117" s="159">
        <f>SUM(H116:AO116)</f>
        <v>0</v>
      </c>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row>
    <row r="118" spans="1:42" hidden="1" outlineLevel="1" x14ac:dyDescent="0.25">
      <c r="A118" s="12"/>
      <c r="B118" s="13"/>
      <c r="C118" s="41" t="s">
        <v>62</v>
      </c>
      <c r="D118" s="41"/>
      <c r="E118" s="15" t="s">
        <v>261</v>
      </c>
      <c r="F118" s="16"/>
      <c r="G118" s="184">
        <f>G117/(SUM(H98:AO98))</f>
        <v>0</v>
      </c>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7"/>
    </row>
    <row r="119" spans="1:42" hidden="1" outlineLevel="1" x14ac:dyDescent="0.25">
      <c r="A119" s="12"/>
      <c r="B119" s="13"/>
      <c r="C119" s="41"/>
      <c r="D119" s="41"/>
      <c r="E119" s="15"/>
      <c r="F119" s="16"/>
      <c r="G119" s="14"/>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
      <c r="AD119" s="14"/>
      <c r="AE119" s="14"/>
      <c r="AF119" s="14"/>
      <c r="AG119" s="14"/>
      <c r="AH119" s="14"/>
      <c r="AI119" s="14"/>
      <c r="AJ119" s="14"/>
      <c r="AK119" s="14"/>
      <c r="AL119" s="14"/>
      <c r="AM119" s="14"/>
      <c r="AN119" s="14"/>
      <c r="AO119" s="14"/>
      <c r="AP119" s="17"/>
    </row>
    <row r="120" spans="1:42" hidden="1" outlineLevel="1" x14ac:dyDescent="0.25">
      <c r="A120" s="12"/>
      <c r="B120" s="13"/>
      <c r="C120" s="19" t="s">
        <v>252</v>
      </c>
      <c r="D120" s="14"/>
      <c r="E120" s="15"/>
      <c r="F120" s="16"/>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row>
    <row r="121" spans="1:42" hidden="1" outlineLevel="1" x14ac:dyDescent="0.25">
      <c r="A121" s="12"/>
      <c r="B121" s="13"/>
      <c r="C121" s="45" t="s">
        <v>520</v>
      </c>
      <c r="D121" s="14"/>
      <c r="E121" s="15" t="s">
        <v>521</v>
      </c>
      <c r="F121" s="16"/>
      <c r="G121" s="14"/>
      <c r="H121" s="141"/>
      <c r="I121" s="141">
        <f t="shared" ref="I121:AN121" si="25">I16</f>
        <v>93600</v>
      </c>
      <c r="J121" s="141">
        <f t="shared" si="25"/>
        <v>93600</v>
      </c>
      <c r="K121" s="141">
        <f t="shared" si="25"/>
        <v>93600</v>
      </c>
      <c r="L121" s="141">
        <f t="shared" si="25"/>
        <v>93600</v>
      </c>
      <c r="M121" s="141">
        <f t="shared" si="25"/>
        <v>93600</v>
      </c>
      <c r="N121" s="141">
        <f t="shared" si="25"/>
        <v>93600</v>
      </c>
      <c r="O121" s="141">
        <f t="shared" si="25"/>
        <v>93600</v>
      </c>
      <c r="P121" s="141">
        <f t="shared" si="25"/>
        <v>93600</v>
      </c>
      <c r="Q121" s="141">
        <f t="shared" si="25"/>
        <v>93600</v>
      </c>
      <c r="R121" s="141">
        <f t="shared" si="25"/>
        <v>93600</v>
      </c>
      <c r="S121" s="141">
        <f t="shared" si="25"/>
        <v>93600</v>
      </c>
      <c r="T121" s="141">
        <f t="shared" si="25"/>
        <v>93600</v>
      </c>
      <c r="U121" s="141">
        <f t="shared" si="25"/>
        <v>0</v>
      </c>
      <c r="V121" s="141">
        <f t="shared" si="25"/>
        <v>0</v>
      </c>
      <c r="W121" s="141">
        <f t="shared" si="25"/>
        <v>0</v>
      </c>
      <c r="X121" s="141">
        <f t="shared" si="25"/>
        <v>0</v>
      </c>
      <c r="Y121" s="141">
        <f t="shared" si="25"/>
        <v>0</v>
      </c>
      <c r="Z121" s="141">
        <f t="shared" si="25"/>
        <v>0</v>
      </c>
      <c r="AA121" s="141">
        <f t="shared" si="25"/>
        <v>0</v>
      </c>
      <c r="AB121" s="141">
        <f t="shared" si="25"/>
        <v>0</v>
      </c>
      <c r="AC121" s="141">
        <f t="shared" si="25"/>
        <v>0</v>
      </c>
      <c r="AD121" s="141">
        <f t="shared" si="25"/>
        <v>0</v>
      </c>
      <c r="AE121" s="141">
        <f t="shared" si="25"/>
        <v>0</v>
      </c>
      <c r="AF121" s="141">
        <f t="shared" si="25"/>
        <v>0</v>
      </c>
      <c r="AG121" s="141">
        <f t="shared" si="25"/>
        <v>0</v>
      </c>
      <c r="AH121" s="141">
        <f t="shared" si="25"/>
        <v>0</v>
      </c>
      <c r="AI121" s="141">
        <f t="shared" si="25"/>
        <v>0</v>
      </c>
      <c r="AJ121" s="141">
        <f t="shared" si="25"/>
        <v>0</v>
      </c>
      <c r="AK121" s="141">
        <f t="shared" si="25"/>
        <v>0</v>
      </c>
      <c r="AL121" s="141">
        <f t="shared" si="25"/>
        <v>0</v>
      </c>
      <c r="AM121" s="141">
        <f t="shared" si="25"/>
        <v>0</v>
      </c>
      <c r="AN121" s="141">
        <f t="shared" si="25"/>
        <v>0</v>
      </c>
      <c r="AO121" s="141"/>
      <c r="AP121" s="14"/>
    </row>
    <row r="122" spans="1:42" hidden="1" outlineLevel="1" x14ac:dyDescent="0.25">
      <c r="A122" s="12"/>
      <c r="B122" s="13"/>
      <c r="C122" s="44" t="s">
        <v>483</v>
      </c>
      <c r="D122" s="14"/>
      <c r="E122" s="15"/>
      <c r="F122" s="16"/>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4"/>
      <c r="AH122" s="14"/>
      <c r="AI122" s="14"/>
      <c r="AJ122" s="14"/>
      <c r="AK122" s="14"/>
      <c r="AL122" s="14"/>
      <c r="AM122" s="14"/>
      <c r="AN122" s="14"/>
      <c r="AO122" s="14"/>
      <c r="AP122" s="14"/>
    </row>
    <row r="123" spans="1:42" ht="14.25" hidden="1" customHeight="1" outlineLevel="1" x14ac:dyDescent="0.25">
      <c r="A123" s="54"/>
      <c r="B123" s="13"/>
      <c r="C123" s="45" t="s">
        <v>205</v>
      </c>
      <c r="D123" s="14"/>
      <c r="E123" s="70" t="s">
        <v>352</v>
      </c>
      <c r="F123" s="201">
        <f>Data!$E$413/1000</f>
        <v>4.0583752780418599E-3</v>
      </c>
      <c r="G123" s="56"/>
      <c r="H123" s="56"/>
      <c r="I123" s="56">
        <f>I$121*$F$123</f>
        <v>379.86392602471807</v>
      </c>
      <c r="J123" s="56">
        <f t="shared" ref="J123:AN123" si="26">J$121*$F$123</f>
        <v>379.86392602471807</v>
      </c>
      <c r="K123" s="56">
        <f t="shared" si="26"/>
        <v>379.86392602471807</v>
      </c>
      <c r="L123" s="56">
        <f t="shared" si="26"/>
        <v>379.86392602471807</v>
      </c>
      <c r="M123" s="56">
        <f t="shared" si="26"/>
        <v>379.86392602471807</v>
      </c>
      <c r="N123" s="56">
        <f t="shared" si="26"/>
        <v>379.86392602471807</v>
      </c>
      <c r="O123" s="56">
        <f t="shared" si="26"/>
        <v>379.86392602471807</v>
      </c>
      <c r="P123" s="56">
        <f t="shared" si="26"/>
        <v>379.86392602471807</v>
      </c>
      <c r="Q123" s="56">
        <f t="shared" si="26"/>
        <v>379.86392602471807</v>
      </c>
      <c r="R123" s="56">
        <f t="shared" si="26"/>
        <v>379.86392602471807</v>
      </c>
      <c r="S123" s="56">
        <f t="shared" si="26"/>
        <v>379.86392602471807</v>
      </c>
      <c r="T123" s="56">
        <f t="shared" si="26"/>
        <v>379.86392602471807</v>
      </c>
      <c r="U123" s="56">
        <f t="shared" si="26"/>
        <v>0</v>
      </c>
      <c r="V123" s="56">
        <f t="shared" si="26"/>
        <v>0</v>
      </c>
      <c r="W123" s="56">
        <f t="shared" si="26"/>
        <v>0</v>
      </c>
      <c r="X123" s="56">
        <f t="shared" si="26"/>
        <v>0</v>
      </c>
      <c r="Y123" s="56">
        <f t="shared" si="26"/>
        <v>0</v>
      </c>
      <c r="Z123" s="56">
        <f t="shared" si="26"/>
        <v>0</v>
      </c>
      <c r="AA123" s="56">
        <f t="shared" si="26"/>
        <v>0</v>
      </c>
      <c r="AB123" s="56">
        <f t="shared" si="26"/>
        <v>0</v>
      </c>
      <c r="AC123" s="56">
        <f t="shared" si="26"/>
        <v>0</v>
      </c>
      <c r="AD123" s="56">
        <f t="shared" si="26"/>
        <v>0</v>
      </c>
      <c r="AE123" s="56">
        <f t="shared" si="26"/>
        <v>0</v>
      </c>
      <c r="AF123" s="56">
        <f t="shared" si="26"/>
        <v>0</v>
      </c>
      <c r="AG123" s="56">
        <f t="shared" si="26"/>
        <v>0</v>
      </c>
      <c r="AH123" s="56">
        <f t="shared" si="26"/>
        <v>0</v>
      </c>
      <c r="AI123" s="56">
        <f t="shared" si="26"/>
        <v>0</v>
      </c>
      <c r="AJ123" s="56">
        <f t="shared" si="26"/>
        <v>0</v>
      </c>
      <c r="AK123" s="56">
        <f t="shared" si="26"/>
        <v>0</v>
      </c>
      <c r="AL123" s="56">
        <f t="shared" si="26"/>
        <v>0</v>
      </c>
      <c r="AM123" s="56">
        <f t="shared" si="26"/>
        <v>0</v>
      </c>
      <c r="AN123" s="56">
        <f t="shared" si="26"/>
        <v>0</v>
      </c>
      <c r="AO123" s="56"/>
      <c r="AP123" s="29"/>
    </row>
    <row r="124" spans="1:42" hidden="1" outlineLevel="1" x14ac:dyDescent="0.25">
      <c r="A124" s="54"/>
      <c r="B124" s="13"/>
      <c r="C124" s="45" t="s">
        <v>484</v>
      </c>
      <c r="D124" s="14"/>
      <c r="E124" s="70" t="s">
        <v>352</v>
      </c>
      <c r="F124" s="201">
        <f>Data!$E$414/1000</f>
        <v>1.0176439575523251</v>
      </c>
      <c r="G124" s="56"/>
      <c r="H124" s="56"/>
      <c r="I124" s="56">
        <f t="shared" ref="I124:AN124" si="27">I$121*$F$124</f>
        <v>95251.474426897621</v>
      </c>
      <c r="J124" s="56">
        <f t="shared" si="27"/>
        <v>95251.474426897621</v>
      </c>
      <c r="K124" s="56">
        <f t="shared" si="27"/>
        <v>95251.474426897621</v>
      </c>
      <c r="L124" s="56">
        <f t="shared" si="27"/>
        <v>95251.474426897621</v>
      </c>
      <c r="M124" s="56">
        <f t="shared" si="27"/>
        <v>95251.474426897621</v>
      </c>
      <c r="N124" s="56">
        <f t="shared" si="27"/>
        <v>95251.474426897621</v>
      </c>
      <c r="O124" s="56">
        <f t="shared" si="27"/>
        <v>95251.474426897621</v>
      </c>
      <c r="P124" s="56">
        <f t="shared" si="27"/>
        <v>95251.474426897621</v>
      </c>
      <c r="Q124" s="56">
        <f t="shared" si="27"/>
        <v>95251.474426897621</v>
      </c>
      <c r="R124" s="56">
        <f t="shared" si="27"/>
        <v>95251.474426897621</v>
      </c>
      <c r="S124" s="56">
        <f t="shared" si="27"/>
        <v>95251.474426897621</v>
      </c>
      <c r="T124" s="56">
        <f t="shared" si="27"/>
        <v>95251.474426897621</v>
      </c>
      <c r="U124" s="56">
        <f t="shared" si="27"/>
        <v>0</v>
      </c>
      <c r="V124" s="56">
        <f t="shared" si="27"/>
        <v>0</v>
      </c>
      <c r="W124" s="56">
        <f t="shared" si="27"/>
        <v>0</v>
      </c>
      <c r="X124" s="56">
        <f t="shared" si="27"/>
        <v>0</v>
      </c>
      <c r="Y124" s="56">
        <f t="shared" si="27"/>
        <v>0</v>
      </c>
      <c r="Z124" s="56">
        <f t="shared" si="27"/>
        <v>0</v>
      </c>
      <c r="AA124" s="56">
        <f t="shared" si="27"/>
        <v>0</v>
      </c>
      <c r="AB124" s="56">
        <f t="shared" si="27"/>
        <v>0</v>
      </c>
      <c r="AC124" s="56">
        <f t="shared" si="27"/>
        <v>0</v>
      </c>
      <c r="AD124" s="56">
        <f t="shared" si="27"/>
        <v>0</v>
      </c>
      <c r="AE124" s="56">
        <f t="shared" si="27"/>
        <v>0</v>
      </c>
      <c r="AF124" s="56">
        <f t="shared" si="27"/>
        <v>0</v>
      </c>
      <c r="AG124" s="56">
        <f t="shared" si="27"/>
        <v>0</v>
      </c>
      <c r="AH124" s="56">
        <f t="shared" si="27"/>
        <v>0</v>
      </c>
      <c r="AI124" s="56">
        <f t="shared" si="27"/>
        <v>0</v>
      </c>
      <c r="AJ124" s="56">
        <f t="shared" si="27"/>
        <v>0</v>
      </c>
      <c r="AK124" s="56">
        <f t="shared" si="27"/>
        <v>0</v>
      </c>
      <c r="AL124" s="56">
        <f t="shared" si="27"/>
        <v>0</v>
      </c>
      <c r="AM124" s="56">
        <f t="shared" si="27"/>
        <v>0</v>
      </c>
      <c r="AN124" s="56">
        <f t="shared" si="27"/>
        <v>0</v>
      </c>
      <c r="AO124" s="56"/>
      <c r="AP124" s="29"/>
    </row>
    <row r="125" spans="1:42" hidden="1" outlineLevel="1" x14ac:dyDescent="0.25">
      <c r="A125" s="54"/>
      <c r="B125" s="13"/>
      <c r="C125" s="45" t="s">
        <v>285</v>
      </c>
      <c r="D125" s="14"/>
      <c r="E125" s="70" t="s">
        <v>352</v>
      </c>
      <c r="F125" s="201">
        <f>Data!$E$415/1000</f>
        <v>2.8470339849987793E-4</v>
      </c>
      <c r="G125" s="56"/>
      <c r="H125" s="56"/>
      <c r="I125" s="56">
        <f t="shared" ref="I125:AN125" si="28">I$121*$F$125</f>
        <v>26.648238099588575</v>
      </c>
      <c r="J125" s="56">
        <f t="shared" si="28"/>
        <v>26.648238099588575</v>
      </c>
      <c r="K125" s="56">
        <f t="shared" si="28"/>
        <v>26.648238099588575</v>
      </c>
      <c r="L125" s="56">
        <f t="shared" si="28"/>
        <v>26.648238099588575</v>
      </c>
      <c r="M125" s="56">
        <f t="shared" si="28"/>
        <v>26.648238099588575</v>
      </c>
      <c r="N125" s="56">
        <f t="shared" si="28"/>
        <v>26.648238099588575</v>
      </c>
      <c r="O125" s="56">
        <f t="shared" si="28"/>
        <v>26.648238099588575</v>
      </c>
      <c r="P125" s="56">
        <f t="shared" si="28"/>
        <v>26.648238099588575</v>
      </c>
      <c r="Q125" s="56">
        <f t="shared" si="28"/>
        <v>26.648238099588575</v>
      </c>
      <c r="R125" s="56">
        <f t="shared" si="28"/>
        <v>26.648238099588575</v>
      </c>
      <c r="S125" s="56">
        <f t="shared" si="28"/>
        <v>26.648238099588575</v>
      </c>
      <c r="T125" s="56">
        <f t="shared" si="28"/>
        <v>26.648238099588575</v>
      </c>
      <c r="U125" s="56">
        <f t="shared" si="28"/>
        <v>0</v>
      </c>
      <c r="V125" s="56">
        <f t="shared" si="28"/>
        <v>0</v>
      </c>
      <c r="W125" s="56">
        <f t="shared" si="28"/>
        <v>0</v>
      </c>
      <c r="X125" s="56">
        <f t="shared" si="28"/>
        <v>0</v>
      </c>
      <c r="Y125" s="56">
        <f t="shared" si="28"/>
        <v>0</v>
      </c>
      <c r="Z125" s="56">
        <f t="shared" si="28"/>
        <v>0</v>
      </c>
      <c r="AA125" s="56">
        <f t="shared" si="28"/>
        <v>0</v>
      </c>
      <c r="AB125" s="56">
        <f t="shared" si="28"/>
        <v>0</v>
      </c>
      <c r="AC125" s="56">
        <f t="shared" si="28"/>
        <v>0</v>
      </c>
      <c r="AD125" s="56">
        <f t="shared" si="28"/>
        <v>0</v>
      </c>
      <c r="AE125" s="56">
        <f t="shared" si="28"/>
        <v>0</v>
      </c>
      <c r="AF125" s="56">
        <f t="shared" si="28"/>
        <v>0</v>
      </c>
      <c r="AG125" s="56">
        <f t="shared" si="28"/>
        <v>0</v>
      </c>
      <c r="AH125" s="56">
        <f t="shared" si="28"/>
        <v>0</v>
      </c>
      <c r="AI125" s="56">
        <f t="shared" si="28"/>
        <v>0</v>
      </c>
      <c r="AJ125" s="56">
        <f t="shared" si="28"/>
        <v>0</v>
      </c>
      <c r="AK125" s="56">
        <f t="shared" si="28"/>
        <v>0</v>
      </c>
      <c r="AL125" s="56">
        <f t="shared" si="28"/>
        <v>0</v>
      </c>
      <c r="AM125" s="56">
        <f t="shared" si="28"/>
        <v>0</v>
      </c>
      <c r="AN125" s="56">
        <f t="shared" si="28"/>
        <v>0</v>
      </c>
      <c r="AO125" s="56"/>
      <c r="AP125" s="29"/>
    </row>
    <row r="126" spans="1:42" hidden="1" outlineLevel="1" x14ac:dyDescent="0.25">
      <c r="A126" s="54"/>
      <c r="B126" s="13"/>
      <c r="C126" s="45" t="s">
        <v>220</v>
      </c>
      <c r="D126" s="14"/>
      <c r="E126" s="70" t="s">
        <v>352</v>
      </c>
      <c r="F126" s="201">
        <f>Data!$E$416/1000</f>
        <v>1.0339278110249E-2</v>
      </c>
      <c r="G126" s="56"/>
      <c r="H126" s="56"/>
      <c r="I126" s="56">
        <f t="shared" ref="I126:AN126" si="29">I$121*$F$126</f>
        <v>967.7564311193064</v>
      </c>
      <c r="J126" s="56">
        <f t="shared" si="29"/>
        <v>967.7564311193064</v>
      </c>
      <c r="K126" s="56">
        <f t="shared" si="29"/>
        <v>967.7564311193064</v>
      </c>
      <c r="L126" s="56">
        <f t="shared" si="29"/>
        <v>967.7564311193064</v>
      </c>
      <c r="M126" s="56">
        <f t="shared" si="29"/>
        <v>967.7564311193064</v>
      </c>
      <c r="N126" s="56">
        <f t="shared" si="29"/>
        <v>967.7564311193064</v>
      </c>
      <c r="O126" s="56">
        <f t="shared" si="29"/>
        <v>967.7564311193064</v>
      </c>
      <c r="P126" s="56">
        <f t="shared" si="29"/>
        <v>967.7564311193064</v>
      </c>
      <c r="Q126" s="56">
        <f t="shared" si="29"/>
        <v>967.7564311193064</v>
      </c>
      <c r="R126" s="56">
        <f t="shared" si="29"/>
        <v>967.7564311193064</v>
      </c>
      <c r="S126" s="56">
        <f t="shared" si="29"/>
        <v>967.7564311193064</v>
      </c>
      <c r="T126" s="56">
        <f t="shared" si="29"/>
        <v>967.7564311193064</v>
      </c>
      <c r="U126" s="56">
        <f t="shared" si="29"/>
        <v>0</v>
      </c>
      <c r="V126" s="56">
        <f t="shared" si="29"/>
        <v>0</v>
      </c>
      <c r="W126" s="56">
        <f t="shared" si="29"/>
        <v>0</v>
      </c>
      <c r="X126" s="56">
        <f t="shared" si="29"/>
        <v>0</v>
      </c>
      <c r="Y126" s="56">
        <f t="shared" si="29"/>
        <v>0</v>
      </c>
      <c r="Z126" s="56">
        <f t="shared" si="29"/>
        <v>0</v>
      </c>
      <c r="AA126" s="56">
        <f t="shared" si="29"/>
        <v>0</v>
      </c>
      <c r="AB126" s="56">
        <f t="shared" si="29"/>
        <v>0</v>
      </c>
      <c r="AC126" s="56">
        <f t="shared" si="29"/>
        <v>0</v>
      </c>
      <c r="AD126" s="56">
        <f t="shared" si="29"/>
        <v>0</v>
      </c>
      <c r="AE126" s="56">
        <f t="shared" si="29"/>
        <v>0</v>
      </c>
      <c r="AF126" s="56">
        <f t="shared" si="29"/>
        <v>0</v>
      </c>
      <c r="AG126" s="56">
        <f t="shared" si="29"/>
        <v>0</v>
      </c>
      <c r="AH126" s="56">
        <f t="shared" si="29"/>
        <v>0</v>
      </c>
      <c r="AI126" s="56">
        <f t="shared" si="29"/>
        <v>0</v>
      </c>
      <c r="AJ126" s="56">
        <f t="shared" si="29"/>
        <v>0</v>
      </c>
      <c r="AK126" s="56">
        <f t="shared" si="29"/>
        <v>0</v>
      </c>
      <c r="AL126" s="56">
        <f t="shared" si="29"/>
        <v>0</v>
      </c>
      <c r="AM126" s="56">
        <f t="shared" si="29"/>
        <v>0</v>
      </c>
      <c r="AN126" s="56">
        <f t="shared" si="29"/>
        <v>0</v>
      </c>
      <c r="AO126" s="56"/>
      <c r="AP126" s="29"/>
    </row>
    <row r="127" spans="1:42" hidden="1" outlineLevel="1" x14ac:dyDescent="0.25">
      <c r="A127" s="54"/>
      <c r="B127" s="13"/>
      <c r="C127" s="45" t="s">
        <v>212</v>
      </c>
      <c r="D127" s="14"/>
      <c r="E127" s="70" t="s">
        <v>352</v>
      </c>
      <c r="F127" s="201">
        <f>Data!$E$417/1000</f>
        <v>1.0831616103370489E-3</v>
      </c>
      <c r="G127" s="56"/>
      <c r="H127" s="56"/>
      <c r="I127" s="56">
        <f t="shared" ref="I127:AN127" si="30">I$121*$F$127</f>
        <v>101.38392672754777</v>
      </c>
      <c r="J127" s="56">
        <f t="shared" si="30"/>
        <v>101.38392672754777</v>
      </c>
      <c r="K127" s="56">
        <f t="shared" si="30"/>
        <v>101.38392672754777</v>
      </c>
      <c r="L127" s="56">
        <f t="shared" si="30"/>
        <v>101.38392672754777</v>
      </c>
      <c r="M127" s="56">
        <f t="shared" si="30"/>
        <v>101.38392672754777</v>
      </c>
      <c r="N127" s="56">
        <f t="shared" si="30"/>
        <v>101.38392672754777</v>
      </c>
      <c r="O127" s="56">
        <f t="shared" si="30"/>
        <v>101.38392672754777</v>
      </c>
      <c r="P127" s="56">
        <f t="shared" si="30"/>
        <v>101.38392672754777</v>
      </c>
      <c r="Q127" s="56">
        <f t="shared" si="30"/>
        <v>101.38392672754777</v>
      </c>
      <c r="R127" s="56">
        <f t="shared" si="30"/>
        <v>101.38392672754777</v>
      </c>
      <c r="S127" s="56">
        <f t="shared" si="30"/>
        <v>101.38392672754777</v>
      </c>
      <c r="T127" s="56">
        <f t="shared" si="30"/>
        <v>101.38392672754777</v>
      </c>
      <c r="U127" s="56">
        <f t="shared" si="30"/>
        <v>0</v>
      </c>
      <c r="V127" s="56">
        <f t="shared" si="30"/>
        <v>0</v>
      </c>
      <c r="W127" s="56">
        <f t="shared" si="30"/>
        <v>0</v>
      </c>
      <c r="X127" s="56">
        <f t="shared" si="30"/>
        <v>0</v>
      </c>
      <c r="Y127" s="56">
        <f t="shared" si="30"/>
        <v>0</v>
      </c>
      <c r="Z127" s="56">
        <f t="shared" si="30"/>
        <v>0</v>
      </c>
      <c r="AA127" s="56">
        <f t="shared" si="30"/>
        <v>0</v>
      </c>
      <c r="AB127" s="56">
        <f t="shared" si="30"/>
        <v>0</v>
      </c>
      <c r="AC127" s="56">
        <f t="shared" si="30"/>
        <v>0</v>
      </c>
      <c r="AD127" s="56">
        <f t="shared" si="30"/>
        <v>0</v>
      </c>
      <c r="AE127" s="56">
        <f t="shared" si="30"/>
        <v>0</v>
      </c>
      <c r="AF127" s="56">
        <f t="shared" si="30"/>
        <v>0</v>
      </c>
      <c r="AG127" s="56">
        <f t="shared" si="30"/>
        <v>0</v>
      </c>
      <c r="AH127" s="56">
        <f t="shared" si="30"/>
        <v>0</v>
      </c>
      <c r="AI127" s="56">
        <f t="shared" si="30"/>
        <v>0</v>
      </c>
      <c r="AJ127" s="56">
        <f t="shared" si="30"/>
        <v>0</v>
      </c>
      <c r="AK127" s="56">
        <f t="shared" si="30"/>
        <v>0</v>
      </c>
      <c r="AL127" s="56">
        <f t="shared" si="30"/>
        <v>0</v>
      </c>
      <c r="AM127" s="56">
        <f t="shared" si="30"/>
        <v>0</v>
      </c>
      <c r="AN127" s="56">
        <f t="shared" si="30"/>
        <v>0</v>
      </c>
      <c r="AO127" s="56"/>
      <c r="AP127" s="29"/>
    </row>
    <row r="128" spans="1:42" hidden="1" outlineLevel="1" x14ac:dyDescent="0.25">
      <c r="A128" s="54"/>
      <c r="B128" s="13"/>
      <c r="C128" s="45" t="s">
        <v>485</v>
      </c>
      <c r="D128" s="14"/>
      <c r="E128" s="70" t="s">
        <v>352</v>
      </c>
      <c r="F128" s="201">
        <f>Data!$E$418/1000</f>
        <v>2.3599733894197369E-4</v>
      </c>
      <c r="G128" s="56"/>
      <c r="H128" s="56"/>
      <c r="I128" s="56">
        <f t="shared" ref="I128:AN128" si="31">I$121*$F$128</f>
        <v>22.089350924968738</v>
      </c>
      <c r="J128" s="56">
        <f t="shared" si="31"/>
        <v>22.089350924968738</v>
      </c>
      <c r="K128" s="56">
        <f t="shared" si="31"/>
        <v>22.089350924968738</v>
      </c>
      <c r="L128" s="56">
        <f t="shared" si="31"/>
        <v>22.089350924968738</v>
      </c>
      <c r="M128" s="56">
        <f t="shared" si="31"/>
        <v>22.089350924968738</v>
      </c>
      <c r="N128" s="56">
        <f t="shared" si="31"/>
        <v>22.089350924968738</v>
      </c>
      <c r="O128" s="56">
        <f t="shared" si="31"/>
        <v>22.089350924968738</v>
      </c>
      <c r="P128" s="56">
        <f t="shared" si="31"/>
        <v>22.089350924968738</v>
      </c>
      <c r="Q128" s="56">
        <f t="shared" si="31"/>
        <v>22.089350924968738</v>
      </c>
      <c r="R128" s="56">
        <f t="shared" si="31"/>
        <v>22.089350924968738</v>
      </c>
      <c r="S128" s="56">
        <f t="shared" si="31"/>
        <v>22.089350924968738</v>
      </c>
      <c r="T128" s="56">
        <f t="shared" si="31"/>
        <v>22.089350924968738</v>
      </c>
      <c r="U128" s="56">
        <f t="shared" si="31"/>
        <v>0</v>
      </c>
      <c r="V128" s="56">
        <f t="shared" si="31"/>
        <v>0</v>
      </c>
      <c r="W128" s="56">
        <f t="shared" si="31"/>
        <v>0</v>
      </c>
      <c r="X128" s="56">
        <f t="shared" si="31"/>
        <v>0</v>
      </c>
      <c r="Y128" s="56">
        <f t="shared" si="31"/>
        <v>0</v>
      </c>
      <c r="Z128" s="56">
        <f t="shared" si="31"/>
        <v>0</v>
      </c>
      <c r="AA128" s="56">
        <f t="shared" si="31"/>
        <v>0</v>
      </c>
      <c r="AB128" s="56">
        <f t="shared" si="31"/>
        <v>0</v>
      </c>
      <c r="AC128" s="56">
        <f t="shared" si="31"/>
        <v>0</v>
      </c>
      <c r="AD128" s="56">
        <f t="shared" si="31"/>
        <v>0</v>
      </c>
      <c r="AE128" s="56">
        <f t="shared" si="31"/>
        <v>0</v>
      </c>
      <c r="AF128" s="56">
        <f t="shared" si="31"/>
        <v>0</v>
      </c>
      <c r="AG128" s="56">
        <f t="shared" si="31"/>
        <v>0</v>
      </c>
      <c r="AH128" s="56">
        <f t="shared" si="31"/>
        <v>0</v>
      </c>
      <c r="AI128" s="56">
        <f t="shared" si="31"/>
        <v>0</v>
      </c>
      <c r="AJ128" s="56">
        <f t="shared" si="31"/>
        <v>0</v>
      </c>
      <c r="AK128" s="56">
        <f t="shared" si="31"/>
        <v>0</v>
      </c>
      <c r="AL128" s="56">
        <f t="shared" si="31"/>
        <v>0</v>
      </c>
      <c r="AM128" s="56">
        <f t="shared" si="31"/>
        <v>0</v>
      </c>
      <c r="AN128" s="56">
        <f t="shared" si="31"/>
        <v>0</v>
      </c>
      <c r="AO128" s="56"/>
      <c r="AP128" s="29"/>
    </row>
    <row r="129" spans="1:42" hidden="1" outlineLevel="1" x14ac:dyDescent="0.25">
      <c r="A129" s="54"/>
      <c r="B129" s="13"/>
      <c r="C129" s="45" t="s">
        <v>214</v>
      </c>
      <c r="D129" s="14"/>
      <c r="E129" s="70" t="s">
        <v>352</v>
      </c>
      <c r="F129" s="201">
        <f>Data!$E$419/1000</f>
        <v>1.7486429999999991E-5</v>
      </c>
      <c r="G129" s="56"/>
      <c r="H129" s="56"/>
      <c r="I129" s="56">
        <f t="shared" ref="I129:AN129" si="32">I$121*$F$129</f>
        <v>1.6367298479999992</v>
      </c>
      <c r="J129" s="56">
        <f t="shared" si="32"/>
        <v>1.6367298479999992</v>
      </c>
      <c r="K129" s="56">
        <f t="shared" si="32"/>
        <v>1.6367298479999992</v>
      </c>
      <c r="L129" s="56">
        <f t="shared" si="32"/>
        <v>1.6367298479999992</v>
      </c>
      <c r="M129" s="56">
        <f t="shared" si="32"/>
        <v>1.6367298479999992</v>
      </c>
      <c r="N129" s="56">
        <f t="shared" si="32"/>
        <v>1.6367298479999992</v>
      </c>
      <c r="O129" s="56">
        <f t="shared" si="32"/>
        <v>1.6367298479999992</v>
      </c>
      <c r="P129" s="56">
        <f t="shared" si="32"/>
        <v>1.6367298479999992</v>
      </c>
      <c r="Q129" s="56">
        <f t="shared" si="32"/>
        <v>1.6367298479999992</v>
      </c>
      <c r="R129" s="56">
        <f t="shared" si="32"/>
        <v>1.6367298479999992</v>
      </c>
      <c r="S129" s="56">
        <f t="shared" si="32"/>
        <v>1.6367298479999992</v>
      </c>
      <c r="T129" s="56">
        <f t="shared" si="32"/>
        <v>1.6367298479999992</v>
      </c>
      <c r="U129" s="56">
        <f t="shared" si="32"/>
        <v>0</v>
      </c>
      <c r="V129" s="56">
        <f t="shared" si="32"/>
        <v>0</v>
      </c>
      <c r="W129" s="56">
        <f t="shared" si="32"/>
        <v>0</v>
      </c>
      <c r="X129" s="56">
        <f t="shared" si="32"/>
        <v>0</v>
      </c>
      <c r="Y129" s="56">
        <f t="shared" si="32"/>
        <v>0</v>
      </c>
      <c r="Z129" s="56">
        <f t="shared" si="32"/>
        <v>0</v>
      </c>
      <c r="AA129" s="56">
        <f t="shared" si="32"/>
        <v>0</v>
      </c>
      <c r="AB129" s="56">
        <f t="shared" si="32"/>
        <v>0</v>
      </c>
      <c r="AC129" s="56">
        <f t="shared" si="32"/>
        <v>0</v>
      </c>
      <c r="AD129" s="56">
        <f t="shared" si="32"/>
        <v>0</v>
      </c>
      <c r="AE129" s="56">
        <f t="shared" si="32"/>
        <v>0</v>
      </c>
      <c r="AF129" s="56">
        <f t="shared" si="32"/>
        <v>0</v>
      </c>
      <c r="AG129" s="56">
        <f t="shared" si="32"/>
        <v>0</v>
      </c>
      <c r="AH129" s="56">
        <f t="shared" si="32"/>
        <v>0</v>
      </c>
      <c r="AI129" s="56">
        <f t="shared" si="32"/>
        <v>0</v>
      </c>
      <c r="AJ129" s="56">
        <f t="shared" si="32"/>
        <v>0</v>
      </c>
      <c r="AK129" s="56">
        <f t="shared" si="32"/>
        <v>0</v>
      </c>
      <c r="AL129" s="56">
        <f t="shared" si="32"/>
        <v>0</v>
      </c>
      <c r="AM129" s="56">
        <f t="shared" si="32"/>
        <v>0</v>
      </c>
      <c r="AN129" s="56">
        <f t="shared" si="32"/>
        <v>0</v>
      </c>
      <c r="AO129" s="56"/>
      <c r="AP129" s="29"/>
    </row>
    <row r="130" spans="1:42" hidden="1" outlineLevel="1" x14ac:dyDescent="0.25">
      <c r="A130" s="12"/>
      <c r="B130" s="13"/>
      <c r="C130" s="14"/>
      <c r="D130" s="14"/>
      <c r="E130" s="15"/>
      <c r="F130" s="16"/>
      <c r="G130" s="159"/>
      <c r="H130" s="159"/>
      <c r="I130" s="159"/>
      <c r="J130" s="159"/>
      <c r="K130" s="159"/>
      <c r="L130" s="159"/>
      <c r="M130" s="159"/>
      <c r="N130" s="159"/>
      <c r="O130" s="159"/>
      <c r="P130" s="159"/>
      <c r="Q130" s="159"/>
      <c r="R130" s="159"/>
      <c r="S130" s="159"/>
      <c r="T130" s="159"/>
      <c r="U130" s="159"/>
      <c r="V130" s="159"/>
      <c r="W130" s="159"/>
      <c r="X130" s="14"/>
      <c r="Y130" s="14"/>
      <c r="Z130" s="14"/>
      <c r="AA130" s="14"/>
      <c r="AB130" s="14"/>
      <c r="AC130" s="14"/>
      <c r="AD130" s="14"/>
      <c r="AE130" s="14"/>
      <c r="AF130" s="14"/>
      <c r="AG130" s="14"/>
      <c r="AH130" s="14"/>
      <c r="AI130" s="14"/>
      <c r="AJ130" s="14"/>
      <c r="AK130" s="14"/>
      <c r="AL130" s="14"/>
      <c r="AM130" s="14"/>
      <c r="AN130" s="14"/>
      <c r="AO130" s="14"/>
      <c r="AP130" s="14"/>
    </row>
    <row r="131" spans="1:42" hidden="1" outlineLevel="1" x14ac:dyDescent="0.25">
      <c r="A131" s="54"/>
      <c r="B131" s="13"/>
      <c r="C131" s="45" t="s">
        <v>205</v>
      </c>
      <c r="D131" s="14"/>
      <c r="E131" s="70" t="s">
        <v>474</v>
      </c>
      <c r="F131" s="200">
        <f>Data!$E$35/1000</f>
        <v>3.4099438202247192E-3</v>
      </c>
      <c r="G131" s="56"/>
      <c r="H131" s="56"/>
      <c r="I131" s="56">
        <f t="shared" ref="I131:AN131" si="33">I$123*$F$131</f>
        <v>1.2953146470742873</v>
      </c>
      <c r="J131" s="56">
        <f t="shared" si="33"/>
        <v>1.2953146470742873</v>
      </c>
      <c r="K131" s="56">
        <f t="shared" si="33"/>
        <v>1.2953146470742873</v>
      </c>
      <c r="L131" s="56">
        <f t="shared" si="33"/>
        <v>1.2953146470742873</v>
      </c>
      <c r="M131" s="56">
        <f t="shared" si="33"/>
        <v>1.2953146470742873</v>
      </c>
      <c r="N131" s="56">
        <f t="shared" si="33"/>
        <v>1.2953146470742873</v>
      </c>
      <c r="O131" s="56">
        <f t="shared" si="33"/>
        <v>1.2953146470742873</v>
      </c>
      <c r="P131" s="56">
        <f t="shared" si="33"/>
        <v>1.2953146470742873</v>
      </c>
      <c r="Q131" s="56">
        <f t="shared" si="33"/>
        <v>1.2953146470742873</v>
      </c>
      <c r="R131" s="56">
        <f t="shared" si="33"/>
        <v>1.2953146470742873</v>
      </c>
      <c r="S131" s="56">
        <f t="shared" si="33"/>
        <v>1.2953146470742873</v>
      </c>
      <c r="T131" s="56">
        <f t="shared" si="33"/>
        <v>1.2953146470742873</v>
      </c>
      <c r="U131" s="56">
        <f t="shared" si="33"/>
        <v>0</v>
      </c>
      <c r="V131" s="56">
        <f t="shared" si="33"/>
        <v>0</v>
      </c>
      <c r="W131" s="56">
        <f t="shared" si="33"/>
        <v>0</v>
      </c>
      <c r="X131" s="56">
        <f t="shared" si="33"/>
        <v>0</v>
      </c>
      <c r="Y131" s="56">
        <f t="shared" si="33"/>
        <v>0</v>
      </c>
      <c r="Z131" s="56">
        <f t="shared" si="33"/>
        <v>0</v>
      </c>
      <c r="AA131" s="56">
        <f t="shared" si="33"/>
        <v>0</v>
      </c>
      <c r="AB131" s="56">
        <f t="shared" si="33"/>
        <v>0</v>
      </c>
      <c r="AC131" s="56">
        <f t="shared" si="33"/>
        <v>0</v>
      </c>
      <c r="AD131" s="56">
        <f t="shared" si="33"/>
        <v>0</v>
      </c>
      <c r="AE131" s="56">
        <f t="shared" si="33"/>
        <v>0</v>
      </c>
      <c r="AF131" s="56">
        <f t="shared" si="33"/>
        <v>0</v>
      </c>
      <c r="AG131" s="56">
        <f t="shared" si="33"/>
        <v>0</v>
      </c>
      <c r="AH131" s="56">
        <f t="shared" si="33"/>
        <v>0</v>
      </c>
      <c r="AI131" s="56">
        <f t="shared" si="33"/>
        <v>0</v>
      </c>
      <c r="AJ131" s="56">
        <f t="shared" si="33"/>
        <v>0</v>
      </c>
      <c r="AK131" s="56">
        <f t="shared" si="33"/>
        <v>0</v>
      </c>
      <c r="AL131" s="56">
        <f t="shared" si="33"/>
        <v>0</v>
      </c>
      <c r="AM131" s="56">
        <f t="shared" si="33"/>
        <v>0</v>
      </c>
      <c r="AN131" s="56">
        <f t="shared" si="33"/>
        <v>0</v>
      </c>
      <c r="AO131" s="56">
        <f>AO$123*$F$131</f>
        <v>0</v>
      </c>
      <c r="AP131" s="29"/>
    </row>
    <row r="132" spans="1:42" hidden="1" outlineLevel="1" x14ac:dyDescent="0.25">
      <c r="A132" s="54"/>
      <c r="B132" s="13"/>
      <c r="C132" s="45" t="s">
        <v>484</v>
      </c>
      <c r="D132" s="14"/>
      <c r="E132" s="70" t="s">
        <v>474</v>
      </c>
      <c r="F132" s="200"/>
      <c r="G132" s="56"/>
      <c r="H132" s="56"/>
      <c r="I132" s="56">
        <f>I$124*Data!H16/1000</f>
        <v>9239.3930194090699</v>
      </c>
      <c r="J132" s="56">
        <f>J$124*Data!I16/1000</f>
        <v>10191.907763678046</v>
      </c>
      <c r="K132" s="56">
        <f>K$124*Data!J16/1000</f>
        <v>11049.171033520124</v>
      </c>
      <c r="L132" s="56">
        <f>L$124*Data!K16/1000</f>
        <v>12001.685777789102</v>
      </c>
      <c r="M132" s="56">
        <f>M$124*Data!L16/1000</f>
        <v>12954.200522058078</v>
      </c>
      <c r="N132" s="56">
        <f>N$124*Data!M16/1000</f>
        <v>13906.715266327054</v>
      </c>
      <c r="O132" s="56">
        <f>O$124*Data!N16/1000</f>
        <v>14763.97853616913</v>
      </c>
      <c r="P132" s="56">
        <f>P$124*Data!O16/1000</f>
        <v>15335.487382730518</v>
      </c>
      <c r="Q132" s="56">
        <f>Q$124*Data!P16/1000</f>
        <v>15906.996229291903</v>
      </c>
      <c r="R132" s="56">
        <f>R$124*Data!Q16/1000</f>
        <v>16573.756550280184</v>
      </c>
      <c r="S132" s="56">
        <f>S$124*Data!R16/1000</f>
        <v>17145.265396841573</v>
      </c>
      <c r="T132" s="56">
        <f>T$124*Data!S16/1000</f>
        <v>17716.774243402957</v>
      </c>
      <c r="U132" s="56">
        <f>U$124*Data!T16/1000</f>
        <v>0</v>
      </c>
      <c r="V132" s="56">
        <f>V$124*Data!U16/1000</f>
        <v>0</v>
      </c>
      <c r="W132" s="56">
        <f>W$124*Data!V16/1000</f>
        <v>0</v>
      </c>
      <c r="X132" s="56">
        <f>X$124*Data!W16/1000</f>
        <v>0</v>
      </c>
      <c r="Y132" s="56">
        <f>Y$124*Data!X16/1000</f>
        <v>0</v>
      </c>
      <c r="Z132" s="56">
        <f>Z$124*Data!Y16/1000</f>
        <v>0</v>
      </c>
      <c r="AA132" s="56">
        <f>AA$124*Data!Z16/1000</f>
        <v>0</v>
      </c>
      <c r="AB132" s="56">
        <f>AB$124*Data!AA16/1000</f>
        <v>0</v>
      </c>
      <c r="AC132" s="56">
        <f>AC$124*Data!AB16/1000</f>
        <v>0</v>
      </c>
      <c r="AD132" s="56">
        <f>AD$124*Data!AC16/1000</f>
        <v>0</v>
      </c>
      <c r="AE132" s="56">
        <f>AE$124*Data!AD16/1000</f>
        <v>0</v>
      </c>
      <c r="AF132" s="56">
        <f>AF$124*Data!AE16/1000</f>
        <v>0</v>
      </c>
      <c r="AG132" s="56">
        <f>AG$124*Data!AF16/1000</f>
        <v>0</v>
      </c>
      <c r="AH132" s="56">
        <f>AH$124*Data!AG16/1000</f>
        <v>0</v>
      </c>
      <c r="AI132" s="56">
        <f>AI$124*Data!AH16/1000</f>
        <v>0</v>
      </c>
      <c r="AJ132" s="56">
        <f>AJ$124*Data!AI16/1000</f>
        <v>0</v>
      </c>
      <c r="AK132" s="56">
        <f>AK$124*Data!AJ16/1000</f>
        <v>0</v>
      </c>
      <c r="AL132" s="56">
        <f>AL$124*Data!AK16/1000</f>
        <v>0</v>
      </c>
      <c r="AM132" s="56">
        <f>AM$124*Data!AL16/1000</f>
        <v>0</v>
      </c>
      <c r="AN132" s="56">
        <f>AN$124*Data!AM16/1000</f>
        <v>0</v>
      </c>
      <c r="AO132" s="56">
        <f>AO$124*Data!AN16/1000</f>
        <v>0</v>
      </c>
      <c r="AP132" s="29"/>
    </row>
    <row r="133" spans="1:42" hidden="1" outlineLevel="1" x14ac:dyDescent="0.25">
      <c r="A133" s="54"/>
      <c r="B133" s="13"/>
      <c r="C133" s="45" t="s">
        <v>285</v>
      </c>
      <c r="D133" s="14"/>
      <c r="E133" s="70" t="s">
        <v>474</v>
      </c>
      <c r="F133" s="200">
        <f>Data!$E$36/1000</f>
        <v>1.0822865168539326</v>
      </c>
      <c r="G133" s="56"/>
      <c r="H133" s="56"/>
      <c r="I133" s="56">
        <f t="shared" ref="I133:AN133" si="34">I$125*$F$133</f>
        <v>28.84102879309798</v>
      </c>
      <c r="J133" s="56">
        <f t="shared" si="34"/>
        <v>28.84102879309798</v>
      </c>
      <c r="K133" s="56">
        <f t="shared" si="34"/>
        <v>28.84102879309798</v>
      </c>
      <c r="L133" s="56">
        <f t="shared" si="34"/>
        <v>28.84102879309798</v>
      </c>
      <c r="M133" s="56">
        <f t="shared" si="34"/>
        <v>28.84102879309798</v>
      </c>
      <c r="N133" s="56">
        <f t="shared" si="34"/>
        <v>28.84102879309798</v>
      </c>
      <c r="O133" s="56">
        <f t="shared" si="34"/>
        <v>28.84102879309798</v>
      </c>
      <c r="P133" s="56">
        <f t="shared" si="34"/>
        <v>28.84102879309798</v>
      </c>
      <c r="Q133" s="56">
        <f t="shared" si="34"/>
        <v>28.84102879309798</v>
      </c>
      <c r="R133" s="56">
        <f t="shared" si="34"/>
        <v>28.84102879309798</v>
      </c>
      <c r="S133" s="56">
        <f t="shared" si="34"/>
        <v>28.84102879309798</v>
      </c>
      <c r="T133" s="56">
        <f t="shared" si="34"/>
        <v>28.84102879309798</v>
      </c>
      <c r="U133" s="56">
        <f t="shared" si="34"/>
        <v>0</v>
      </c>
      <c r="V133" s="56">
        <f t="shared" si="34"/>
        <v>0</v>
      </c>
      <c r="W133" s="56">
        <f t="shared" si="34"/>
        <v>0</v>
      </c>
      <c r="X133" s="56">
        <f t="shared" si="34"/>
        <v>0</v>
      </c>
      <c r="Y133" s="56">
        <f t="shared" si="34"/>
        <v>0</v>
      </c>
      <c r="Z133" s="56">
        <f t="shared" si="34"/>
        <v>0</v>
      </c>
      <c r="AA133" s="56">
        <f t="shared" si="34"/>
        <v>0</v>
      </c>
      <c r="AB133" s="56">
        <f t="shared" si="34"/>
        <v>0</v>
      </c>
      <c r="AC133" s="56">
        <f t="shared" si="34"/>
        <v>0</v>
      </c>
      <c r="AD133" s="56">
        <f t="shared" si="34"/>
        <v>0</v>
      </c>
      <c r="AE133" s="56">
        <f t="shared" si="34"/>
        <v>0</v>
      </c>
      <c r="AF133" s="56">
        <f t="shared" si="34"/>
        <v>0</v>
      </c>
      <c r="AG133" s="56">
        <f t="shared" si="34"/>
        <v>0</v>
      </c>
      <c r="AH133" s="56">
        <f t="shared" si="34"/>
        <v>0</v>
      </c>
      <c r="AI133" s="56">
        <f t="shared" si="34"/>
        <v>0</v>
      </c>
      <c r="AJ133" s="56">
        <f t="shared" si="34"/>
        <v>0</v>
      </c>
      <c r="AK133" s="56">
        <f t="shared" si="34"/>
        <v>0</v>
      </c>
      <c r="AL133" s="56">
        <f t="shared" si="34"/>
        <v>0</v>
      </c>
      <c r="AM133" s="56">
        <f t="shared" si="34"/>
        <v>0</v>
      </c>
      <c r="AN133" s="56">
        <f t="shared" si="34"/>
        <v>0</v>
      </c>
      <c r="AO133" s="56">
        <f>AO$125*$F$133</f>
        <v>0</v>
      </c>
      <c r="AP133" s="29"/>
    </row>
    <row r="134" spans="1:42" hidden="1" outlineLevel="1" x14ac:dyDescent="0.25">
      <c r="A134" s="54"/>
      <c r="B134" s="13"/>
      <c r="C134" s="45" t="s">
        <v>220</v>
      </c>
      <c r="D134" s="14"/>
      <c r="E134" s="70" t="s">
        <v>474</v>
      </c>
      <c r="F134" s="200">
        <f>Data!$E$37/1000</f>
        <v>371.00188764044947</v>
      </c>
      <c r="G134" s="56"/>
      <c r="H134" s="56"/>
      <c r="I134" s="56">
        <f t="shared" ref="I134:AN134" si="35">I$126*$F$134</f>
        <v>359039.46272144729</v>
      </c>
      <c r="J134" s="56">
        <f t="shared" si="35"/>
        <v>359039.46272144729</v>
      </c>
      <c r="K134" s="56">
        <f t="shared" si="35"/>
        <v>359039.46272144729</v>
      </c>
      <c r="L134" s="56">
        <f t="shared" si="35"/>
        <v>359039.46272144729</v>
      </c>
      <c r="M134" s="56">
        <f t="shared" si="35"/>
        <v>359039.46272144729</v>
      </c>
      <c r="N134" s="56">
        <f t="shared" si="35"/>
        <v>359039.46272144729</v>
      </c>
      <c r="O134" s="56">
        <f t="shared" si="35"/>
        <v>359039.46272144729</v>
      </c>
      <c r="P134" s="56">
        <f t="shared" si="35"/>
        <v>359039.46272144729</v>
      </c>
      <c r="Q134" s="56">
        <f t="shared" si="35"/>
        <v>359039.46272144729</v>
      </c>
      <c r="R134" s="56">
        <f t="shared" si="35"/>
        <v>359039.46272144729</v>
      </c>
      <c r="S134" s="56">
        <f t="shared" si="35"/>
        <v>359039.46272144729</v>
      </c>
      <c r="T134" s="56">
        <f t="shared" si="35"/>
        <v>359039.46272144729</v>
      </c>
      <c r="U134" s="56">
        <f t="shared" si="35"/>
        <v>0</v>
      </c>
      <c r="V134" s="56">
        <f t="shared" si="35"/>
        <v>0</v>
      </c>
      <c r="W134" s="56">
        <f t="shared" si="35"/>
        <v>0</v>
      </c>
      <c r="X134" s="56">
        <f t="shared" si="35"/>
        <v>0</v>
      </c>
      <c r="Y134" s="56">
        <f t="shared" si="35"/>
        <v>0</v>
      </c>
      <c r="Z134" s="56">
        <f t="shared" si="35"/>
        <v>0</v>
      </c>
      <c r="AA134" s="56">
        <f t="shared" si="35"/>
        <v>0</v>
      </c>
      <c r="AB134" s="56">
        <f t="shared" si="35"/>
        <v>0</v>
      </c>
      <c r="AC134" s="56">
        <f t="shared" si="35"/>
        <v>0</v>
      </c>
      <c r="AD134" s="56">
        <f t="shared" si="35"/>
        <v>0</v>
      </c>
      <c r="AE134" s="56">
        <f t="shared" si="35"/>
        <v>0</v>
      </c>
      <c r="AF134" s="56">
        <f t="shared" si="35"/>
        <v>0</v>
      </c>
      <c r="AG134" s="56">
        <f t="shared" si="35"/>
        <v>0</v>
      </c>
      <c r="AH134" s="56">
        <f t="shared" si="35"/>
        <v>0</v>
      </c>
      <c r="AI134" s="56">
        <f t="shared" si="35"/>
        <v>0</v>
      </c>
      <c r="AJ134" s="56">
        <f t="shared" si="35"/>
        <v>0</v>
      </c>
      <c r="AK134" s="56">
        <f t="shared" si="35"/>
        <v>0</v>
      </c>
      <c r="AL134" s="56">
        <f t="shared" si="35"/>
        <v>0</v>
      </c>
      <c r="AM134" s="56">
        <f t="shared" si="35"/>
        <v>0</v>
      </c>
      <c r="AN134" s="56">
        <f t="shared" si="35"/>
        <v>0</v>
      </c>
      <c r="AO134" s="56">
        <f>AO$126*$F$134</f>
        <v>0</v>
      </c>
      <c r="AP134" s="29"/>
    </row>
    <row r="135" spans="1:42" hidden="1" outlineLevel="1" x14ac:dyDescent="0.25">
      <c r="A135" s="54"/>
      <c r="B135" s="13"/>
      <c r="C135" s="45" t="s">
        <v>212</v>
      </c>
      <c r="D135" s="14"/>
      <c r="E135" s="70" t="s">
        <v>474</v>
      </c>
      <c r="F135" s="200">
        <f>Data!$E$39/1000</f>
        <v>0</v>
      </c>
      <c r="G135" s="56"/>
      <c r="H135" s="56"/>
      <c r="I135" s="56">
        <f t="shared" ref="I135:AN135" si="36">I$123*$F$135</f>
        <v>0</v>
      </c>
      <c r="J135" s="56">
        <f t="shared" si="36"/>
        <v>0</v>
      </c>
      <c r="K135" s="56">
        <f t="shared" si="36"/>
        <v>0</v>
      </c>
      <c r="L135" s="56">
        <f t="shared" si="36"/>
        <v>0</v>
      </c>
      <c r="M135" s="56">
        <f t="shared" si="36"/>
        <v>0</v>
      </c>
      <c r="N135" s="56">
        <f t="shared" si="36"/>
        <v>0</v>
      </c>
      <c r="O135" s="56">
        <f t="shared" si="36"/>
        <v>0</v>
      </c>
      <c r="P135" s="56">
        <f t="shared" si="36"/>
        <v>0</v>
      </c>
      <c r="Q135" s="56">
        <f t="shared" si="36"/>
        <v>0</v>
      </c>
      <c r="R135" s="56">
        <f t="shared" si="36"/>
        <v>0</v>
      </c>
      <c r="S135" s="56">
        <f t="shared" si="36"/>
        <v>0</v>
      </c>
      <c r="T135" s="56">
        <f t="shared" si="36"/>
        <v>0</v>
      </c>
      <c r="U135" s="56">
        <f t="shared" si="36"/>
        <v>0</v>
      </c>
      <c r="V135" s="56">
        <f t="shared" si="36"/>
        <v>0</v>
      </c>
      <c r="W135" s="56">
        <f t="shared" si="36"/>
        <v>0</v>
      </c>
      <c r="X135" s="56">
        <f t="shared" si="36"/>
        <v>0</v>
      </c>
      <c r="Y135" s="56">
        <f t="shared" si="36"/>
        <v>0</v>
      </c>
      <c r="Z135" s="56">
        <f t="shared" si="36"/>
        <v>0</v>
      </c>
      <c r="AA135" s="56">
        <f t="shared" si="36"/>
        <v>0</v>
      </c>
      <c r="AB135" s="56">
        <f t="shared" si="36"/>
        <v>0</v>
      </c>
      <c r="AC135" s="56">
        <f t="shared" si="36"/>
        <v>0</v>
      </c>
      <c r="AD135" s="56">
        <f t="shared" si="36"/>
        <v>0</v>
      </c>
      <c r="AE135" s="56">
        <f t="shared" si="36"/>
        <v>0</v>
      </c>
      <c r="AF135" s="56">
        <f t="shared" si="36"/>
        <v>0</v>
      </c>
      <c r="AG135" s="56">
        <f t="shared" si="36"/>
        <v>0</v>
      </c>
      <c r="AH135" s="56">
        <f t="shared" si="36"/>
        <v>0</v>
      </c>
      <c r="AI135" s="56">
        <f t="shared" si="36"/>
        <v>0</v>
      </c>
      <c r="AJ135" s="56">
        <f t="shared" si="36"/>
        <v>0</v>
      </c>
      <c r="AK135" s="56">
        <f t="shared" si="36"/>
        <v>0</v>
      </c>
      <c r="AL135" s="56">
        <f t="shared" si="36"/>
        <v>0</v>
      </c>
      <c r="AM135" s="56">
        <f t="shared" si="36"/>
        <v>0</v>
      </c>
      <c r="AN135" s="56">
        <f t="shared" si="36"/>
        <v>0</v>
      </c>
      <c r="AO135" s="56">
        <f>AO$123*$F$131</f>
        <v>0</v>
      </c>
      <c r="AP135" s="29"/>
    </row>
    <row r="136" spans="1:42" hidden="1" outlineLevel="1" x14ac:dyDescent="0.25">
      <c r="A136" s="54"/>
      <c r="B136" s="13"/>
      <c r="C136" s="45" t="s">
        <v>485</v>
      </c>
      <c r="D136" s="14"/>
      <c r="E136" s="70" t="s">
        <v>474</v>
      </c>
      <c r="F136" s="200">
        <f>Data!$E$40/1000</f>
        <v>605.20914606741576</v>
      </c>
      <c r="G136" s="56"/>
      <c r="H136" s="56"/>
      <c r="I136" s="56">
        <f t="shared" ref="I136:AN136" si="37">I$128*$F$136</f>
        <v>13368.677210483811</v>
      </c>
      <c r="J136" s="56">
        <f t="shared" si="37"/>
        <v>13368.677210483811</v>
      </c>
      <c r="K136" s="56">
        <f t="shared" si="37"/>
        <v>13368.677210483811</v>
      </c>
      <c r="L136" s="56">
        <f t="shared" si="37"/>
        <v>13368.677210483811</v>
      </c>
      <c r="M136" s="56">
        <f t="shared" si="37"/>
        <v>13368.677210483811</v>
      </c>
      <c r="N136" s="56">
        <f t="shared" si="37"/>
        <v>13368.677210483811</v>
      </c>
      <c r="O136" s="56">
        <f t="shared" si="37"/>
        <v>13368.677210483811</v>
      </c>
      <c r="P136" s="56">
        <f t="shared" si="37"/>
        <v>13368.677210483811</v>
      </c>
      <c r="Q136" s="56">
        <f t="shared" si="37"/>
        <v>13368.677210483811</v>
      </c>
      <c r="R136" s="56">
        <f t="shared" si="37"/>
        <v>13368.677210483811</v>
      </c>
      <c r="S136" s="56">
        <f t="shared" si="37"/>
        <v>13368.677210483811</v>
      </c>
      <c r="T136" s="56">
        <f t="shared" si="37"/>
        <v>13368.677210483811</v>
      </c>
      <c r="U136" s="56">
        <f t="shared" si="37"/>
        <v>0</v>
      </c>
      <c r="V136" s="56">
        <f t="shared" si="37"/>
        <v>0</v>
      </c>
      <c r="W136" s="56">
        <f t="shared" si="37"/>
        <v>0</v>
      </c>
      <c r="X136" s="56">
        <f t="shared" si="37"/>
        <v>0</v>
      </c>
      <c r="Y136" s="56">
        <f t="shared" si="37"/>
        <v>0</v>
      </c>
      <c r="Z136" s="56">
        <f t="shared" si="37"/>
        <v>0</v>
      </c>
      <c r="AA136" s="56">
        <f t="shared" si="37"/>
        <v>0</v>
      </c>
      <c r="AB136" s="56">
        <f t="shared" si="37"/>
        <v>0</v>
      </c>
      <c r="AC136" s="56">
        <f t="shared" si="37"/>
        <v>0</v>
      </c>
      <c r="AD136" s="56">
        <f t="shared" si="37"/>
        <v>0</v>
      </c>
      <c r="AE136" s="56">
        <f t="shared" si="37"/>
        <v>0</v>
      </c>
      <c r="AF136" s="56">
        <f t="shared" si="37"/>
        <v>0</v>
      </c>
      <c r="AG136" s="56">
        <f t="shared" si="37"/>
        <v>0</v>
      </c>
      <c r="AH136" s="56">
        <f t="shared" si="37"/>
        <v>0</v>
      </c>
      <c r="AI136" s="56">
        <f t="shared" si="37"/>
        <v>0</v>
      </c>
      <c r="AJ136" s="56">
        <f t="shared" si="37"/>
        <v>0</v>
      </c>
      <c r="AK136" s="56">
        <f t="shared" si="37"/>
        <v>0</v>
      </c>
      <c r="AL136" s="56">
        <f t="shared" si="37"/>
        <v>0</v>
      </c>
      <c r="AM136" s="56">
        <f t="shared" si="37"/>
        <v>0</v>
      </c>
      <c r="AN136" s="56">
        <f t="shared" si="37"/>
        <v>0</v>
      </c>
      <c r="AO136" s="56">
        <f>AO$128*$F$136</f>
        <v>0</v>
      </c>
      <c r="AP136" s="29"/>
    </row>
    <row r="137" spans="1:42" hidden="1" outlineLevel="1" x14ac:dyDescent="0.25">
      <c r="A137" s="54"/>
      <c r="B137" s="13"/>
      <c r="C137" s="45" t="s">
        <v>214</v>
      </c>
      <c r="D137" s="14"/>
      <c r="E137" s="70" t="s">
        <v>474</v>
      </c>
      <c r="F137" s="200">
        <f>Data!$E$41/1000</f>
        <v>0</v>
      </c>
      <c r="G137" s="56"/>
      <c r="H137" s="56"/>
      <c r="I137" s="56">
        <f t="shared" ref="I137:AN137" si="38">I$129*$F$137</f>
        <v>0</v>
      </c>
      <c r="J137" s="56">
        <f t="shared" si="38"/>
        <v>0</v>
      </c>
      <c r="K137" s="56">
        <f t="shared" si="38"/>
        <v>0</v>
      </c>
      <c r="L137" s="56">
        <f t="shared" si="38"/>
        <v>0</v>
      </c>
      <c r="M137" s="56">
        <f t="shared" si="38"/>
        <v>0</v>
      </c>
      <c r="N137" s="56">
        <f t="shared" si="38"/>
        <v>0</v>
      </c>
      <c r="O137" s="56">
        <f t="shared" si="38"/>
        <v>0</v>
      </c>
      <c r="P137" s="56">
        <f t="shared" si="38"/>
        <v>0</v>
      </c>
      <c r="Q137" s="56">
        <f t="shared" si="38"/>
        <v>0</v>
      </c>
      <c r="R137" s="56">
        <f t="shared" si="38"/>
        <v>0</v>
      </c>
      <c r="S137" s="56">
        <f t="shared" si="38"/>
        <v>0</v>
      </c>
      <c r="T137" s="56">
        <f t="shared" si="38"/>
        <v>0</v>
      </c>
      <c r="U137" s="56">
        <f t="shared" si="38"/>
        <v>0</v>
      </c>
      <c r="V137" s="56">
        <f t="shared" si="38"/>
        <v>0</v>
      </c>
      <c r="W137" s="56">
        <f t="shared" si="38"/>
        <v>0</v>
      </c>
      <c r="X137" s="56">
        <f t="shared" si="38"/>
        <v>0</v>
      </c>
      <c r="Y137" s="56">
        <f t="shared" si="38"/>
        <v>0</v>
      </c>
      <c r="Z137" s="56">
        <f t="shared" si="38"/>
        <v>0</v>
      </c>
      <c r="AA137" s="56">
        <f t="shared" si="38"/>
        <v>0</v>
      </c>
      <c r="AB137" s="56">
        <f t="shared" si="38"/>
        <v>0</v>
      </c>
      <c r="AC137" s="56">
        <f t="shared" si="38"/>
        <v>0</v>
      </c>
      <c r="AD137" s="56">
        <f t="shared" si="38"/>
        <v>0</v>
      </c>
      <c r="AE137" s="56">
        <f t="shared" si="38"/>
        <v>0</v>
      </c>
      <c r="AF137" s="56">
        <f t="shared" si="38"/>
        <v>0</v>
      </c>
      <c r="AG137" s="56">
        <f t="shared" si="38"/>
        <v>0</v>
      </c>
      <c r="AH137" s="56">
        <f t="shared" si="38"/>
        <v>0</v>
      </c>
      <c r="AI137" s="56">
        <f t="shared" si="38"/>
        <v>0</v>
      </c>
      <c r="AJ137" s="56">
        <f t="shared" si="38"/>
        <v>0</v>
      </c>
      <c r="AK137" s="56">
        <f t="shared" si="38"/>
        <v>0</v>
      </c>
      <c r="AL137" s="56">
        <f t="shared" si="38"/>
        <v>0</v>
      </c>
      <c r="AM137" s="56">
        <f t="shared" si="38"/>
        <v>0</v>
      </c>
      <c r="AN137" s="56">
        <f t="shared" si="38"/>
        <v>0</v>
      </c>
      <c r="AO137" s="56">
        <f>AO$129*$F$137</f>
        <v>0</v>
      </c>
      <c r="AP137" s="29"/>
    </row>
    <row r="138" spans="1:42" hidden="1" outlineLevel="1" x14ac:dyDescent="0.25">
      <c r="A138" s="12"/>
      <c r="B138" s="13"/>
      <c r="C138" s="20" t="s">
        <v>486</v>
      </c>
      <c r="D138" s="14"/>
      <c r="E138" s="70" t="s">
        <v>474</v>
      </c>
      <c r="F138" s="16"/>
      <c r="G138" s="159"/>
      <c r="H138" s="185"/>
      <c r="I138" s="185">
        <f t="shared" ref="I138:AO138" si="39">SUM(I131:I137)</f>
        <v>381677.66929478035</v>
      </c>
      <c r="J138" s="185">
        <f t="shared" si="39"/>
        <v>382630.18403904932</v>
      </c>
      <c r="K138" s="185">
        <f t="shared" si="39"/>
        <v>383487.44730889139</v>
      </c>
      <c r="L138" s="185">
        <f t="shared" si="39"/>
        <v>384439.96205316036</v>
      </c>
      <c r="M138" s="185">
        <f t="shared" si="39"/>
        <v>385392.47679742938</v>
      </c>
      <c r="N138" s="185">
        <f t="shared" si="39"/>
        <v>386344.99154169834</v>
      </c>
      <c r="O138" s="185">
        <f t="shared" si="39"/>
        <v>387202.25481154042</v>
      </c>
      <c r="P138" s="185">
        <f t="shared" si="39"/>
        <v>387773.76365810179</v>
      </c>
      <c r="Q138" s="185">
        <f t="shared" si="39"/>
        <v>388345.27250466315</v>
      </c>
      <c r="R138" s="185">
        <f t="shared" si="39"/>
        <v>389012.03282565146</v>
      </c>
      <c r="S138" s="185">
        <f t="shared" si="39"/>
        <v>389583.54167221283</v>
      </c>
      <c r="T138" s="185">
        <f t="shared" si="39"/>
        <v>390155.05051877425</v>
      </c>
      <c r="U138" s="185">
        <f t="shared" si="39"/>
        <v>0</v>
      </c>
      <c r="V138" s="185">
        <f t="shared" si="39"/>
        <v>0</v>
      </c>
      <c r="W138" s="185">
        <f t="shared" si="39"/>
        <v>0</v>
      </c>
      <c r="X138" s="185">
        <f t="shared" si="39"/>
        <v>0</v>
      </c>
      <c r="Y138" s="185">
        <f t="shared" si="39"/>
        <v>0</v>
      </c>
      <c r="Z138" s="185">
        <f t="shared" si="39"/>
        <v>0</v>
      </c>
      <c r="AA138" s="185">
        <f t="shared" si="39"/>
        <v>0</v>
      </c>
      <c r="AB138" s="185">
        <f t="shared" si="39"/>
        <v>0</v>
      </c>
      <c r="AC138" s="185">
        <f t="shared" si="39"/>
        <v>0</v>
      </c>
      <c r="AD138" s="185">
        <f t="shared" si="39"/>
        <v>0</v>
      </c>
      <c r="AE138" s="185">
        <f t="shared" si="39"/>
        <v>0</v>
      </c>
      <c r="AF138" s="185">
        <f t="shared" si="39"/>
        <v>0</v>
      </c>
      <c r="AG138" s="185">
        <f t="shared" si="39"/>
        <v>0</v>
      </c>
      <c r="AH138" s="185">
        <f t="shared" si="39"/>
        <v>0</v>
      </c>
      <c r="AI138" s="185">
        <f t="shared" si="39"/>
        <v>0</v>
      </c>
      <c r="AJ138" s="185">
        <f t="shared" si="39"/>
        <v>0</v>
      </c>
      <c r="AK138" s="185">
        <f t="shared" si="39"/>
        <v>0</v>
      </c>
      <c r="AL138" s="185">
        <f t="shared" si="39"/>
        <v>0</v>
      </c>
      <c r="AM138" s="185">
        <f t="shared" si="39"/>
        <v>0</v>
      </c>
      <c r="AN138" s="185">
        <f t="shared" si="39"/>
        <v>0</v>
      </c>
      <c r="AO138" s="185">
        <f t="shared" si="39"/>
        <v>0</v>
      </c>
      <c r="AP138" s="14"/>
    </row>
    <row r="139" spans="1:42" hidden="1" outlineLevel="1" x14ac:dyDescent="0.25">
      <c r="A139" s="12"/>
      <c r="B139" s="13"/>
      <c r="C139" s="14" t="s">
        <v>487</v>
      </c>
      <c r="D139" s="14"/>
      <c r="E139" s="15" t="s">
        <v>474</v>
      </c>
      <c r="F139" s="48"/>
      <c r="G139" s="185"/>
      <c r="H139" s="185"/>
      <c r="I139" s="185">
        <f>I138*Data!H$9</f>
        <v>366997.75893728877</v>
      </c>
      <c r="J139" s="185">
        <f>J138*Data!I$9</f>
        <v>353763.11394142872</v>
      </c>
      <c r="K139" s="185">
        <f>K138*Data!J$9</f>
        <v>340918.94425360876</v>
      </c>
      <c r="L139" s="185">
        <f>L138*Data!K$9</f>
        <v>328620.89076235017</v>
      </c>
      <c r="M139" s="185">
        <f>M138*Data!L$9</f>
        <v>316764.52342093165</v>
      </c>
      <c r="N139" s="185">
        <f>N138*Data!M$9</f>
        <v>305334.0587584945</v>
      </c>
      <c r="O139" s="185">
        <f>O138*Data!N$9</f>
        <v>294241.89074329392</v>
      </c>
      <c r="P139" s="185">
        <f>P138*Data!O$9</f>
        <v>283342.49086172919</v>
      </c>
      <c r="Q139" s="185">
        <f>Q138*Data!P$9</f>
        <v>272846.23728652264</v>
      </c>
      <c r="R139" s="185">
        <f>R138*Data!Q$9</f>
        <v>262802.59061909548</v>
      </c>
      <c r="S139" s="185">
        <f>S138*Data!R$9</f>
        <v>253066.03992115322</v>
      </c>
      <c r="T139" s="185">
        <f>T138*Data!S$9</f>
        <v>243689.69343278767</v>
      </c>
      <c r="U139" s="185">
        <f>U138*Data!T$9</f>
        <v>0</v>
      </c>
      <c r="V139" s="185">
        <f>V138*Data!U$9</f>
        <v>0</v>
      </c>
      <c r="W139" s="185">
        <f>W138*Data!V$9</f>
        <v>0</v>
      </c>
      <c r="X139" s="185">
        <f>X138*Data!W$9</f>
        <v>0</v>
      </c>
      <c r="Y139" s="185">
        <f>Y138*Data!X$9</f>
        <v>0</v>
      </c>
      <c r="Z139" s="185">
        <f>Z138*Data!Y$9</f>
        <v>0</v>
      </c>
      <c r="AA139" s="185">
        <f>AA138*Data!Z$9</f>
        <v>0</v>
      </c>
      <c r="AB139" s="185">
        <f>AB138*Data!AA$9</f>
        <v>0</v>
      </c>
      <c r="AC139" s="185">
        <f>AC138*Data!AB$9</f>
        <v>0</v>
      </c>
      <c r="AD139" s="185">
        <f>AD138*Data!AC$9</f>
        <v>0</v>
      </c>
      <c r="AE139" s="185">
        <f>AE138*Data!AD$9</f>
        <v>0</v>
      </c>
      <c r="AF139" s="185">
        <f>AF138*Data!AE$9</f>
        <v>0</v>
      </c>
      <c r="AG139" s="185">
        <f>AG138*Data!AF$9</f>
        <v>0</v>
      </c>
      <c r="AH139" s="185">
        <f>AH138*Data!AG$9</f>
        <v>0</v>
      </c>
      <c r="AI139" s="185">
        <f>AI138*Data!AH$9</f>
        <v>0</v>
      </c>
      <c r="AJ139" s="185">
        <f>AJ138*Data!AI$9</f>
        <v>0</v>
      </c>
      <c r="AK139" s="185">
        <f>AK138*Data!AJ$9</f>
        <v>0</v>
      </c>
      <c r="AL139" s="185">
        <f>AL138*Data!AK$9</f>
        <v>0</v>
      </c>
      <c r="AM139" s="185">
        <f>AM138*Data!AL$9</f>
        <v>0</v>
      </c>
      <c r="AN139" s="185">
        <f>AN138*Data!AM$9</f>
        <v>0</v>
      </c>
      <c r="AO139" s="185">
        <f>AO138*Data!AN$9</f>
        <v>0</v>
      </c>
      <c r="AP139" s="14"/>
    </row>
    <row r="140" spans="1:42" hidden="1" outlineLevel="1" x14ac:dyDescent="0.25">
      <c r="A140" s="12"/>
      <c r="B140" s="13"/>
      <c r="C140" s="14" t="s">
        <v>489</v>
      </c>
      <c r="D140" s="14"/>
      <c r="E140" s="15"/>
      <c r="F140" s="48"/>
      <c r="G140" s="185">
        <f>SUM(H139:AP139)</f>
        <v>3622388.2329386845</v>
      </c>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4"/>
    </row>
    <row r="141" spans="1:42" hidden="1" outlineLevel="1" x14ac:dyDescent="0.25">
      <c r="A141" s="12"/>
      <c r="B141" s="13"/>
      <c r="C141" s="41" t="s">
        <v>62</v>
      </c>
      <c r="D141" s="14"/>
      <c r="E141" s="15"/>
      <c r="F141" s="48"/>
      <c r="G141" s="184">
        <f>G140/SUM(H121:AP121)</f>
        <v>3.2250607486989713</v>
      </c>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4"/>
    </row>
    <row r="142" spans="1:42" hidden="1" outlineLevel="1" x14ac:dyDescent="0.25">
      <c r="A142" s="12"/>
      <c r="B142" s="13"/>
      <c r="C142" s="41"/>
      <c r="D142" s="14"/>
      <c r="E142" s="15"/>
      <c r="F142" s="48"/>
      <c r="G142" s="185"/>
      <c r="H142" s="185"/>
      <c r="I142" s="185"/>
      <c r="J142" s="185"/>
      <c r="K142" s="185"/>
      <c r="L142" s="185"/>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4"/>
    </row>
    <row r="143" spans="1:42" hidden="1" outlineLevel="1" x14ac:dyDescent="0.25">
      <c r="A143" s="12"/>
      <c r="B143" s="13"/>
      <c r="C143" s="20" t="s">
        <v>489</v>
      </c>
      <c r="D143" s="19"/>
      <c r="E143" s="15" t="s">
        <v>261</v>
      </c>
      <c r="F143" s="16"/>
      <c r="G143" s="184">
        <f>G94+G118+G141</f>
        <v>3.2299684410066636</v>
      </c>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row>
    <row r="144" spans="1:42" ht="18.75" hidden="1" outlineLevel="1" x14ac:dyDescent="0.3">
      <c r="A144" s="12"/>
      <c r="B144" s="13"/>
      <c r="C144" s="226" t="str">
        <f>C26</f>
        <v>TCO 1: End-of-Life Diesel Bus Replacement with HFCB</v>
      </c>
      <c r="D144" s="225"/>
      <c r="E144" s="15" t="s">
        <v>261</v>
      </c>
      <c r="F144" s="16"/>
      <c r="G144" s="224">
        <f>G87+G143</f>
        <v>4.4353710659265841</v>
      </c>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row>
    <row r="145" spans="1:42" hidden="1" outlineLevel="1" x14ac:dyDescent="0.25">
      <c r="A145" s="12"/>
      <c r="B145" s="13"/>
      <c r="C145" s="41"/>
      <c r="D145" s="41"/>
      <c r="E145" s="15"/>
      <c r="F145" s="16"/>
      <c r="G145" s="14"/>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
      <c r="AD145" s="14"/>
      <c r="AE145" s="14"/>
      <c r="AF145" s="14"/>
      <c r="AG145" s="14"/>
      <c r="AH145" s="14"/>
      <c r="AI145" s="14"/>
      <c r="AJ145" s="14"/>
      <c r="AK145" s="14"/>
      <c r="AL145" s="14"/>
      <c r="AM145" s="14"/>
      <c r="AN145" s="14"/>
      <c r="AO145" s="14"/>
      <c r="AP145" s="17"/>
    </row>
    <row r="146" spans="1:42" collapsed="1" x14ac:dyDescent="0.25">
      <c r="A146" s="261"/>
      <c r="B146" s="261"/>
      <c r="C146" s="261" t="s">
        <v>603</v>
      </c>
      <c r="D146" s="261"/>
      <c r="E146" s="262"/>
      <c r="F146" s="263"/>
      <c r="G146" s="263"/>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3"/>
      <c r="AD146" s="263"/>
      <c r="AE146" s="263"/>
      <c r="AF146" s="263"/>
      <c r="AG146" s="263"/>
      <c r="AH146" s="263"/>
      <c r="AI146" s="263"/>
      <c r="AJ146" s="263"/>
      <c r="AK146" s="263"/>
      <c r="AL146" s="263"/>
      <c r="AM146" s="263"/>
      <c r="AN146" s="263"/>
      <c r="AO146" s="263"/>
      <c r="AP146" s="265"/>
    </row>
    <row r="147" spans="1:42" hidden="1" outlineLevel="1" x14ac:dyDescent="0.25">
      <c r="A147" s="12"/>
      <c r="B147" s="13"/>
      <c r="C147" s="41"/>
      <c r="D147" s="41"/>
      <c r="E147" s="15"/>
      <c r="F147" s="16"/>
      <c r="G147" s="14"/>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
      <c r="AD147" s="14"/>
      <c r="AE147" s="14"/>
      <c r="AF147" s="14"/>
      <c r="AG147" s="14"/>
      <c r="AH147" s="14"/>
      <c r="AI147" s="14"/>
      <c r="AJ147" s="14"/>
      <c r="AK147" s="14"/>
      <c r="AL147" s="14"/>
      <c r="AM147" s="14"/>
      <c r="AN147" s="14"/>
      <c r="AO147" s="14"/>
      <c r="AP147" s="17"/>
    </row>
    <row r="148" spans="1:42" hidden="1" outlineLevel="1" x14ac:dyDescent="0.25">
      <c r="A148" s="12"/>
      <c r="B148" s="13"/>
      <c r="C148" s="37" t="s">
        <v>508</v>
      </c>
      <c r="D148" s="37"/>
      <c r="E148" s="38"/>
      <c r="F148" s="39"/>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17"/>
    </row>
    <row r="149" spans="1:42" hidden="1" outlineLevel="1" x14ac:dyDescent="0.25">
      <c r="A149" s="12"/>
      <c r="B149" s="13"/>
      <c r="C149" s="95" t="s">
        <v>559</v>
      </c>
      <c r="D149" s="14"/>
      <c r="E149" s="15"/>
      <c r="F149" s="16"/>
      <c r="G149" s="14"/>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29"/>
    </row>
    <row r="150" spans="1:42" hidden="1" outlineLevel="1" x14ac:dyDescent="0.25">
      <c r="A150" s="12"/>
      <c r="B150" s="13"/>
      <c r="C150" s="96" t="s">
        <v>120</v>
      </c>
      <c r="D150" s="14"/>
      <c r="E150" s="15" t="s">
        <v>142</v>
      </c>
      <c r="F150" s="158" t="str">
        <f>Dashboard!$I$43</f>
        <v>2 Axle rigid</v>
      </c>
      <c r="G150" s="14"/>
      <c r="H150" s="177">
        <f>IF(F150=C150,Data!$E$371,0)</f>
        <v>820000</v>
      </c>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29"/>
    </row>
    <row r="151" spans="1:42" hidden="1" outlineLevel="1" x14ac:dyDescent="0.25">
      <c r="A151" s="12"/>
      <c r="B151" s="13"/>
      <c r="C151" s="96" t="s">
        <v>124</v>
      </c>
      <c r="D151" s="14"/>
      <c r="E151" s="15" t="s">
        <v>142</v>
      </c>
      <c r="F151" s="158" t="str">
        <f>Dashboard!$I$43</f>
        <v>2 Axle rigid</v>
      </c>
      <c r="G151" s="14"/>
      <c r="H151" s="177">
        <f>IF(F151=C151,Data!$E$372,0)</f>
        <v>0</v>
      </c>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29"/>
    </row>
    <row r="152" spans="1:42" hidden="1" outlineLevel="1" x14ac:dyDescent="0.25">
      <c r="A152" s="12"/>
      <c r="B152" s="13"/>
      <c r="C152" s="96" t="s">
        <v>126</v>
      </c>
      <c r="D152" s="14"/>
      <c r="E152" s="15" t="s">
        <v>142</v>
      </c>
      <c r="F152" s="158" t="str">
        <f>Dashboard!$I$43</f>
        <v>2 Axle rigid</v>
      </c>
      <c r="G152" s="14"/>
      <c r="H152" s="177">
        <f>IF(F152=C152,Data!$E$373,0)</f>
        <v>0</v>
      </c>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29"/>
    </row>
    <row r="153" spans="1:42" hidden="1" outlineLevel="1" x14ac:dyDescent="0.25">
      <c r="A153" s="12"/>
      <c r="B153" s="13"/>
      <c r="C153" s="136"/>
      <c r="D153" s="14"/>
      <c r="E153" s="15"/>
      <c r="F153" s="16"/>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7"/>
    </row>
    <row r="154" spans="1:42" hidden="1" outlineLevel="1" x14ac:dyDescent="0.25">
      <c r="A154" s="12"/>
      <c r="B154" s="13"/>
      <c r="C154" s="19" t="s">
        <v>510</v>
      </c>
      <c r="D154" s="45"/>
      <c r="E154" s="15"/>
      <c r="F154" s="16"/>
      <c r="G154" s="14"/>
      <c r="H154" s="182">
        <f>SUM(H150:H153)</f>
        <v>820000</v>
      </c>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9"/>
    </row>
    <row r="155" spans="1:42" s="140" customFormat="1" hidden="1" outlineLevel="1" x14ac:dyDescent="0.25">
      <c r="A155" s="78"/>
      <c r="B155" s="19"/>
      <c r="C155" s="95" t="s">
        <v>560</v>
      </c>
      <c r="D155" s="20"/>
      <c r="E155" s="15" t="s">
        <v>142</v>
      </c>
      <c r="F155" s="48"/>
      <c r="G155" s="20"/>
      <c r="H155" s="185">
        <f>H154</f>
        <v>820000</v>
      </c>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4"/>
      <c r="AJ155" s="244"/>
      <c r="AK155" s="244"/>
      <c r="AL155" s="244"/>
      <c r="AM155" s="244"/>
      <c r="AN155" s="244"/>
      <c r="AO155" s="244"/>
      <c r="AP155" s="370"/>
    </row>
    <row r="156" spans="1:42" s="140" customFormat="1" hidden="1" outlineLevel="1" x14ac:dyDescent="0.25">
      <c r="A156" s="78"/>
      <c r="B156" s="19"/>
      <c r="C156" s="95" t="s">
        <v>561</v>
      </c>
      <c r="D156" s="20"/>
      <c r="E156" s="15" t="s">
        <v>142</v>
      </c>
      <c r="F156" s="48"/>
      <c r="G156" s="20"/>
      <c r="H156" s="20"/>
      <c r="I156" s="244">
        <f>IF(I21&gt;0,-PMT(Data!$E$10,Data!$E$386,HFCB!$H$155,0,0),0)</f>
        <v>60337.035269475695</v>
      </c>
      <c r="J156" s="244">
        <f>IF(J21&gt;0,-PMT(Data!$E$10,Data!$E$386,HFCB!$H$155,0,0),0)</f>
        <v>60337.035269475695</v>
      </c>
      <c r="K156" s="244">
        <f>IF(K21&gt;0,-PMT(Data!$E$10,Data!$E$386,HFCB!$H$155,0,0),0)</f>
        <v>60337.035269475695</v>
      </c>
      <c r="L156" s="244">
        <f>IF(L21&gt;0,-PMT(Data!$E$10,Data!$E$386,HFCB!$H$155,0,0),0)</f>
        <v>60337.035269475695</v>
      </c>
      <c r="M156" s="244">
        <f>IF(M21&gt;0,-PMT(Data!$E$10,Data!$E$386,HFCB!$H$155,0,0),0)</f>
        <v>60337.035269475695</v>
      </c>
      <c r="N156" s="244">
        <f>IF(N21&gt;0,-PMT(Data!$E$10,Data!$E$386,HFCB!$H$155,0,0),0)</f>
        <v>60337.035269475695</v>
      </c>
      <c r="O156" s="244">
        <f>IF(O21&gt;0,-PMT(Data!$E$10,Data!$E$386,HFCB!$H$155,0,0),0)</f>
        <v>60337.035269475695</v>
      </c>
      <c r="P156" s="244">
        <f>IF(P21&gt;0,-PMT(Data!$E$10,Data!$E$386,HFCB!$H$155,0,0),0)</f>
        <v>60337.035269475695</v>
      </c>
      <c r="Q156" s="244">
        <f>IF(Q21&gt;0,-PMT(Data!$E$10,Data!$E$386,HFCB!$H$155,0,0),0)</f>
        <v>60337.035269475695</v>
      </c>
      <c r="R156" s="244">
        <f>IF(R21&gt;0,-PMT(Data!$E$10,Data!$E$386,HFCB!$H$155,0,0),0)</f>
        <v>60337.035269475695</v>
      </c>
      <c r="S156" s="244">
        <f>IF(S21&gt;0,-PMT(Data!$E$10,Data!$E$386,HFCB!$H$155,0,0),0)</f>
        <v>60337.035269475695</v>
      </c>
      <c r="T156" s="244">
        <f>IF(T21&gt;0,-PMT(Data!$E$10,Data!$E$386,HFCB!$H$155,0,0),0)</f>
        <v>60337.035269475695</v>
      </c>
      <c r="U156" s="244">
        <f>IF(U21&gt;0,-PMT(Data!$E$10,Data!$E$386,HFCB!$H$155,0,0),0)</f>
        <v>60337.035269475695</v>
      </c>
      <c r="V156" s="244">
        <f>IF(V21&gt;0,-PMT(Data!$E$10,Data!$E$386,HFCB!$H$155,0,0),0)</f>
        <v>60337.035269475695</v>
      </c>
      <c r="W156" s="244">
        <f>IF(W21&gt;0,-PMT(Data!$E$10,Data!$E$386,HFCB!$H$155,0,0),0)</f>
        <v>60337.035269475695</v>
      </c>
      <c r="X156" s="244">
        <f>IF(X21&gt;0,-PMT(Data!$E$10,Data!$E$386,HFCB!$H$155,0,0),0)</f>
        <v>60337.035269475695</v>
      </c>
      <c r="Y156" s="244">
        <f>IF(Y21&gt;0,-PMT(Data!$E$10,Data!$E$386,HFCB!$H$155,0,0),0)</f>
        <v>60337.035269475695</v>
      </c>
      <c r="Z156" s="244">
        <f>IF(Z21&gt;0,-PMT(Data!$E$10,Data!$E$386,HFCB!$H$155,0,0),0)</f>
        <v>60337.035269475695</v>
      </c>
      <c r="AA156" s="244">
        <f>IF(AA21&gt;0,-PMT(Data!$E$10,Data!$E$386,HFCB!$H$155,0,0),0)</f>
        <v>60337.035269475695</v>
      </c>
      <c r="AB156" s="244">
        <f>IF(AB21&gt;0,-PMT(Data!$E$10,Data!$E$386,HFCB!$H$155,0,0),0)</f>
        <v>60337.035269475695</v>
      </c>
      <c r="AC156" s="244">
        <f>IF(AC21&gt;0,-PMT(Data!$E$10,Data!$E$386,HFCB!$H$155,0,0),0)</f>
        <v>0</v>
      </c>
      <c r="AD156" s="244">
        <f>IF(AD21&gt;0,-PMT(Data!$E$10,Data!$E$386,HFCB!$H$155,0,0),0)</f>
        <v>0</v>
      </c>
      <c r="AE156" s="244">
        <f>IF(AE21&gt;0,-PMT(Data!$E$10,Data!$E$386,HFCB!$H$155,0,0),0)</f>
        <v>0</v>
      </c>
      <c r="AF156" s="244">
        <f>IF(AF21&gt;0,-PMT(Data!$E$10,Data!$E$386,HFCB!$H$155,0,0),0)</f>
        <v>0</v>
      </c>
      <c r="AG156" s="244">
        <f>IF(AG21&gt;0,-PMT(Data!$E$10,Data!$E$386,HFCB!$H$155,0,0),0)</f>
        <v>0</v>
      </c>
      <c r="AH156" s="244">
        <f>IF(AH21&gt;0,-PMT(Data!$E$10,Data!$E$386,HFCB!$H$155,0,0),0)</f>
        <v>0</v>
      </c>
      <c r="AI156" s="244">
        <f>IF(AI21&gt;0,-PMT(Data!$E$10,Data!$E$386,HFCB!$H$155,0,0),0)</f>
        <v>0</v>
      </c>
      <c r="AJ156" s="244">
        <f>IF(AJ21&gt;0,-PMT(Data!$E$10,Data!$E$386,HFCB!$H$155,0,0),0)</f>
        <v>0</v>
      </c>
      <c r="AK156" s="244">
        <f>IF(AK21&gt;0,-PMT(Data!$E$10,Data!$E$386,HFCB!$H$155,0,0),0)</f>
        <v>0</v>
      </c>
      <c r="AL156" s="244">
        <f>IF(AL21&gt;0,-PMT(Data!$E$10,Data!$E$386,HFCB!$H$155,0,0),0)</f>
        <v>0</v>
      </c>
      <c r="AM156" s="244">
        <f>IF(AM21&gt;0,-PMT(Data!$E$10,Data!$E$386,HFCB!$H$155,0,0),0)</f>
        <v>0</v>
      </c>
      <c r="AN156" s="244">
        <f>IF(AN21&gt;0,-PMT(Data!$E$10,Data!$E$386,HFCB!$H$155,0,0),0)</f>
        <v>0</v>
      </c>
      <c r="AO156" s="244">
        <f>IF(AO21&gt;0,-PMT(Data!$E$10,Data!$E$386,HFCB!$H$155,0,0),0)</f>
        <v>0</v>
      </c>
      <c r="AP156" s="370"/>
    </row>
    <row r="157" spans="1:42" s="140" customFormat="1" hidden="1" outlineLevel="1" x14ac:dyDescent="0.25">
      <c r="A157" s="78"/>
      <c r="B157" s="19"/>
      <c r="C157" s="19"/>
      <c r="D157" s="19"/>
      <c r="E157" s="19"/>
      <c r="F157" s="48"/>
      <c r="G157" s="20"/>
      <c r="H157" s="20"/>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4"/>
      <c r="AJ157" s="244"/>
      <c r="AK157" s="244"/>
      <c r="AL157" s="244"/>
      <c r="AM157" s="244"/>
      <c r="AN157" s="244"/>
      <c r="AO157" s="244"/>
      <c r="AP157" s="370"/>
    </row>
    <row r="158" spans="1:42" hidden="1" outlineLevel="1" x14ac:dyDescent="0.25">
      <c r="A158" s="12"/>
      <c r="B158" s="13"/>
      <c r="D158" s="14"/>
      <c r="E158" s="15"/>
      <c r="F158" s="16"/>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7"/>
    </row>
    <row r="159" spans="1:42" hidden="1" outlineLevel="1" x14ac:dyDescent="0.25">
      <c r="A159" s="12"/>
      <c r="B159" s="13"/>
      <c r="C159" s="37" t="s">
        <v>472</v>
      </c>
      <c r="D159" s="37"/>
      <c r="E159" s="38"/>
      <c r="F159" s="39"/>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17"/>
    </row>
    <row r="160" spans="1:42" hidden="1" outlineLevel="1" x14ac:dyDescent="0.25">
      <c r="A160" s="12"/>
      <c r="B160" s="13"/>
      <c r="C160" s="20" t="s">
        <v>258</v>
      </c>
      <c r="D160" s="44"/>
      <c r="E160" s="15"/>
      <c r="F160" s="16"/>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7"/>
    </row>
    <row r="161" spans="1:42" hidden="1" outlineLevel="1" x14ac:dyDescent="0.25">
      <c r="A161" s="12"/>
      <c r="B161" s="13"/>
      <c r="C161" s="96" t="s">
        <v>120</v>
      </c>
      <c r="D161" s="45"/>
      <c r="E161" s="15" t="s">
        <v>474</v>
      </c>
      <c r="F161" s="158" t="str">
        <f>Dashboard!$I$43</f>
        <v>2 Axle rigid</v>
      </c>
      <c r="G161" s="14"/>
      <c r="H161" s="177"/>
      <c r="I161" s="177">
        <f>IF($F$161=$C$161,Data!$E$377*I$21,0)</f>
        <v>53504.989199999996</v>
      </c>
      <c r="J161" s="177">
        <f>IF($F$161=$C$161,Data!$E$377*J$21,0)</f>
        <v>53504.989199999996</v>
      </c>
      <c r="K161" s="177">
        <f>IF($F$161=$C$161,Data!$E$377*K$21,0)</f>
        <v>53504.989199999996</v>
      </c>
      <c r="L161" s="177">
        <f>IF($F$161=$C$161,Data!$E$377*L$21,0)</f>
        <v>53504.989199999996</v>
      </c>
      <c r="M161" s="177">
        <f>IF($F$161=$C$161,Data!$E$377*M$21,0)</f>
        <v>53504.989199999996</v>
      </c>
      <c r="N161" s="177">
        <f>IF($F$161=$C$161,Data!$E$377*N$21,0)</f>
        <v>53504.989199999996</v>
      </c>
      <c r="O161" s="177">
        <f>IF($F$161=$C$161,Data!$E$377*O$21,0)</f>
        <v>53504.989199999996</v>
      </c>
      <c r="P161" s="177">
        <f>IF($F$161=$C$161,Data!$E$377*P$21,0)</f>
        <v>53504.989199999996</v>
      </c>
      <c r="Q161" s="177">
        <f>IF($F$161=$C$161,Data!$E$377*Q$21,0)</f>
        <v>53504.989199999996</v>
      </c>
      <c r="R161" s="177">
        <f>IF($F$161=$C$161,Data!$E$377*R$21,0)</f>
        <v>53504.989199999996</v>
      </c>
      <c r="S161" s="177">
        <f>IF($F$161=$C$161,Data!$E$377*S$21,0)</f>
        <v>53504.989199999996</v>
      </c>
      <c r="T161" s="177">
        <f>IF($F$161=$C$161,Data!$E$377*T$21,0)</f>
        <v>53504.989199999996</v>
      </c>
      <c r="U161" s="177">
        <f>IF($F$161=$C$161,Data!$E$377*U$21,0)</f>
        <v>53504.989199999996</v>
      </c>
      <c r="V161" s="177">
        <f>IF($F$161=$C$161,Data!$E$377*V$21,0)</f>
        <v>53504.989199999996</v>
      </c>
      <c r="W161" s="177">
        <f>IF($F$161=$C$161,Data!$E$377*W$21,0)</f>
        <v>53504.989199999996</v>
      </c>
      <c r="X161" s="177">
        <f>IF($F$161=$C$161,Data!$E$377*X$21,0)</f>
        <v>53504.989199999996</v>
      </c>
      <c r="Y161" s="177">
        <f>IF($F$161=$C$161,Data!$E$377*Y$21,0)</f>
        <v>53504.989199999996</v>
      </c>
      <c r="Z161" s="177">
        <f>IF($F$161=$C$161,Data!$E$377*Z$21,0)</f>
        <v>53504.989199999996</v>
      </c>
      <c r="AA161" s="177">
        <f>IF($F$161=$C$161,Data!$E$377*AA$21,0)</f>
        <v>53504.989199999996</v>
      </c>
      <c r="AB161" s="177">
        <f>IF($F$161=$C$161,Data!$E$377*AB$21,0)</f>
        <v>53504.989199999996</v>
      </c>
      <c r="AC161" s="177">
        <f>IF($F$161=$C$161,Data!$E$377*AC$21,0)</f>
        <v>0</v>
      </c>
      <c r="AD161" s="177">
        <f>IF($F$161=$C$161,Data!$E$377*AD$21,0)</f>
        <v>0</v>
      </c>
      <c r="AE161" s="177">
        <f>IF($F$161=$C$161,Data!$E$377*AE$21,0)</f>
        <v>0</v>
      </c>
      <c r="AF161" s="177">
        <f>IF($F$161=$C$161,Data!$E$377*AF$21,0)</f>
        <v>0</v>
      </c>
      <c r="AG161" s="177">
        <f>IF($F$161=$C$161,Data!$E$377*AG$21,0)</f>
        <v>0</v>
      </c>
      <c r="AH161" s="177">
        <f>IF($F$161=$C$161,Data!$E$377*AH$21,0)</f>
        <v>0</v>
      </c>
      <c r="AI161" s="177">
        <f>IF($F$161=$C$161,Data!$E$377*AI$21,0)</f>
        <v>0</v>
      </c>
      <c r="AJ161" s="177">
        <f>IF($F$161=$C$161,Data!$E$377*AJ$21,0)</f>
        <v>0</v>
      </c>
      <c r="AK161" s="177">
        <f>IF($F$161=$C$161,Data!$E$377*AK$21,0)</f>
        <v>0</v>
      </c>
      <c r="AL161" s="177">
        <f>IF($F$161=$C$161,Data!$E$377*AL$21,0)</f>
        <v>0</v>
      </c>
      <c r="AM161" s="177">
        <f>IF($F$161=$C$161,Data!$E$377*AM$21,0)</f>
        <v>0</v>
      </c>
      <c r="AN161" s="177">
        <f>IF($F$161=$C$161,Data!$E$377*AN$21,0)</f>
        <v>0</v>
      </c>
      <c r="AO161" s="177">
        <f>IF($F$161=$C$161,Data!$E$377*AO$21,0)</f>
        <v>0</v>
      </c>
      <c r="AP161" s="29"/>
    </row>
    <row r="162" spans="1:42" hidden="1" outlineLevel="1" x14ac:dyDescent="0.25">
      <c r="A162" s="12"/>
      <c r="B162" s="13"/>
      <c r="C162" s="96" t="s">
        <v>124</v>
      </c>
      <c r="D162" s="45"/>
      <c r="E162" s="15" t="s">
        <v>474</v>
      </c>
      <c r="F162" s="158" t="str">
        <f>Dashboard!$I$43</f>
        <v>2 Axle rigid</v>
      </c>
      <c r="G162" s="14"/>
      <c r="H162" s="177"/>
      <c r="I162" s="177">
        <f>IF($F$162=$C$162,Data!$E$378*I$21,0)</f>
        <v>0</v>
      </c>
      <c r="J162" s="177">
        <f>IF($F$162=$C$162,Data!$E$378*J$21,0)</f>
        <v>0</v>
      </c>
      <c r="K162" s="177">
        <f>IF($F$162=$C$162,Data!$E$378*K$21,0)</f>
        <v>0</v>
      </c>
      <c r="L162" s="177">
        <f>IF($F$162=$C$162,Data!$E$378*L$21,0)</f>
        <v>0</v>
      </c>
      <c r="M162" s="177">
        <f>IF($F$162=$C$162,Data!$E$378*M$21,0)</f>
        <v>0</v>
      </c>
      <c r="N162" s="177">
        <f>IF($F$162=$C$162,Data!$E$378*N$21,0)</f>
        <v>0</v>
      </c>
      <c r="O162" s="177">
        <f>IF($F$162=$C$162,Data!$E$378*O$21,0)</f>
        <v>0</v>
      </c>
      <c r="P162" s="177">
        <f>IF($F$162=$C$162,Data!$E$378*P$21,0)</f>
        <v>0</v>
      </c>
      <c r="Q162" s="177">
        <f>IF($F$162=$C$162,Data!$E$378*Q$21,0)</f>
        <v>0</v>
      </c>
      <c r="R162" s="177">
        <f>IF($F$162=$C$162,Data!$E$378*R$21,0)</f>
        <v>0</v>
      </c>
      <c r="S162" s="177">
        <f>IF($F$162=$C$162,Data!$E$378*S$21,0)</f>
        <v>0</v>
      </c>
      <c r="T162" s="177">
        <f>IF($F$162=$C$162,Data!$E$378*T$21,0)</f>
        <v>0</v>
      </c>
      <c r="U162" s="177">
        <f>IF($F$162=$C$162,Data!$E$378*U$21,0)</f>
        <v>0</v>
      </c>
      <c r="V162" s="177">
        <f>IF($F$162=$C$162,Data!$E$378*V$21,0)</f>
        <v>0</v>
      </c>
      <c r="W162" s="177">
        <f>IF($F$162=$C$162,Data!$E$378*W$21,0)</f>
        <v>0</v>
      </c>
      <c r="X162" s="177">
        <f>IF($F$162=$C$162,Data!$E$378*X$21,0)</f>
        <v>0</v>
      </c>
      <c r="Y162" s="177">
        <f>IF($F$162=$C$162,Data!$E$378*Y$21,0)</f>
        <v>0</v>
      </c>
      <c r="Z162" s="177">
        <f>IF($F$162=$C$162,Data!$E$378*Z$21,0)</f>
        <v>0</v>
      </c>
      <c r="AA162" s="177">
        <f>IF($F$162=$C$162,Data!$E$378*AA$21,0)</f>
        <v>0</v>
      </c>
      <c r="AB162" s="177">
        <f>IF($F$162=$C$162,Data!$E$378*AB$21,0)</f>
        <v>0</v>
      </c>
      <c r="AC162" s="177">
        <f>IF($F$162=$C$162,Data!$E$378*AC$21,0)</f>
        <v>0</v>
      </c>
      <c r="AD162" s="177">
        <f>IF($F$162=$C$162,Data!$E$378*AD$21,0)</f>
        <v>0</v>
      </c>
      <c r="AE162" s="177">
        <f>IF($F$162=$C$162,Data!$E$378*AE$21,0)</f>
        <v>0</v>
      </c>
      <c r="AF162" s="177">
        <f>IF($F$162=$C$162,Data!$E$378*AF$21,0)</f>
        <v>0</v>
      </c>
      <c r="AG162" s="177">
        <f>IF($F$162=$C$162,Data!$E$378*AG$21,0)</f>
        <v>0</v>
      </c>
      <c r="AH162" s="177">
        <f>IF($F$162=$C$162,Data!$E$378*AH$21,0)</f>
        <v>0</v>
      </c>
      <c r="AI162" s="177">
        <f>IF($F$162=$C$162,Data!$E$378*AI$21,0)</f>
        <v>0</v>
      </c>
      <c r="AJ162" s="177">
        <f>IF($F$162=$C$162,Data!$E$378*AJ$21,0)</f>
        <v>0</v>
      </c>
      <c r="AK162" s="177">
        <f>IF($F$162=$C$162,Data!$E$378*AK$21,0)</f>
        <v>0</v>
      </c>
      <c r="AL162" s="177">
        <f>IF($F$162=$C$162,Data!$E$378*AL$21,0)</f>
        <v>0</v>
      </c>
      <c r="AM162" s="177">
        <f>IF($F$162=$C$162,Data!$E$378*AM$21,0)</f>
        <v>0</v>
      </c>
      <c r="AN162" s="177">
        <f>IF($F$162=$C$162,Data!$E$378*AN$21,0)</f>
        <v>0</v>
      </c>
      <c r="AO162" s="177">
        <f>IF($F$162=$C$162,Data!$E$378*AO$21,0)</f>
        <v>0</v>
      </c>
      <c r="AP162" s="29"/>
    </row>
    <row r="163" spans="1:42" hidden="1" outlineLevel="1" x14ac:dyDescent="0.25">
      <c r="A163" s="12"/>
      <c r="B163" s="13"/>
      <c r="C163" s="96" t="s">
        <v>126</v>
      </c>
      <c r="D163" s="45"/>
      <c r="E163" s="15" t="s">
        <v>474</v>
      </c>
      <c r="F163" s="158" t="str">
        <f>Dashboard!$I$43</f>
        <v>2 Axle rigid</v>
      </c>
      <c r="G163" s="14"/>
      <c r="H163" s="177"/>
      <c r="I163" s="177">
        <f>IF($F$163=$C$163,Data!$E$379*I$21,0)</f>
        <v>0</v>
      </c>
      <c r="J163" s="177">
        <f>IF($F$163=$C$163,Data!$E$379*J$21,0)</f>
        <v>0</v>
      </c>
      <c r="K163" s="177">
        <f>IF($F$163=$C$163,Data!$E$379*K$21,0)</f>
        <v>0</v>
      </c>
      <c r="L163" s="177">
        <f>IF($F$163=$C$163,Data!$E$379*L$21,0)</f>
        <v>0</v>
      </c>
      <c r="M163" s="177">
        <f>IF($F$163=$C$163,Data!$E$379*M$21,0)</f>
        <v>0</v>
      </c>
      <c r="N163" s="177">
        <f>IF($F$163=$C$163,Data!$E$379*N$21,0)</f>
        <v>0</v>
      </c>
      <c r="O163" s="177">
        <f>IF($F$163=$C$163,Data!$E$379*O$21,0)</f>
        <v>0</v>
      </c>
      <c r="P163" s="177">
        <f>IF($F$163=$C$163,Data!$E$379*P$21,0)</f>
        <v>0</v>
      </c>
      <c r="Q163" s="177">
        <f>IF($F$163=$C$163,Data!$E$379*Q$21,0)</f>
        <v>0</v>
      </c>
      <c r="R163" s="177">
        <f>IF($F$163=$C$163,Data!$E$379*R$21,0)</f>
        <v>0</v>
      </c>
      <c r="S163" s="177">
        <f>IF($F$163=$C$163,Data!$E$379*S$21,0)</f>
        <v>0</v>
      </c>
      <c r="T163" s="177">
        <f>IF($F$163=$C$163,Data!$E$379*T$21,0)</f>
        <v>0</v>
      </c>
      <c r="U163" s="177">
        <f>IF($F$163=$C$163,Data!$E$379*U$21,0)</f>
        <v>0</v>
      </c>
      <c r="V163" s="177">
        <f>IF($F$163=$C$163,Data!$E$379*V$21,0)</f>
        <v>0</v>
      </c>
      <c r="W163" s="177">
        <f>IF($F$163=$C$163,Data!$E$379*W$21,0)</f>
        <v>0</v>
      </c>
      <c r="X163" s="177">
        <f>IF($F$163=$C$163,Data!$E$379*X$21,0)</f>
        <v>0</v>
      </c>
      <c r="Y163" s="177">
        <f>IF($F$163=$C$163,Data!$E$379*Y$21,0)</f>
        <v>0</v>
      </c>
      <c r="Z163" s="177">
        <f>IF($F$163=$C$163,Data!$E$379*Z$21,0)</f>
        <v>0</v>
      </c>
      <c r="AA163" s="177">
        <f>IF($F$163=$C$163,Data!$E$379*AA$21,0)</f>
        <v>0</v>
      </c>
      <c r="AB163" s="177">
        <f>IF($F$163=$C$163,Data!$E$379*AB$21,0)</f>
        <v>0</v>
      </c>
      <c r="AC163" s="177">
        <f>IF($F$163=$C$163,Data!$E$379*AC$21,0)</f>
        <v>0</v>
      </c>
      <c r="AD163" s="177">
        <f>IF($F$163=$C$163,Data!$E$379*AD$21,0)</f>
        <v>0</v>
      </c>
      <c r="AE163" s="177">
        <f>IF($F$163=$C$163,Data!$E$379*AE$21,0)</f>
        <v>0</v>
      </c>
      <c r="AF163" s="177">
        <f>IF($F$163=$C$163,Data!$E$379*AF$21,0)</f>
        <v>0</v>
      </c>
      <c r="AG163" s="177">
        <f>IF($F$163=$C$163,Data!$E$379*AG$21,0)</f>
        <v>0</v>
      </c>
      <c r="AH163" s="177">
        <f>IF($F$163=$C$163,Data!$E$379*AH$21,0)</f>
        <v>0</v>
      </c>
      <c r="AI163" s="177">
        <f>IF($F$163=$C$163,Data!$E$379*AI$21,0)</f>
        <v>0</v>
      </c>
      <c r="AJ163" s="177">
        <f>IF($F$163=$C$163,Data!$E$379*AJ$21,0)</f>
        <v>0</v>
      </c>
      <c r="AK163" s="177">
        <f>IF($F$163=$C$163,Data!$E$379*AK$21,0)</f>
        <v>0</v>
      </c>
      <c r="AL163" s="177">
        <f>IF($F$163=$C$163,Data!$E$379*AL$21,0)</f>
        <v>0</v>
      </c>
      <c r="AM163" s="177">
        <f>IF($F$163=$C$163,Data!$E$379*AM$21,0)</f>
        <v>0</v>
      </c>
      <c r="AN163" s="177">
        <f>IF($F$163=$C$163,Data!$E$379*AN$21,0)</f>
        <v>0</v>
      </c>
      <c r="AO163" s="177">
        <f>IF($F$163=$C$163,Data!$E$379*AO$21,0)</f>
        <v>0</v>
      </c>
      <c r="AP163" s="29"/>
    </row>
    <row r="164" spans="1:42" hidden="1" outlineLevel="1" x14ac:dyDescent="0.25">
      <c r="A164" s="12"/>
      <c r="B164" s="13"/>
      <c r="C164" s="96"/>
      <c r="D164" s="45"/>
      <c r="E164" s="15"/>
      <c r="F164" s="158"/>
      <c r="G164" s="14"/>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29"/>
    </row>
    <row r="165" spans="1:42" hidden="1" outlineLevel="1" x14ac:dyDescent="0.25">
      <c r="A165" s="12"/>
      <c r="B165" s="13"/>
      <c r="C165" s="95" t="s">
        <v>570</v>
      </c>
      <c r="D165" s="45"/>
      <c r="E165" s="15"/>
      <c r="F165" s="16"/>
      <c r="G165" s="14"/>
      <c r="H165" s="28"/>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29"/>
    </row>
    <row r="166" spans="1:42" hidden="1" outlineLevel="1" x14ac:dyDescent="0.25">
      <c r="A166" s="12"/>
      <c r="B166" s="13"/>
      <c r="C166" s="96" t="s">
        <v>127</v>
      </c>
      <c r="D166" s="45"/>
      <c r="E166" s="15" t="s">
        <v>475</v>
      </c>
      <c r="F166" s="158" t="str">
        <f>Dashboard!$I$42</f>
        <v>Flat (Gradient  0%)</v>
      </c>
      <c r="G166" s="14"/>
      <c r="H166" s="28"/>
      <c r="I166" s="178" cm="1">
        <f t="array" ref="I166">INDEX('Control panel'!$F$17:$F$19,MATCH($F166,'Control panel'!$C$17:$C$19,0),0)</f>
        <v>0</v>
      </c>
      <c r="J166" s="178" cm="1">
        <f t="array" ref="J166">INDEX('Control panel'!$F$17:$F$19,MATCH($F166,'Control panel'!$C$17:$C$19,0),0)</f>
        <v>0</v>
      </c>
      <c r="K166" s="178" cm="1">
        <f t="array" ref="K166">INDEX('Control panel'!$F$17:$F$19,MATCH($F166,'Control panel'!$C$17:$C$19,0),0)</f>
        <v>0</v>
      </c>
      <c r="L166" s="178" cm="1">
        <f t="array" ref="L166">INDEX('Control panel'!$F$17:$F$19,MATCH($F166,'Control panel'!$C$17:$C$19,0),0)</f>
        <v>0</v>
      </c>
      <c r="M166" s="178" cm="1">
        <f t="array" ref="M166">INDEX('Control panel'!$F$17:$F$19,MATCH($F166,'Control panel'!$C$17:$C$19,0),0)</f>
        <v>0</v>
      </c>
      <c r="N166" s="178" cm="1">
        <f t="array" ref="N166">INDEX('Control panel'!$F$17:$F$19,MATCH($F166,'Control panel'!$C$17:$C$19,0),0)</f>
        <v>0</v>
      </c>
      <c r="O166" s="178" cm="1">
        <f t="array" ref="O166">INDEX('Control panel'!$F$17:$F$19,MATCH($F166,'Control panel'!$C$17:$C$19,0),0)</f>
        <v>0</v>
      </c>
      <c r="P166" s="178" cm="1">
        <f t="array" ref="P166">INDEX('Control panel'!$F$17:$F$19,MATCH($F166,'Control panel'!$C$17:$C$19,0),0)</f>
        <v>0</v>
      </c>
      <c r="Q166" s="178" cm="1">
        <f t="array" ref="Q166">INDEX('Control panel'!$F$17:$F$19,MATCH($F166,'Control panel'!$C$17:$C$19,0),0)</f>
        <v>0</v>
      </c>
      <c r="R166" s="178" cm="1">
        <f t="array" ref="R166">INDEX('Control panel'!$F$17:$F$19,MATCH($F166,'Control panel'!$C$17:$C$19,0),0)</f>
        <v>0</v>
      </c>
      <c r="S166" s="178" cm="1">
        <f t="array" ref="S166">INDEX('Control panel'!$F$17:$F$19,MATCH($F166,'Control panel'!$C$17:$C$19,0),0)</f>
        <v>0</v>
      </c>
      <c r="T166" s="178" cm="1">
        <f t="array" ref="T166">INDEX('Control panel'!$F$17:$F$19,MATCH($F166,'Control panel'!$C$17:$C$19,0),0)</f>
        <v>0</v>
      </c>
      <c r="U166" s="178" cm="1">
        <f t="array" ref="U166">INDEX('Control panel'!$F$17:$F$19,MATCH($F166,'Control panel'!$C$17:$C$19,0),0)</f>
        <v>0</v>
      </c>
      <c r="V166" s="178" cm="1">
        <f t="array" ref="V166">INDEX('Control panel'!$F$17:$F$19,MATCH($F166,'Control panel'!$C$17:$C$19,0),0)</f>
        <v>0</v>
      </c>
      <c r="W166" s="178" cm="1">
        <f t="array" ref="W166">INDEX('Control panel'!$F$17:$F$19,MATCH($F166,'Control panel'!$C$17:$C$19,0),0)</f>
        <v>0</v>
      </c>
      <c r="X166" s="178" cm="1">
        <f t="array" ref="X166">INDEX('Control panel'!$F$17:$F$19,MATCH($F166,'Control panel'!$C$17:$C$19,0),0)</f>
        <v>0</v>
      </c>
      <c r="Y166" s="178" cm="1">
        <f t="array" ref="Y166">INDEX('Control panel'!$F$17:$F$19,MATCH($F166,'Control panel'!$C$17:$C$19,0),0)</f>
        <v>0</v>
      </c>
      <c r="Z166" s="178" cm="1">
        <f t="array" ref="Z166">INDEX('Control panel'!$F$17:$F$19,MATCH($F166,'Control panel'!$C$17:$C$19,0),0)</f>
        <v>0</v>
      </c>
      <c r="AA166" s="178" cm="1">
        <f t="array" ref="AA166">INDEX('Control panel'!$F$17:$F$19,MATCH($F166,'Control panel'!$C$17:$C$19,0),0)</f>
        <v>0</v>
      </c>
      <c r="AB166" s="178" cm="1">
        <f t="array" ref="AB166">INDEX('Control panel'!$F$17:$F$19,MATCH($F166,'Control panel'!$C$17:$C$19,0),0)</f>
        <v>0</v>
      </c>
      <c r="AC166" s="178" cm="1">
        <f t="array" ref="AC166">INDEX('Control panel'!$F$17:$F$19,MATCH($F166,'Control panel'!$C$17:$C$19,0),0)</f>
        <v>0</v>
      </c>
      <c r="AD166" s="178" cm="1">
        <f t="array" ref="AD166">INDEX('Control panel'!$F$17:$F$19,MATCH($F166,'Control panel'!$C$17:$C$19,0),0)</f>
        <v>0</v>
      </c>
      <c r="AE166" s="178" cm="1">
        <f t="array" ref="AE166">INDEX('Control panel'!$F$17:$F$19,MATCH($F166,'Control panel'!$C$17:$C$19,0),0)</f>
        <v>0</v>
      </c>
      <c r="AF166" s="178" cm="1">
        <f t="array" ref="AF166">INDEX('Control panel'!$F$17:$F$19,MATCH($F166,'Control panel'!$C$17:$C$19,0),0)</f>
        <v>0</v>
      </c>
      <c r="AG166" s="178" cm="1">
        <f t="array" ref="AG166">INDEX('Control panel'!$F$17:$F$19,MATCH($F166,'Control panel'!$C$17:$C$19,0),0)</f>
        <v>0</v>
      </c>
      <c r="AH166" s="178" cm="1">
        <f t="array" ref="AH166">INDEX('Control panel'!$F$17:$F$19,MATCH($F166,'Control panel'!$C$17:$C$19,0),0)</f>
        <v>0</v>
      </c>
      <c r="AI166" s="178" cm="1">
        <f t="array" ref="AI166">INDEX('Control panel'!$F$17:$F$19,MATCH($F166,'Control panel'!$C$17:$C$19,0),0)</f>
        <v>0</v>
      </c>
      <c r="AJ166" s="178" cm="1">
        <f t="array" ref="AJ166">INDEX('Control panel'!$F$17:$F$19,MATCH($F166,'Control panel'!$C$17:$C$19,0),0)</f>
        <v>0</v>
      </c>
      <c r="AK166" s="178" cm="1">
        <f t="array" ref="AK166">INDEX('Control panel'!$F$17:$F$19,MATCH($F166,'Control panel'!$C$17:$C$19,0),0)</f>
        <v>0</v>
      </c>
      <c r="AL166" s="178" cm="1">
        <f t="array" ref="AL166">INDEX('Control panel'!$F$17:$F$19,MATCH($F166,'Control panel'!$C$17:$C$19,0),0)</f>
        <v>0</v>
      </c>
      <c r="AM166" s="178" cm="1">
        <f t="array" ref="AM166">INDEX('Control panel'!$F$17:$F$19,MATCH($F166,'Control panel'!$C$17:$C$19,0),0)</f>
        <v>0</v>
      </c>
      <c r="AN166" s="178" cm="1">
        <f t="array" ref="AN166">INDEX('Control panel'!$F$17:$F$19,MATCH($F166,'Control panel'!$C$17:$C$19,0),0)</f>
        <v>0</v>
      </c>
      <c r="AO166" s="178" cm="1">
        <f t="array" ref="AO166">INDEX('Control panel'!$F$17:$F$19,MATCH($F166,'Control panel'!$C$17:$C$19,0),0)</f>
        <v>0</v>
      </c>
      <c r="AP166" s="29"/>
    </row>
    <row r="167" spans="1:42" ht="15.75" hidden="1" customHeight="1" outlineLevel="1" x14ac:dyDescent="0.25">
      <c r="A167" s="12"/>
      <c r="B167" s="13"/>
      <c r="C167" s="96" t="s">
        <v>120</v>
      </c>
      <c r="D167" s="45"/>
      <c r="E167" s="15"/>
      <c r="F167" s="158" t="str">
        <f>Dashboard!$I$43</f>
        <v>2 Axle rigid</v>
      </c>
      <c r="G167" s="14"/>
      <c r="H167" s="28"/>
      <c r="I167" s="56">
        <f>IF($C$167=$F$167,I$21*Data!$E$389*Data!H$66,0)*(1+I$166)*(1+Data!$E$91)</f>
        <v>192165.78734871367</v>
      </c>
      <c r="J167" s="56">
        <f>IF($C$167=$F$167,J$21*Data!$E$389*Data!I$66,0)*(1+J$166)*(1+Data!$E$91)</f>
        <v>174642.6691807874</v>
      </c>
      <c r="K167" s="56">
        <f>IF($C$167=$F$167,K$21*Data!$E$389*Data!J$66,0)*(1+K$166)*(1+Data!$E$91)</f>
        <v>157119.55101286119</v>
      </c>
      <c r="L167" s="56">
        <f>IF($C$167=$F$167,L$21*Data!$E$389*Data!K$66,0)*(1+L$166)*(1+Data!$E$91)</f>
        <v>139596.43284493496</v>
      </c>
      <c r="M167" s="56">
        <f>IF($C$167=$F$167,M$21*Data!$E$389*Data!L$66,0)*(1+M$166)*(1+Data!$E$91)</f>
        <v>122073.31467700875</v>
      </c>
      <c r="N167" s="56">
        <f>IF($C$167=$F$167,N$21*Data!$E$389*Data!M$66,0)*(1+N$166)*(1+Data!$E$91)</f>
        <v>104550.19650908253</v>
      </c>
      <c r="O167" s="56">
        <f>IF($C$167=$F$167,O$21*Data!$E$389*Data!N$66,0)*(1+O$166)*(1+Data!$E$91)</f>
        <v>87027.078341156288</v>
      </c>
      <c r="P167" s="56">
        <f>IF($C$167=$F$167,P$21*Data!$E$389*Data!O$66,0)*(1+P$166)*(1+Data!$E$91)</f>
        <v>69503.96017323008</v>
      </c>
      <c r="Q167" s="56">
        <f>IF($C$167=$F$167,Q$21*Data!$E$389*Data!P$66,0)*(1+Q$166)*(1+Data!$E$91)</f>
        <v>68229.251842585814</v>
      </c>
      <c r="R167" s="56">
        <f>IF($C$167=$F$167,R$21*Data!$E$389*Data!Q$66,0)*(1+R$166)*(1+Data!$E$91)</f>
        <v>66984.770760111089</v>
      </c>
      <c r="S167" s="56">
        <f>IF($C$167=$F$167,S$21*Data!$E$389*Data!R$66,0)*(1+S$166)*(1+Data!$E$91)</f>
        <v>65769.679626542667</v>
      </c>
      <c r="T167" s="56">
        <f>IF($C$167=$F$167,T$21*Data!$E$389*Data!S$66,0)*(1+T$166)*(1+Data!$E$91)</f>
        <v>64583.166862155595</v>
      </c>
      <c r="U167" s="56">
        <f>IF($C$167=$F$167,U$21*Data!$E$389*Data!T$66,0)*(1+U$166)*(1+Data!$E$91)</f>
        <v>63424.445772140061</v>
      </c>
      <c r="V167" s="56">
        <f>IF($C$167=$F$167,V$21*Data!$E$389*Data!U$66,0)*(1+V$166)*(1+Data!$E$91)</f>
        <v>62292.75373977964</v>
      </c>
      <c r="W167" s="56">
        <f>IF($C$167=$F$167,W$21*Data!$E$389*Data!V$66,0)*(1+W$166)*(1+Data!$E$91)</f>
        <v>61187.351446494205</v>
      </c>
      <c r="X167" s="56">
        <f>IF($C$167=$F$167,X$21*Data!$E$389*Data!W$66,0)*(1+X$166)*(1+Data!$E$91)</f>
        <v>60107.522117841756</v>
      </c>
      <c r="Y167" s="56">
        <f>IF($C$167=$F$167,Y$21*Data!$E$389*Data!X$66,0)*(1+Y$166)*(1+Data!$E$91)</f>
        <v>59052.570794605417</v>
      </c>
      <c r="Z167" s="56">
        <f>IF($C$167=$F$167,Z$21*Data!$E$389*Data!Y$66,0)*(1+Z$166)*(1+Data!$E$91)</f>
        <v>58021.823628119884</v>
      </c>
      <c r="AA167" s="56">
        <f>IF($C$167=$F$167,AA$21*Data!$E$389*Data!Z$66,0)*(1+AA$166)*(1+Data!$E$91)</f>
        <v>57014.627199021874</v>
      </c>
      <c r="AB167" s="56">
        <f>IF($C$167=$F$167,AB$21*Data!$E$389*Data!AA$66,0)*(1+AB$166)*(1+Data!$E$91)</f>
        <v>56030.34785863517</v>
      </c>
      <c r="AC167" s="56">
        <f>IF($C$167=$F$167,AC$21*Data!$E$389*Data!AB$66,0)*(1+AC$166)*(1+Data!$E$91)</f>
        <v>0</v>
      </c>
      <c r="AD167" s="56">
        <f>IF($C$167=$F$167,AD$21*Data!$E$389*Data!AC$66,0)*(1+AD$166)*(1+Data!$E$91)</f>
        <v>0</v>
      </c>
      <c r="AE167" s="56">
        <f>IF($C$167=$F$167,AE$21*Data!$E$389*Data!AD$66,0)*(1+AE$166)*(1+Data!$E$91)</f>
        <v>0</v>
      </c>
      <c r="AF167" s="56">
        <f>IF($C$167=$F$167,AF$21*Data!$E$389*Data!AE$66,0)*(1+AF$166)*(1+Data!$E$91)</f>
        <v>0</v>
      </c>
      <c r="AG167" s="56">
        <f>IF($C$167=$F$167,AG$21*Data!$E$389*Data!AF$66,0)*(1+AG$166)*(1+Data!$E$91)</f>
        <v>0</v>
      </c>
      <c r="AH167" s="56">
        <f>IF($C$167=$F$167,AH$21*Data!$E$389*Data!AG$66,0)*(1+AH$166)*(1+Data!$E$91)</f>
        <v>0</v>
      </c>
      <c r="AI167" s="56">
        <f>IF($C$167=$F$167,AI$21*Data!$E$389*Data!AH$66,0)*(1+AI$166)*(1+Data!$E$91)</f>
        <v>0</v>
      </c>
      <c r="AJ167" s="56">
        <f>IF($C$167=$F$167,AJ$21*Data!$E$389*Data!AI$66,0)*(1+AJ$166)*(1+Data!$E$91)</f>
        <v>0</v>
      </c>
      <c r="AK167" s="56">
        <f>IF($C$167=$F$167,AK$21*Data!$E$389*Data!AJ$66,0)*(1+AK$166)*(1+Data!$E$91)</f>
        <v>0</v>
      </c>
      <c r="AL167" s="56">
        <f>IF($C$167=$F$167,AL$21*Data!$E$389*Data!AK$66,0)*(1+AL$166)*(1+Data!$E$91)</f>
        <v>0</v>
      </c>
      <c r="AM167" s="56">
        <f>IF($C$167=$F$167,AM$21*Data!$E$389*Data!AL$66,0)*(1+AM$166)*(1+Data!$E$91)</f>
        <v>0</v>
      </c>
      <c r="AN167" s="56">
        <f>IF($C$167=$F$167,AN$21*Data!$E$389*Data!AM$66,0)*(1+AN$166)*(1+Data!$E$91)</f>
        <v>0</v>
      </c>
      <c r="AO167" s="56">
        <f>IF($C$167=$F$167,AO$21*Data!$E$389*Data!AN$66,0)*(1+AO$166)*(1+Data!$E$91)</f>
        <v>0</v>
      </c>
      <c r="AP167" s="29"/>
    </row>
    <row r="168" spans="1:42" hidden="1" outlineLevel="1" x14ac:dyDescent="0.25">
      <c r="A168" s="12"/>
      <c r="B168" s="13"/>
      <c r="C168" s="96" t="s">
        <v>124</v>
      </c>
      <c r="D168" s="45"/>
      <c r="E168" s="15"/>
      <c r="F168" s="158" t="str">
        <f>Dashboard!$I$43</f>
        <v>2 Axle rigid</v>
      </c>
      <c r="G168" s="14"/>
      <c r="H168" s="28"/>
      <c r="I168" s="56">
        <f>IF($C$168=$F$168,I$21*Data!$E$390*Data!H$66,0)*(1+I$166)*(1+Data!$E$91)</f>
        <v>0</v>
      </c>
      <c r="J168" s="56">
        <f>IF($C$168=$F$168,J$21*Data!$E$390*Data!I$66,0)*(1+J$166)*(1+Data!$E$91)</f>
        <v>0</v>
      </c>
      <c r="K168" s="56">
        <f>IF($C$168=$F$168,K$21*Data!$E$390*Data!J$66,0)*(1+K$166)*(1+Data!$E$91)</f>
        <v>0</v>
      </c>
      <c r="L168" s="56">
        <f>IF($C$168=$F$168,L$21*Data!$E$390*Data!K$66,0)*(1+L$166)*(1+Data!$E$91)</f>
        <v>0</v>
      </c>
      <c r="M168" s="56">
        <f>IF($C$168=$F$168,M$21*Data!$E$390*Data!L$66,0)*(1+M$166)*(1+Data!$E$91)</f>
        <v>0</v>
      </c>
      <c r="N168" s="56">
        <f>IF($C$168=$F$168,N$21*Data!$E$390*Data!M$66,0)*(1+N$166)*(1+Data!$E$91)</f>
        <v>0</v>
      </c>
      <c r="O168" s="56">
        <f>IF($C$168=$F$168,O$21*Data!$E$390*Data!N$66,0)*(1+O$166)*(1+Data!$E$91)</f>
        <v>0</v>
      </c>
      <c r="P168" s="56">
        <f>IF($C$168=$F$168,P$21*Data!$E$390*Data!O$66,0)*(1+P$166)*(1+Data!$E$91)</f>
        <v>0</v>
      </c>
      <c r="Q168" s="56">
        <f>IF($C$168=$F$168,Q$21*Data!$E$390*Data!P$66,0)*(1+Q$166)*(1+Data!$E$91)</f>
        <v>0</v>
      </c>
      <c r="R168" s="56">
        <f>IF($C$168=$F$168,R$21*Data!$E$390*Data!Q$66,0)*(1+R$166)*(1+Data!$E$91)</f>
        <v>0</v>
      </c>
      <c r="S168" s="56">
        <f>IF($C$168=$F$168,S$21*Data!$E$390*Data!R$66,0)*(1+S$166)*(1+Data!$E$91)</f>
        <v>0</v>
      </c>
      <c r="T168" s="56">
        <f>IF($C$168=$F$168,T$21*Data!$E$390*Data!S$66,0)*(1+T$166)*(1+Data!$E$91)</f>
        <v>0</v>
      </c>
      <c r="U168" s="56">
        <f>IF($C$168=$F$168,U$21*Data!$E$390*Data!T$66,0)*(1+U$166)*(1+Data!$E$91)</f>
        <v>0</v>
      </c>
      <c r="V168" s="56">
        <f>IF($C$168=$F$168,V$21*Data!$E$390*Data!U$66,0)*(1+V$166)*(1+Data!$E$91)</f>
        <v>0</v>
      </c>
      <c r="W168" s="56">
        <f>IF($C$168=$F$168,W$21*Data!$E$390*Data!V$66,0)*(1+W$166)*(1+Data!$E$91)</f>
        <v>0</v>
      </c>
      <c r="X168" s="56">
        <f>IF($C$168=$F$168,X$21*Data!$E$390*Data!W$66,0)*(1+X$166)*(1+Data!$E$91)</f>
        <v>0</v>
      </c>
      <c r="Y168" s="56">
        <f>IF($C$168=$F$168,Y$21*Data!$E$390*Data!X$66,0)*(1+Y$166)*(1+Data!$E$91)</f>
        <v>0</v>
      </c>
      <c r="Z168" s="56">
        <f>IF($C$168=$F$168,Z$21*Data!$E$390*Data!Y$66,0)*(1+Z$166)*(1+Data!$E$91)</f>
        <v>0</v>
      </c>
      <c r="AA168" s="56">
        <f>IF($C$168=$F$168,AA$21*Data!$E$390*Data!Z$66,0)*(1+AA$166)*(1+Data!$E$91)</f>
        <v>0</v>
      </c>
      <c r="AB168" s="56">
        <f>IF($C$168=$F$168,AB$21*Data!$E$390*Data!AA$66,0)*(1+AB$166)*(1+Data!$E$91)</f>
        <v>0</v>
      </c>
      <c r="AC168" s="56">
        <f>IF($C$168=$F$168,AC$21*Data!$E$390*Data!AB$66,0)*(1+AC$166)*(1+Data!$E$91)</f>
        <v>0</v>
      </c>
      <c r="AD168" s="56">
        <f>IF($C$168=$F$168,AD$21*Data!$E$390*Data!AC$66,0)*(1+AD$166)*(1+Data!$E$91)</f>
        <v>0</v>
      </c>
      <c r="AE168" s="56">
        <f>IF($C$168=$F$168,AE$21*Data!$E$390*Data!AD$66,0)*(1+AE$166)*(1+Data!$E$91)</f>
        <v>0</v>
      </c>
      <c r="AF168" s="56">
        <f>IF($C$168=$F$168,AF$21*Data!$E$390*Data!AE$66,0)*(1+AF$166)*(1+Data!$E$91)</f>
        <v>0</v>
      </c>
      <c r="AG168" s="56">
        <f>IF($C$168=$F$168,AG$21*Data!$E$390*Data!AF$66,0)*(1+AG$166)*(1+Data!$E$91)</f>
        <v>0</v>
      </c>
      <c r="AH168" s="56">
        <f>IF($C$168=$F$168,AH$21*Data!$E$390*Data!AG$66,0)*(1+AH$166)*(1+Data!$E$91)</f>
        <v>0</v>
      </c>
      <c r="AI168" s="56">
        <f>IF($C$168=$F$168,AI$21*Data!$E$390*Data!AH$66,0)*(1+AI$166)*(1+Data!$E$91)</f>
        <v>0</v>
      </c>
      <c r="AJ168" s="56">
        <f>IF($C$168=$F$168,AJ$21*Data!$E$390*Data!AI$66,0)*(1+AJ$166)*(1+Data!$E$91)</f>
        <v>0</v>
      </c>
      <c r="AK168" s="56">
        <f>IF($C$168=$F$168,AK$21*Data!$E$390*Data!AJ$66,0)*(1+AK$166)*(1+Data!$E$91)</f>
        <v>0</v>
      </c>
      <c r="AL168" s="56">
        <f>IF($C$168=$F$168,AL$21*Data!$E$390*Data!AK$66,0)*(1+AL$166)*(1+Data!$E$91)</f>
        <v>0</v>
      </c>
      <c r="AM168" s="56">
        <f>IF($C$168=$F$168,AM$21*Data!$E$390*Data!AL$66,0)*(1+AM$166)*(1+Data!$E$91)</f>
        <v>0</v>
      </c>
      <c r="AN168" s="56">
        <f>IF($C$168=$F$168,AN$21*Data!$E$390*Data!AM$66,0)*(1+AN$166)*(1+Data!$E$91)</f>
        <v>0</v>
      </c>
      <c r="AO168" s="56">
        <f>IF($C$168=$F$168,AO$21*Data!$E$390*Data!AN$66,0)*(1+AO$166)*(1+Data!$E$91)</f>
        <v>0</v>
      </c>
      <c r="AP168" s="29"/>
    </row>
    <row r="169" spans="1:42" hidden="1" outlineLevel="1" x14ac:dyDescent="0.25">
      <c r="A169" s="12"/>
      <c r="B169" s="13"/>
      <c r="C169" s="96" t="s">
        <v>126</v>
      </c>
      <c r="D169" s="45"/>
      <c r="E169" s="15"/>
      <c r="F169" s="158" t="str">
        <f>Dashboard!$I$43</f>
        <v>2 Axle rigid</v>
      </c>
      <c r="G169" s="14"/>
      <c r="H169" s="28"/>
      <c r="I169" s="56">
        <f>IF($C$169=$F$169,I$21*Data!$E$391*Data!H$66,0)*(1+I$166)*(1+Data!$E$91)</f>
        <v>0</v>
      </c>
      <c r="J169" s="56">
        <f>IF($C$169=$F$169,J$21*Data!$E$391*Data!I$66,0)*(1+J$166)*(1+Data!$E$91)</f>
        <v>0</v>
      </c>
      <c r="K169" s="56">
        <f>IF($C$169=$F$169,K$21*Data!$E$391*Data!J$66,0)*(1+K$166)*(1+Data!$E$91)</f>
        <v>0</v>
      </c>
      <c r="L169" s="56">
        <f>IF($C$169=$F$169,L$21*Data!$E$391*Data!K$66,0)*(1+L$166)*(1+Data!$E$91)</f>
        <v>0</v>
      </c>
      <c r="M169" s="56">
        <f>IF($C$169=$F$169,M$21*Data!$E$391*Data!L$66,0)*(1+M$166)*(1+Data!$E$91)</f>
        <v>0</v>
      </c>
      <c r="N169" s="56">
        <f>IF($C$169=$F$169,N$21*Data!$E$391*Data!M$66,0)*(1+N$166)*(1+Data!$E$91)</f>
        <v>0</v>
      </c>
      <c r="O169" s="56">
        <f>IF($C$169=$F$169,O$21*Data!$E$391*Data!N$66,0)*(1+O$166)*(1+Data!$E$91)</f>
        <v>0</v>
      </c>
      <c r="P169" s="56">
        <f>IF($C$169=$F$169,P$21*Data!$E$391*Data!O$66,0)*(1+P$166)*(1+Data!$E$91)</f>
        <v>0</v>
      </c>
      <c r="Q169" s="56">
        <f>IF($C$169=$F$169,Q$21*Data!$E$391*Data!P$66,0)*(1+Q$166)*(1+Data!$E$91)</f>
        <v>0</v>
      </c>
      <c r="R169" s="56">
        <f>IF($C$169=$F$169,R$21*Data!$E$391*Data!Q$66,0)*(1+R$166)*(1+Data!$E$91)</f>
        <v>0</v>
      </c>
      <c r="S169" s="56">
        <f>IF($C$169=$F$169,S$21*Data!$E$391*Data!R$66,0)*(1+S$166)*(1+Data!$E$91)</f>
        <v>0</v>
      </c>
      <c r="T169" s="56">
        <f>IF($C$169=$F$169,T$21*Data!$E$391*Data!S$66,0)*(1+T$166)*(1+Data!$E$91)</f>
        <v>0</v>
      </c>
      <c r="U169" s="56">
        <f>IF($C$169=$F$169,U$21*Data!$E$391*Data!T$66,0)*(1+U$166)*(1+Data!$E$91)</f>
        <v>0</v>
      </c>
      <c r="V169" s="56">
        <f>IF($C$169=$F$169,V$21*Data!$E$391*Data!U$66,0)*(1+V$166)*(1+Data!$E$91)</f>
        <v>0</v>
      </c>
      <c r="W169" s="56">
        <f>IF($C$169=$F$169,W$21*Data!$E$391*Data!V$66,0)*(1+W$166)*(1+Data!$E$91)</f>
        <v>0</v>
      </c>
      <c r="X169" s="56">
        <f>IF($C$169=$F$169,X$21*Data!$E$391*Data!W$66,0)*(1+X$166)*(1+Data!$E$91)</f>
        <v>0</v>
      </c>
      <c r="Y169" s="56">
        <f>IF($C$169=$F$169,Y$21*Data!$E$391*Data!X$66,0)*(1+Y$166)*(1+Data!$E$91)</f>
        <v>0</v>
      </c>
      <c r="Z169" s="56">
        <f>IF($C$169=$F$169,Z$21*Data!$E$391*Data!Y$66,0)*(1+Z$166)*(1+Data!$E$91)</f>
        <v>0</v>
      </c>
      <c r="AA169" s="56">
        <f>IF($C$169=$F$169,AA$21*Data!$E$391*Data!Z$66,0)*(1+AA$166)*(1+Data!$E$91)</f>
        <v>0</v>
      </c>
      <c r="AB169" s="56">
        <f>IF($C$169=$F$169,AB$21*Data!$E$391*Data!AA$66,0)*(1+AB$166)*(1+Data!$E$91)</f>
        <v>0</v>
      </c>
      <c r="AC169" s="56">
        <f>IF($C$169=$F$169,AC$21*Data!$E$391*Data!AB$66,0)*(1+AC$166)*(1+Data!$E$91)</f>
        <v>0</v>
      </c>
      <c r="AD169" s="56">
        <f>IF($C$169=$F$169,AD$21*Data!$E$391*Data!AC$66,0)*(1+AD$166)*(1+Data!$E$91)</f>
        <v>0</v>
      </c>
      <c r="AE169" s="56">
        <f>IF($C$169=$F$169,AE$21*Data!$E$391*Data!AD$66,0)*(1+AE$166)*(1+Data!$E$91)</f>
        <v>0</v>
      </c>
      <c r="AF169" s="56">
        <f>IF($C$169=$F$169,AF$21*Data!$E$391*Data!AE$66,0)*(1+AF$166)*(1+Data!$E$91)</f>
        <v>0</v>
      </c>
      <c r="AG169" s="56">
        <f>IF($C$169=$F$169,AG$21*Data!$E$391*Data!AF$66,0)*(1+AG$166)*(1+Data!$E$91)</f>
        <v>0</v>
      </c>
      <c r="AH169" s="56">
        <f>IF($C$169=$F$169,AH$21*Data!$E$391*Data!AG$66,0)*(1+AH$166)*(1+Data!$E$91)</f>
        <v>0</v>
      </c>
      <c r="AI169" s="56">
        <f>IF($C$169=$F$169,AI$21*Data!$E$391*Data!AH$66,0)*(1+AI$166)*(1+Data!$E$91)</f>
        <v>0</v>
      </c>
      <c r="AJ169" s="56">
        <f>IF($C$169=$F$169,AJ$21*Data!$E$391*Data!AI$66,0)*(1+AJ$166)*(1+Data!$E$91)</f>
        <v>0</v>
      </c>
      <c r="AK169" s="56">
        <f>IF($C$169=$F$169,AK$21*Data!$E$391*Data!AJ$66,0)*(1+AK$166)*(1+Data!$E$91)</f>
        <v>0</v>
      </c>
      <c r="AL169" s="56">
        <f>IF($C$169=$F$169,AL$21*Data!$E$391*Data!AK$66,0)*(1+AL$166)*(1+Data!$E$91)</f>
        <v>0</v>
      </c>
      <c r="AM169" s="56">
        <f>IF($C$169=$F$169,AM$21*Data!$E$391*Data!AL$66,0)*(1+AM$166)*(1+Data!$E$91)</f>
        <v>0</v>
      </c>
      <c r="AN169" s="56">
        <f>IF($C$169=$F$169,AN$21*Data!$E$391*Data!AM$66,0)*(1+AN$166)*(1+Data!$E$91)</f>
        <v>0</v>
      </c>
      <c r="AO169" s="56">
        <f>IF($C$169=$F$169,AO$21*Data!$E$391*Data!AN$66,0)*(1+AO$166)*(1+Data!$E$91)</f>
        <v>0</v>
      </c>
      <c r="AP169" s="29"/>
    </row>
    <row r="170" spans="1:42" hidden="1" outlineLevel="1" x14ac:dyDescent="0.25">
      <c r="A170" s="12"/>
      <c r="B170" s="13"/>
      <c r="C170" s="96"/>
      <c r="D170" s="45"/>
      <c r="E170" s="15"/>
      <c r="F170" s="158"/>
      <c r="G170" s="14"/>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9"/>
    </row>
    <row r="171" spans="1:42" hidden="1" outlineLevel="1" x14ac:dyDescent="0.25">
      <c r="A171" s="12"/>
      <c r="B171" s="13"/>
      <c r="C171" s="19" t="s">
        <v>512</v>
      </c>
      <c r="D171" s="45"/>
      <c r="E171" s="15"/>
      <c r="F171" s="158"/>
      <c r="G171" s="14"/>
      <c r="H171" s="28"/>
      <c r="I171" s="182">
        <f>SUM(I161:I163)+SUM(I167:I169)</f>
        <v>245670.77654871368</v>
      </c>
      <c r="J171" s="182">
        <f t="shared" ref="J171:AO171" si="40">SUM(J161:J163)+SUM(J167:J169)</f>
        <v>228147.65838078741</v>
      </c>
      <c r="K171" s="182">
        <f t="shared" si="40"/>
        <v>210624.5402128612</v>
      </c>
      <c r="L171" s="182">
        <f t="shared" si="40"/>
        <v>193101.42204493494</v>
      </c>
      <c r="M171" s="182">
        <f t="shared" si="40"/>
        <v>175578.30387700873</v>
      </c>
      <c r="N171" s="182">
        <f t="shared" si="40"/>
        <v>158055.18570908252</v>
      </c>
      <c r="O171" s="182">
        <f t="shared" si="40"/>
        <v>140532.06754115628</v>
      </c>
      <c r="P171" s="182">
        <f t="shared" si="40"/>
        <v>123008.94937323008</v>
      </c>
      <c r="Q171" s="182">
        <f t="shared" si="40"/>
        <v>121734.24104258581</v>
      </c>
      <c r="R171" s="182">
        <f t="shared" si="40"/>
        <v>120489.75996011109</v>
      </c>
      <c r="S171" s="182">
        <f t="shared" si="40"/>
        <v>119274.66882654266</v>
      </c>
      <c r="T171" s="182">
        <f t="shared" si="40"/>
        <v>118088.15606215558</v>
      </c>
      <c r="U171" s="182">
        <f t="shared" si="40"/>
        <v>116929.43497214006</v>
      </c>
      <c r="V171" s="182">
        <f t="shared" si="40"/>
        <v>115797.74293977964</v>
      </c>
      <c r="W171" s="182">
        <f t="shared" si="40"/>
        <v>114692.34064649421</v>
      </c>
      <c r="X171" s="182">
        <f t="shared" si="40"/>
        <v>113612.51131784175</v>
      </c>
      <c r="Y171" s="182">
        <f t="shared" si="40"/>
        <v>112557.55999460541</v>
      </c>
      <c r="Z171" s="182">
        <f t="shared" si="40"/>
        <v>111526.81282811987</v>
      </c>
      <c r="AA171" s="182">
        <f t="shared" si="40"/>
        <v>110519.61639902188</v>
      </c>
      <c r="AB171" s="182">
        <f t="shared" si="40"/>
        <v>109535.33705863517</v>
      </c>
      <c r="AC171" s="182">
        <f t="shared" si="40"/>
        <v>0</v>
      </c>
      <c r="AD171" s="182">
        <f t="shared" si="40"/>
        <v>0</v>
      </c>
      <c r="AE171" s="182">
        <f t="shared" si="40"/>
        <v>0</v>
      </c>
      <c r="AF171" s="182">
        <f t="shared" si="40"/>
        <v>0</v>
      </c>
      <c r="AG171" s="182">
        <f t="shared" si="40"/>
        <v>0</v>
      </c>
      <c r="AH171" s="182">
        <f t="shared" si="40"/>
        <v>0</v>
      </c>
      <c r="AI171" s="182">
        <f t="shared" si="40"/>
        <v>0</v>
      </c>
      <c r="AJ171" s="182">
        <f t="shared" si="40"/>
        <v>0</v>
      </c>
      <c r="AK171" s="182">
        <f t="shared" si="40"/>
        <v>0</v>
      </c>
      <c r="AL171" s="182">
        <f t="shared" si="40"/>
        <v>0</v>
      </c>
      <c r="AM171" s="182">
        <f t="shared" si="40"/>
        <v>0</v>
      </c>
      <c r="AN171" s="182">
        <f t="shared" si="40"/>
        <v>0</v>
      </c>
      <c r="AO171" s="182">
        <f t="shared" si="40"/>
        <v>0</v>
      </c>
      <c r="AP171" s="29"/>
    </row>
    <row r="172" spans="1:42" hidden="1" outlineLevel="1" x14ac:dyDescent="0.25">
      <c r="A172" s="12"/>
      <c r="B172" s="13"/>
      <c r="C172" s="96"/>
      <c r="D172" s="45"/>
      <c r="E172" s="15"/>
      <c r="F172" s="158"/>
      <c r="G172" s="14"/>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9"/>
    </row>
    <row r="173" spans="1:42" hidden="1" outlineLevel="1" x14ac:dyDescent="0.25">
      <c r="A173" s="12"/>
      <c r="B173" s="13"/>
      <c r="C173" s="45"/>
      <c r="D173" s="45"/>
      <c r="E173" s="15"/>
      <c r="F173" s="16"/>
      <c r="G173" s="14"/>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9"/>
    </row>
    <row r="174" spans="1:42" hidden="1" outlineLevel="1" x14ac:dyDescent="0.25">
      <c r="A174" s="12"/>
      <c r="B174" s="13"/>
      <c r="C174" s="37" t="s">
        <v>513</v>
      </c>
      <c r="D174" s="37"/>
      <c r="E174" s="38"/>
      <c r="F174" s="39"/>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17"/>
    </row>
    <row r="175" spans="1:42" hidden="1" outlineLevel="1" x14ac:dyDescent="0.25">
      <c r="A175" s="12"/>
      <c r="B175" s="13"/>
      <c r="C175" s="19"/>
      <c r="D175" s="19"/>
      <c r="E175" s="15"/>
      <c r="F175" s="16"/>
      <c r="G175" s="14"/>
      <c r="H175" s="159"/>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7"/>
    </row>
    <row r="176" spans="1:42" hidden="1" outlineLevel="1" x14ac:dyDescent="0.25">
      <c r="A176" s="12"/>
      <c r="B176" s="13"/>
      <c r="C176" s="96" t="s">
        <v>249</v>
      </c>
      <c r="D176" s="45"/>
      <c r="E176" s="15" t="s">
        <v>142</v>
      </c>
      <c r="F176" s="16"/>
      <c r="G176" s="14"/>
      <c r="H176" s="165">
        <f>-U79</f>
        <v>52500</v>
      </c>
      <c r="I176" s="28"/>
      <c r="J176" s="28"/>
      <c r="K176" s="28"/>
      <c r="L176" s="28"/>
      <c r="M176" s="28"/>
      <c r="N176" s="28"/>
      <c r="O176" s="28"/>
      <c r="P176" s="28"/>
      <c r="Q176" s="28"/>
      <c r="R176" s="28"/>
      <c r="S176" s="28"/>
      <c r="T176" s="28"/>
      <c r="V176" s="28"/>
      <c r="W176" s="28"/>
      <c r="X176" s="28"/>
      <c r="Y176" s="28"/>
      <c r="Z176" s="28"/>
      <c r="AA176" s="28"/>
      <c r="AB176" s="28"/>
      <c r="AC176" s="165">
        <f>SUM(H150:H152)*Data!$E$359</f>
        <v>123000</v>
      </c>
      <c r="AD176" s="28"/>
      <c r="AE176" s="28"/>
      <c r="AF176" s="28"/>
      <c r="AG176" s="28"/>
      <c r="AH176" s="28"/>
      <c r="AI176" s="28"/>
      <c r="AJ176" s="28"/>
      <c r="AK176" s="28"/>
      <c r="AL176" s="28"/>
      <c r="AM176" s="28"/>
      <c r="AN176" s="28"/>
      <c r="AO176" s="28"/>
      <c r="AP176" s="29"/>
    </row>
    <row r="177" spans="1:42" hidden="1" outlineLevel="1" x14ac:dyDescent="0.25">
      <c r="A177" s="12"/>
      <c r="B177" s="13"/>
      <c r="C177" s="96"/>
      <c r="D177" s="45"/>
      <c r="E177" s="15"/>
      <c r="F177" s="16"/>
      <c r="G177" s="14"/>
      <c r="H177" s="28"/>
      <c r="I177" s="28"/>
      <c r="J177" s="28"/>
      <c r="K177" s="28"/>
      <c r="L177" s="28"/>
      <c r="M177" s="28"/>
      <c r="N177" s="28"/>
      <c r="O177" s="28"/>
      <c r="P177" s="28"/>
      <c r="Q177" s="28"/>
      <c r="R177" s="28"/>
      <c r="S177" s="28"/>
      <c r="T177" s="28"/>
      <c r="U177" s="28"/>
      <c r="V177" s="28"/>
      <c r="W177" s="28"/>
      <c r="X177" s="28"/>
      <c r="Y177" s="28"/>
      <c r="Z177" s="28"/>
      <c r="AA177" s="28"/>
      <c r="AB177" s="28"/>
      <c r="AC177" s="165"/>
      <c r="AD177" s="28"/>
      <c r="AE177" s="28"/>
      <c r="AF177" s="28"/>
      <c r="AG177" s="28"/>
      <c r="AH177" s="28"/>
      <c r="AI177" s="28"/>
      <c r="AJ177" s="28"/>
      <c r="AK177" s="28"/>
      <c r="AL177" s="28"/>
      <c r="AM177" s="28"/>
      <c r="AN177" s="28"/>
      <c r="AO177" s="28"/>
      <c r="AP177" s="29"/>
    </row>
    <row r="178" spans="1:42" hidden="1" outlineLevel="1" x14ac:dyDescent="0.25">
      <c r="A178" s="12"/>
      <c r="B178" s="13"/>
      <c r="C178" s="96"/>
      <c r="D178" s="45"/>
      <c r="E178" s="15"/>
      <c r="F178" s="16"/>
      <c r="G178" s="14"/>
      <c r="H178" s="28"/>
      <c r="I178" s="28"/>
      <c r="J178" s="28"/>
      <c r="K178" s="28"/>
      <c r="L178" s="28"/>
      <c r="M178" s="28"/>
      <c r="N178" s="28"/>
      <c r="O178" s="28"/>
      <c r="P178" s="28"/>
      <c r="Q178" s="28"/>
      <c r="R178" s="28"/>
      <c r="S178" s="28"/>
      <c r="T178" s="28"/>
      <c r="V178" s="28"/>
      <c r="W178" s="28"/>
      <c r="X178" s="28"/>
      <c r="Y178" s="28"/>
      <c r="Z178" s="28"/>
      <c r="AA178" s="28"/>
      <c r="AB178" s="28"/>
      <c r="AC178" s="165"/>
      <c r="AD178" s="28"/>
      <c r="AE178" s="28"/>
      <c r="AF178" s="28"/>
      <c r="AG178" s="28"/>
      <c r="AH178" s="28"/>
      <c r="AI178" s="28"/>
      <c r="AJ178" s="28"/>
      <c r="AK178" s="28"/>
      <c r="AL178" s="28"/>
      <c r="AM178" s="28"/>
      <c r="AN178" s="28"/>
      <c r="AO178" s="28"/>
      <c r="AP178" s="29"/>
    </row>
    <row r="179" spans="1:42" hidden="1" outlineLevel="1" x14ac:dyDescent="0.25">
      <c r="A179" s="12"/>
      <c r="B179" s="13"/>
      <c r="C179" s="20" t="s">
        <v>478</v>
      </c>
      <c r="D179" s="14"/>
      <c r="E179" s="15" t="s">
        <v>142</v>
      </c>
      <c r="F179" s="16"/>
      <c r="G179" s="231">
        <f>SUM(I179:AO179)</f>
        <v>2006275.622397196</v>
      </c>
      <c r="H179" s="46"/>
      <c r="I179" s="56">
        <f>(I171-I176)*Data!H$9</f>
        <v>236221.90052760928</v>
      </c>
      <c r="J179" s="56">
        <f>(J171-J176)*Data!I$9</f>
        <v>210935.33504140846</v>
      </c>
      <c r="K179" s="56">
        <f>(K171-K176)*Data!J$9</f>
        <v>187244.4492959693</v>
      </c>
      <c r="L179" s="56">
        <f>(L171-L176)*Data!K$9</f>
        <v>165063.90485781027</v>
      </c>
      <c r="M179" s="56">
        <f>(M171-M176)*Data!L$9</f>
        <v>144312.56731534403</v>
      </c>
      <c r="N179" s="56">
        <f>(N171-N176)*Data!M$9</f>
        <v>124913.30913286365</v>
      </c>
      <c r="O179" s="56">
        <f>(O171-O176)*Data!N$9</f>
        <v>106792.82145064014</v>
      </c>
      <c r="P179" s="56">
        <f>(P171-P176)*Data!O$9</f>
        <v>89881.434434604133</v>
      </c>
      <c r="Q179" s="56">
        <f>(Q171-Q176)*Data!P$9</f>
        <v>85528.863022276841</v>
      </c>
      <c r="R179" s="56">
        <f>(R171-R176)*Data!Q$9</f>
        <v>81398.564539472427</v>
      </c>
      <c r="S179" s="56">
        <f>(S171-S176)*Data!R$9</f>
        <v>77478.550488245848</v>
      </c>
      <c r="T179" s="56">
        <f>(T171-T176)*Data!S$9</f>
        <v>73757.513866772657</v>
      </c>
      <c r="U179" s="56">
        <f>(U171-U176)*Data!T$9</f>
        <v>70224.788550637284</v>
      </c>
      <c r="V179" s="56">
        <f>(V171-V176)*Data!U$9</f>
        <v>66870.31119472743</v>
      </c>
      <c r="W179" s="56">
        <f>(W171-W176)*Data!V$9</f>
        <v>63684.585494097118</v>
      </c>
      <c r="X179" s="56">
        <f>(X171-X176)*Data!W$9</f>
        <v>60658.648652795855</v>
      </c>
      <c r="Y179" s="56">
        <f>(Y171-Y176)*Data!X$9</f>
        <v>57784.039919585943</v>
      </c>
      <c r="Z179" s="56">
        <f>(Z171-Z176)*Data!Y$9</f>
        <v>55052.77105872571</v>
      </c>
      <c r="AA179" s="56">
        <f>(AA171-AA176)*Data!Z$9</f>
        <v>52457.298632635349</v>
      </c>
      <c r="AB179" s="56">
        <f>(AB171-AB176)*Data!AA$9</f>
        <v>49990.497981319721</v>
      </c>
      <c r="AC179" s="56">
        <f>(AC171-AC176)*Data!AB$9</f>
        <v>-53976.533060345108</v>
      </c>
      <c r="AD179" s="56">
        <f>(AD171-AD176)*Data!AC$9</f>
        <v>0</v>
      </c>
      <c r="AE179" s="56">
        <f>(AE171-AE176)*Data!AD$9</f>
        <v>0</v>
      </c>
      <c r="AF179" s="56">
        <f>(AF171-AF176)*Data!AE$9</f>
        <v>0</v>
      </c>
      <c r="AG179" s="56">
        <f>(AG171-AG176)*Data!AF$9</f>
        <v>0</v>
      </c>
      <c r="AH179" s="56">
        <f>(AH171-AH176)*Data!AG$9</f>
        <v>0</v>
      </c>
      <c r="AI179" s="56">
        <f>(AI171-AI176)*Data!AH$9</f>
        <v>0</v>
      </c>
      <c r="AJ179" s="56">
        <f>(AJ171-AJ176)*Data!AI$9</f>
        <v>0</v>
      </c>
      <c r="AK179" s="56">
        <f>(AK171-AK176)*Data!AJ$9</f>
        <v>0</v>
      </c>
      <c r="AL179" s="56">
        <f>(AL171-AL176)*Data!AK$9</f>
        <v>0</v>
      </c>
      <c r="AM179" s="56">
        <f>(AM171-AM176)*Data!AL$9</f>
        <v>0</v>
      </c>
      <c r="AN179" s="56">
        <f>(AN171-AN176)*Data!AM$9</f>
        <v>0</v>
      </c>
      <c r="AO179" s="56">
        <f>(AO171-AO176)*Data!AN$9</f>
        <v>0</v>
      </c>
      <c r="AP179" s="17"/>
    </row>
    <row r="180" spans="1:42" hidden="1" outlineLevel="1" x14ac:dyDescent="0.25">
      <c r="A180" s="12"/>
      <c r="B180" s="13"/>
      <c r="C180" s="14"/>
      <c r="D180" s="14"/>
      <c r="E180" s="15"/>
      <c r="F180" s="16"/>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7"/>
    </row>
    <row r="181" spans="1:42" hidden="1" outlineLevel="1" x14ac:dyDescent="0.25">
      <c r="A181" s="12"/>
      <c r="B181" s="13"/>
      <c r="C181" s="37" t="s">
        <v>479</v>
      </c>
      <c r="D181" s="37"/>
      <c r="E181" s="38"/>
      <c r="F181" s="39"/>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17"/>
    </row>
    <row r="182" spans="1:42" hidden="1" outlineLevel="1" x14ac:dyDescent="0.25">
      <c r="A182" s="12"/>
      <c r="B182" s="13"/>
      <c r="C182" s="14" t="s">
        <v>479</v>
      </c>
      <c r="D182" s="14"/>
      <c r="E182" s="15" t="s">
        <v>318</v>
      </c>
      <c r="F182" s="16"/>
      <c r="G182" s="14"/>
      <c r="H182" s="371">
        <f>H156+H171-H176</f>
        <v>-52500</v>
      </c>
      <c r="I182" s="371">
        <f>I156+I171-I176</f>
        <v>306007.8118181894</v>
      </c>
      <c r="J182" s="371">
        <f t="shared" ref="J182:AO182" si="41">J156+J171-J176</f>
        <v>288484.69365026313</v>
      </c>
      <c r="K182" s="371">
        <f t="shared" si="41"/>
        <v>270961.57548233692</v>
      </c>
      <c r="L182" s="371">
        <f t="shared" si="41"/>
        <v>253438.45731441063</v>
      </c>
      <c r="M182" s="371">
        <f t="shared" si="41"/>
        <v>235915.33914648442</v>
      </c>
      <c r="N182" s="371">
        <f t="shared" si="41"/>
        <v>218392.22097855821</v>
      </c>
      <c r="O182" s="371">
        <f t="shared" si="41"/>
        <v>200869.10281063197</v>
      </c>
      <c r="P182" s="371">
        <f t="shared" si="41"/>
        <v>183345.98464270576</v>
      </c>
      <c r="Q182" s="371">
        <f t="shared" si="41"/>
        <v>182071.2763120615</v>
      </c>
      <c r="R182" s="371">
        <f t="shared" si="41"/>
        <v>180826.79522958677</v>
      </c>
      <c r="S182" s="371">
        <f t="shared" si="41"/>
        <v>179611.70409601837</v>
      </c>
      <c r="T182" s="371">
        <f t="shared" si="41"/>
        <v>178425.19133163127</v>
      </c>
      <c r="U182" s="371">
        <f t="shared" si="41"/>
        <v>177266.47024161575</v>
      </c>
      <c r="V182" s="371">
        <f t="shared" si="41"/>
        <v>176134.77820925534</v>
      </c>
      <c r="W182" s="371">
        <f t="shared" si="41"/>
        <v>175029.3759159699</v>
      </c>
      <c r="X182" s="371">
        <f t="shared" si="41"/>
        <v>173949.54658731745</v>
      </c>
      <c r="Y182" s="371">
        <f t="shared" si="41"/>
        <v>172894.59526408112</v>
      </c>
      <c r="Z182" s="371">
        <f t="shared" si="41"/>
        <v>171863.84809759556</v>
      </c>
      <c r="AA182" s="371">
        <f t="shared" si="41"/>
        <v>170856.65166849756</v>
      </c>
      <c r="AB182" s="371">
        <f t="shared" si="41"/>
        <v>169872.37232811085</v>
      </c>
      <c r="AC182" s="371">
        <f t="shared" si="41"/>
        <v>-123000</v>
      </c>
      <c r="AD182" s="371">
        <f t="shared" si="41"/>
        <v>0</v>
      </c>
      <c r="AE182" s="371">
        <f t="shared" si="41"/>
        <v>0</v>
      </c>
      <c r="AF182" s="371">
        <f t="shared" si="41"/>
        <v>0</v>
      </c>
      <c r="AG182" s="371">
        <f t="shared" si="41"/>
        <v>0</v>
      </c>
      <c r="AH182" s="371">
        <f t="shared" si="41"/>
        <v>0</v>
      </c>
      <c r="AI182" s="371">
        <f t="shared" si="41"/>
        <v>0</v>
      </c>
      <c r="AJ182" s="371">
        <f t="shared" si="41"/>
        <v>0</v>
      </c>
      <c r="AK182" s="371">
        <f t="shared" si="41"/>
        <v>0</v>
      </c>
      <c r="AL182" s="371">
        <f t="shared" si="41"/>
        <v>0</v>
      </c>
      <c r="AM182" s="371">
        <f t="shared" si="41"/>
        <v>0</v>
      </c>
      <c r="AN182" s="371">
        <f t="shared" si="41"/>
        <v>0</v>
      </c>
      <c r="AO182" s="371">
        <f t="shared" si="41"/>
        <v>0</v>
      </c>
      <c r="AP182" s="29"/>
    </row>
    <row r="183" spans="1:42" s="140" customFormat="1" hidden="1" outlineLevel="1" x14ac:dyDescent="0.25">
      <c r="A183" s="78"/>
      <c r="B183" s="19"/>
      <c r="C183" s="20" t="s">
        <v>480</v>
      </c>
      <c r="D183" s="20"/>
      <c r="E183" s="21" t="s">
        <v>318</v>
      </c>
      <c r="F183" s="48"/>
      <c r="G183" s="20"/>
      <c r="H183" s="182">
        <f>H182*Data!G$9</f>
        <v>-52500</v>
      </c>
      <c r="I183" s="182">
        <f>I182*Data!H$9</f>
        <v>294238.28059441288</v>
      </c>
      <c r="J183" s="182">
        <f>J182*Data!I$9</f>
        <v>266720.31587487343</v>
      </c>
      <c r="K183" s="182">
        <f>K182*Data!J$9</f>
        <v>240883.85394353175</v>
      </c>
      <c r="L183" s="182">
        <f>L182*Data!K$9</f>
        <v>216640.25548046644</v>
      </c>
      <c r="M183" s="182">
        <f>M182*Data!L$9</f>
        <v>193905.21214482113</v>
      </c>
      <c r="N183" s="182">
        <f>N182*Data!M$9</f>
        <v>172598.5445458224</v>
      </c>
      <c r="O183" s="182">
        <f>O182*Data!N$9</f>
        <v>152644.00934771588</v>
      </c>
      <c r="P183" s="182">
        <f>P182*Data!O$9</f>
        <v>133969.11510486924</v>
      </c>
      <c r="Q183" s="182">
        <f>Q182*Data!P$9</f>
        <v>127920.86366676253</v>
      </c>
      <c r="R183" s="182">
        <f>R182*Data!Q$9</f>
        <v>122160.10362070866</v>
      </c>
      <c r="S183" s="182">
        <f>S182*Data!R$9</f>
        <v>116672.33806635762</v>
      </c>
      <c r="T183" s="182">
        <f>T182*Data!S$9</f>
        <v>111443.8480764955</v>
      </c>
      <c r="U183" s="182">
        <f>U182*Data!T$9</f>
        <v>106461.64836767847</v>
      </c>
      <c r="V183" s="182">
        <f>V182*Data!U$9</f>
        <v>101713.44563419012</v>
      </c>
      <c r="W183" s="182">
        <f>W182*Data!V$9</f>
        <v>97187.599378195853</v>
      </c>
      <c r="X183" s="182">
        <f>X182*Data!W$9</f>
        <v>92873.085079813871</v>
      </c>
      <c r="Y183" s="182">
        <f>Y182*Data!X$9</f>
        <v>88759.459560949428</v>
      </c>
      <c r="Z183" s="182">
        <f>Z182*Data!Y$9</f>
        <v>84836.828406190587</v>
      </c>
      <c r="AA183" s="182">
        <f>AA182*Data!Z$9</f>
        <v>81095.815312890045</v>
      </c>
      <c r="AB183" s="182">
        <f>AB182*Data!AA$9</f>
        <v>77527.533250795386</v>
      </c>
      <c r="AC183" s="372">
        <f>AC182*Data!AB$9</f>
        <v>-53976.533060345108</v>
      </c>
      <c r="AD183" s="49"/>
      <c r="AE183" s="49"/>
      <c r="AF183" s="49"/>
      <c r="AG183" s="49"/>
      <c r="AH183" s="49"/>
      <c r="AI183" s="49"/>
      <c r="AJ183" s="49"/>
      <c r="AK183" s="49"/>
      <c r="AL183" s="49"/>
      <c r="AM183" s="49"/>
      <c r="AN183" s="49"/>
      <c r="AO183" s="49"/>
      <c r="AP183" s="50"/>
    </row>
    <row r="184" spans="1:42" hidden="1" outlineLevel="1" x14ac:dyDescent="0.25">
      <c r="A184" s="12"/>
      <c r="B184" s="13"/>
      <c r="C184" s="14" t="s">
        <v>479</v>
      </c>
      <c r="D184" s="14"/>
      <c r="E184" s="15" t="s">
        <v>54</v>
      </c>
      <c r="F184" s="16"/>
      <c r="G184" s="185">
        <f>SUM(H183:AC183)</f>
        <v>2773775.6223971951</v>
      </c>
      <c r="H184" s="165"/>
      <c r="I184" s="165"/>
      <c r="J184" s="165"/>
      <c r="K184" s="165"/>
      <c r="L184" s="165"/>
      <c r="M184" s="165"/>
      <c r="N184" s="165"/>
      <c r="O184" s="165"/>
      <c r="P184" s="165"/>
      <c r="Q184" s="165"/>
      <c r="R184" s="165"/>
      <c r="S184" s="165"/>
      <c r="T184" s="165"/>
      <c r="U184" s="165"/>
      <c r="V184" s="165"/>
      <c r="W184" s="28"/>
      <c r="X184" s="28"/>
      <c r="Y184" s="28"/>
      <c r="Z184" s="28"/>
      <c r="AA184" s="28"/>
      <c r="AB184" s="28"/>
      <c r="AC184" s="28"/>
      <c r="AD184" s="28"/>
      <c r="AE184" s="28"/>
      <c r="AF184" s="28"/>
      <c r="AG184" s="28"/>
      <c r="AH184" s="28"/>
      <c r="AI184" s="28"/>
      <c r="AJ184" s="28"/>
      <c r="AK184" s="28"/>
      <c r="AL184" s="28"/>
      <c r="AM184" s="28"/>
      <c r="AN184" s="28"/>
      <c r="AO184" s="28"/>
      <c r="AP184" s="29"/>
    </row>
    <row r="185" spans="1:42" hidden="1" outlineLevel="1" x14ac:dyDescent="0.25">
      <c r="A185" s="12"/>
      <c r="B185" s="13"/>
      <c r="C185" s="44" t="s">
        <v>481</v>
      </c>
      <c r="D185" s="45"/>
      <c r="E185" s="15" t="s">
        <v>261</v>
      </c>
      <c r="F185" s="16"/>
      <c r="G185" s="183">
        <f>G184/(SUM(H21:AN21))</f>
        <v>1.4817177470070486</v>
      </c>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9"/>
    </row>
    <row r="186" spans="1:42" hidden="1" outlineLevel="1" x14ac:dyDescent="0.25">
      <c r="A186" s="12"/>
      <c r="B186" s="13"/>
      <c r="C186" s="14"/>
      <c r="D186" s="14"/>
      <c r="E186" s="15"/>
      <c r="F186" s="16"/>
      <c r="G186" s="14"/>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17"/>
    </row>
    <row r="187" spans="1:42" hidden="1" outlineLevel="1" x14ac:dyDescent="0.25">
      <c r="A187" s="12"/>
      <c r="B187" s="13"/>
      <c r="C187" s="37" t="s">
        <v>515</v>
      </c>
      <c r="D187" s="37"/>
      <c r="E187" s="38"/>
      <c r="F187" s="39"/>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17"/>
    </row>
    <row r="188" spans="1:42" hidden="1" outlineLevel="1" x14ac:dyDescent="0.25">
      <c r="A188" s="12"/>
      <c r="B188" s="13"/>
      <c r="C188" s="14"/>
      <c r="D188" s="14"/>
      <c r="E188" s="15"/>
      <c r="F188" s="16"/>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row>
    <row r="189" spans="1:42" hidden="1" outlineLevel="1" x14ac:dyDescent="0.25">
      <c r="A189" s="12"/>
      <c r="B189" s="13"/>
      <c r="C189" s="20" t="s">
        <v>516</v>
      </c>
      <c r="D189" s="45"/>
      <c r="E189" s="15"/>
      <c r="F189" s="16"/>
      <c r="G189" s="165"/>
      <c r="H189" s="165"/>
      <c r="I189" s="165"/>
      <c r="J189" s="165"/>
      <c r="K189" s="165"/>
      <c r="L189" s="165"/>
      <c r="M189" s="165"/>
      <c r="N189" s="165"/>
      <c r="O189" s="165"/>
      <c r="P189" s="165"/>
      <c r="Q189" s="165"/>
      <c r="R189" s="165"/>
      <c r="S189" s="165"/>
      <c r="T189" s="165"/>
      <c r="U189" s="28"/>
      <c r="V189" s="28"/>
      <c r="W189" s="28"/>
      <c r="X189" s="28"/>
      <c r="Y189" s="28"/>
      <c r="Z189" s="28"/>
      <c r="AA189" s="28"/>
      <c r="AB189" s="28"/>
      <c r="AC189" s="28"/>
      <c r="AD189" s="28"/>
      <c r="AE189" s="28"/>
      <c r="AF189" s="28"/>
      <c r="AG189" s="28"/>
      <c r="AH189" s="28"/>
      <c r="AI189" s="28"/>
      <c r="AJ189" s="28"/>
      <c r="AK189" s="28"/>
      <c r="AL189" s="28"/>
      <c r="AM189" s="28"/>
      <c r="AN189" s="28"/>
      <c r="AO189" s="28"/>
      <c r="AP189" s="29"/>
    </row>
    <row r="190" spans="1:42" hidden="1" outlineLevel="1" x14ac:dyDescent="0.25">
      <c r="A190" s="12"/>
      <c r="B190" s="13"/>
      <c r="C190" s="45" t="s">
        <v>517</v>
      </c>
      <c r="D190" s="45"/>
      <c r="E190" s="15" t="s">
        <v>342</v>
      </c>
      <c r="F190" s="179">
        <f>Data!$E$396</f>
        <v>105600</v>
      </c>
      <c r="G190" s="165"/>
      <c r="H190" s="165"/>
      <c r="I190" s="165"/>
      <c r="J190" s="165"/>
      <c r="K190" s="165"/>
      <c r="L190" s="165"/>
      <c r="M190" s="165"/>
      <c r="N190" s="165"/>
      <c r="O190" s="165"/>
      <c r="P190" s="165"/>
      <c r="Q190" s="165"/>
      <c r="R190" s="165"/>
      <c r="S190" s="165"/>
      <c r="T190" s="165"/>
      <c r="U190" s="28"/>
      <c r="V190" s="28"/>
      <c r="W190" s="28"/>
      <c r="X190" s="28"/>
      <c r="Y190" s="28"/>
      <c r="Z190" s="28"/>
      <c r="AA190" s="28"/>
      <c r="AB190" s="28"/>
      <c r="AC190" s="28"/>
      <c r="AD190" s="28"/>
      <c r="AE190" s="28"/>
      <c r="AF190" s="28"/>
      <c r="AG190" s="28"/>
      <c r="AH190" s="28"/>
      <c r="AI190" s="28"/>
      <c r="AJ190" s="28"/>
      <c r="AK190" s="28"/>
      <c r="AL190" s="28"/>
      <c r="AM190" s="28"/>
      <c r="AN190" s="28"/>
      <c r="AO190" s="28"/>
      <c r="AP190" s="29"/>
    </row>
    <row r="191" spans="1:42" hidden="1" outlineLevel="1" x14ac:dyDescent="0.25">
      <c r="A191" s="12"/>
      <c r="B191" s="13"/>
      <c r="C191" s="45" t="s">
        <v>518</v>
      </c>
      <c r="D191" s="45"/>
      <c r="E191" s="15" t="s">
        <v>142</v>
      </c>
      <c r="F191" s="179"/>
      <c r="G191" s="186">
        <f>F190*Data!$G$16/1000</f>
        <v>9187.2000000000007</v>
      </c>
      <c r="H191" s="165"/>
      <c r="I191" s="165"/>
      <c r="J191" s="165"/>
      <c r="K191" s="165"/>
      <c r="L191" s="165"/>
      <c r="M191" s="165"/>
      <c r="N191" s="165"/>
      <c r="O191" s="165"/>
      <c r="P191" s="165"/>
      <c r="Q191" s="165"/>
      <c r="R191" s="165"/>
      <c r="S191" s="165"/>
      <c r="T191" s="165"/>
      <c r="U191" s="28"/>
      <c r="V191" s="28"/>
      <c r="W191" s="28"/>
      <c r="X191" s="28"/>
      <c r="Y191" s="28"/>
      <c r="Z191" s="28"/>
      <c r="AA191" s="28"/>
      <c r="AB191" s="28"/>
      <c r="AC191" s="28"/>
      <c r="AD191" s="28"/>
      <c r="AE191" s="28"/>
      <c r="AF191" s="28"/>
      <c r="AG191" s="28"/>
      <c r="AH191" s="28"/>
      <c r="AI191" s="28"/>
      <c r="AJ191" s="28"/>
      <c r="AK191" s="28"/>
      <c r="AL191" s="28"/>
      <c r="AM191" s="28"/>
      <c r="AN191" s="28"/>
      <c r="AO191" s="28"/>
      <c r="AP191" s="29"/>
    </row>
    <row r="192" spans="1:42" hidden="1" outlineLevel="1" x14ac:dyDescent="0.25">
      <c r="A192" s="12"/>
      <c r="B192" s="13"/>
      <c r="C192" s="45" t="s">
        <v>518</v>
      </c>
      <c r="D192" s="45"/>
      <c r="E192" s="15" t="s">
        <v>261</v>
      </c>
      <c r="F192" s="179"/>
      <c r="G192" s="184">
        <f>G191/(SUM(I21:AN21))</f>
        <v>4.9076923076923082E-3</v>
      </c>
      <c r="H192" s="165"/>
      <c r="I192" s="165"/>
      <c r="J192" s="165"/>
      <c r="K192" s="165"/>
      <c r="L192" s="165"/>
      <c r="M192" s="165"/>
      <c r="N192" s="165"/>
      <c r="O192" s="165"/>
      <c r="P192" s="165"/>
      <c r="Q192" s="165"/>
      <c r="R192" s="165"/>
      <c r="S192" s="165"/>
      <c r="T192" s="165"/>
      <c r="U192" s="28"/>
      <c r="V192" s="28"/>
      <c r="W192" s="28"/>
      <c r="X192" s="28"/>
      <c r="Y192" s="28"/>
      <c r="Z192" s="28"/>
      <c r="AA192" s="28"/>
      <c r="AB192" s="28"/>
      <c r="AC192" s="28"/>
      <c r="AD192" s="28"/>
      <c r="AE192" s="28"/>
      <c r="AF192" s="28"/>
      <c r="AG192" s="28"/>
      <c r="AH192" s="28"/>
      <c r="AI192" s="28"/>
      <c r="AJ192" s="28"/>
      <c r="AK192" s="28"/>
      <c r="AL192" s="28"/>
      <c r="AM192" s="28"/>
      <c r="AN192" s="28"/>
      <c r="AO192" s="28"/>
      <c r="AP192" s="29"/>
    </row>
    <row r="193" spans="1:42" hidden="1" outlineLevel="1" x14ac:dyDescent="0.25">
      <c r="A193" s="12"/>
      <c r="B193" s="13"/>
      <c r="C193" s="20"/>
      <c r="D193" s="19"/>
      <c r="E193" s="15"/>
      <c r="F193" s="16"/>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7"/>
    </row>
    <row r="194" spans="1:42" hidden="1" outlineLevel="1" x14ac:dyDescent="0.25">
      <c r="A194" s="12"/>
      <c r="B194" s="13"/>
      <c r="C194" s="20" t="s">
        <v>519</v>
      </c>
      <c r="D194" s="19"/>
      <c r="E194" s="15"/>
      <c r="F194" s="16"/>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7"/>
    </row>
    <row r="195" spans="1:42" hidden="1" outlineLevel="1" x14ac:dyDescent="0.25">
      <c r="A195" s="12"/>
      <c r="B195" s="13"/>
      <c r="C195" t="s">
        <v>520</v>
      </c>
      <c r="D195" s="14"/>
      <c r="E195" s="15" t="s">
        <v>521</v>
      </c>
      <c r="F195" s="16"/>
      <c r="G195" s="14"/>
      <c r="H195" s="141"/>
      <c r="I195" s="141">
        <f t="shared" ref="I195:AD195" si="42">I21</f>
        <v>93600</v>
      </c>
      <c r="J195" s="141">
        <f t="shared" si="42"/>
        <v>93600</v>
      </c>
      <c r="K195" s="141">
        <f t="shared" si="42"/>
        <v>93600</v>
      </c>
      <c r="L195" s="141">
        <f t="shared" si="42"/>
        <v>93600</v>
      </c>
      <c r="M195" s="141">
        <f t="shared" si="42"/>
        <v>93600</v>
      </c>
      <c r="N195" s="141">
        <f t="shared" si="42"/>
        <v>93600</v>
      </c>
      <c r="O195" s="141">
        <f t="shared" si="42"/>
        <v>93600</v>
      </c>
      <c r="P195" s="141">
        <f t="shared" si="42"/>
        <v>93600</v>
      </c>
      <c r="Q195" s="141">
        <f t="shared" si="42"/>
        <v>93600</v>
      </c>
      <c r="R195" s="141">
        <f t="shared" si="42"/>
        <v>93600</v>
      </c>
      <c r="S195" s="141">
        <f t="shared" si="42"/>
        <v>93600</v>
      </c>
      <c r="T195" s="141">
        <f t="shared" si="42"/>
        <v>93600</v>
      </c>
      <c r="U195" s="141">
        <f t="shared" si="42"/>
        <v>93600</v>
      </c>
      <c r="V195" s="141">
        <f t="shared" si="42"/>
        <v>93600</v>
      </c>
      <c r="W195" s="141">
        <f t="shared" si="42"/>
        <v>93600</v>
      </c>
      <c r="X195" s="141">
        <f t="shared" si="42"/>
        <v>93600</v>
      </c>
      <c r="Y195" s="141">
        <f t="shared" si="42"/>
        <v>93600</v>
      </c>
      <c r="Z195" s="141">
        <f t="shared" si="42"/>
        <v>93600</v>
      </c>
      <c r="AA195" s="141">
        <f t="shared" si="42"/>
        <v>93600</v>
      </c>
      <c r="AB195" s="141">
        <f t="shared" si="42"/>
        <v>93600</v>
      </c>
      <c r="AC195" s="141">
        <f t="shared" si="42"/>
        <v>0</v>
      </c>
      <c r="AD195" s="141">
        <f t="shared" si="42"/>
        <v>0</v>
      </c>
      <c r="AE195" s="141">
        <f t="shared" ref="AE195:AN195" si="43">AE145</f>
        <v>0</v>
      </c>
      <c r="AF195" s="141">
        <f t="shared" si="43"/>
        <v>0</v>
      </c>
      <c r="AG195" s="141">
        <f t="shared" si="43"/>
        <v>0</v>
      </c>
      <c r="AH195" s="141">
        <f t="shared" si="43"/>
        <v>0</v>
      </c>
      <c r="AI195" s="141">
        <f t="shared" si="43"/>
        <v>0</v>
      </c>
      <c r="AJ195" s="141">
        <f t="shared" si="43"/>
        <v>0</v>
      </c>
      <c r="AK195" s="141">
        <f t="shared" si="43"/>
        <v>0</v>
      </c>
      <c r="AL195" s="141">
        <f t="shared" si="43"/>
        <v>0</v>
      </c>
      <c r="AM195" s="141">
        <f t="shared" si="43"/>
        <v>0</v>
      </c>
      <c r="AN195" s="141">
        <f t="shared" si="43"/>
        <v>0</v>
      </c>
      <c r="AO195" s="141"/>
      <c r="AP195" s="14"/>
    </row>
    <row r="196" spans="1:42" hidden="1" outlineLevel="1" x14ac:dyDescent="0.25">
      <c r="A196" s="12"/>
      <c r="B196" s="13"/>
      <c r="C196" s="20" t="s">
        <v>483</v>
      </c>
      <c r="D196" s="14"/>
      <c r="E196" s="15"/>
      <c r="F196" s="16"/>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4"/>
      <c r="AH196" s="14"/>
      <c r="AI196" s="14"/>
      <c r="AJ196" s="14"/>
      <c r="AK196" s="14"/>
      <c r="AL196" s="14"/>
      <c r="AM196" s="14"/>
      <c r="AN196" s="14"/>
      <c r="AO196" s="14"/>
      <c r="AP196" s="14"/>
    </row>
    <row r="197" spans="1:42" ht="14.25" hidden="1" customHeight="1" outlineLevel="1" x14ac:dyDescent="0.25">
      <c r="A197" s="54"/>
      <c r="B197" s="13"/>
      <c r="C197" s="14" t="s">
        <v>205</v>
      </c>
      <c r="D197" s="14"/>
      <c r="E197" s="70" t="s">
        <v>352</v>
      </c>
      <c r="F197" s="201">
        <f>Data!$E$465/1000</f>
        <v>0</v>
      </c>
      <c r="G197" s="56"/>
      <c r="H197" s="56"/>
      <c r="I197" s="56">
        <f>I$195*$F$197</f>
        <v>0</v>
      </c>
      <c r="J197" s="56">
        <f t="shared" ref="J197:AC197" si="44">J$195*$F$197</f>
        <v>0</v>
      </c>
      <c r="K197" s="56">
        <f t="shared" si="44"/>
        <v>0</v>
      </c>
      <c r="L197" s="56">
        <f t="shared" si="44"/>
        <v>0</v>
      </c>
      <c r="M197" s="56">
        <f t="shared" si="44"/>
        <v>0</v>
      </c>
      <c r="N197" s="56">
        <f t="shared" si="44"/>
        <v>0</v>
      </c>
      <c r="O197" s="56">
        <f t="shared" si="44"/>
        <v>0</v>
      </c>
      <c r="P197" s="56">
        <f t="shared" si="44"/>
        <v>0</v>
      </c>
      <c r="Q197" s="56">
        <f t="shared" si="44"/>
        <v>0</v>
      </c>
      <c r="R197" s="56">
        <f t="shared" si="44"/>
        <v>0</v>
      </c>
      <c r="S197" s="56">
        <f t="shared" si="44"/>
        <v>0</v>
      </c>
      <c r="T197" s="56">
        <f t="shared" si="44"/>
        <v>0</v>
      </c>
      <c r="U197" s="56">
        <f t="shared" si="44"/>
        <v>0</v>
      </c>
      <c r="V197" s="56">
        <f t="shared" si="44"/>
        <v>0</v>
      </c>
      <c r="W197" s="56">
        <f t="shared" si="44"/>
        <v>0</v>
      </c>
      <c r="X197" s="56">
        <f t="shared" si="44"/>
        <v>0</v>
      </c>
      <c r="Y197" s="56">
        <f t="shared" si="44"/>
        <v>0</v>
      </c>
      <c r="Z197" s="56">
        <f t="shared" si="44"/>
        <v>0</v>
      </c>
      <c r="AA197" s="56">
        <f t="shared" si="44"/>
        <v>0</v>
      </c>
      <c r="AB197" s="56">
        <f t="shared" si="44"/>
        <v>0</v>
      </c>
      <c r="AC197" s="56">
        <f t="shared" si="44"/>
        <v>0</v>
      </c>
      <c r="AD197" s="56"/>
      <c r="AE197" s="56"/>
      <c r="AF197" s="56"/>
      <c r="AG197" s="56"/>
      <c r="AH197" s="56"/>
      <c r="AI197" s="56"/>
      <c r="AJ197" s="56"/>
      <c r="AK197" s="56"/>
      <c r="AL197" s="56"/>
      <c r="AM197" s="56"/>
      <c r="AN197" s="56"/>
      <c r="AO197" s="56"/>
      <c r="AP197" s="29"/>
    </row>
    <row r="198" spans="1:42" hidden="1" outlineLevel="1" x14ac:dyDescent="0.25">
      <c r="A198" s="54"/>
      <c r="B198" s="13"/>
      <c r="C198" s="14" t="s">
        <v>484</v>
      </c>
      <c r="D198" s="14"/>
      <c r="E198" s="70" t="s">
        <v>352</v>
      </c>
      <c r="F198" s="223">
        <f>Data!$E$466</f>
        <v>0</v>
      </c>
      <c r="G198" s="56"/>
      <c r="H198" s="56"/>
      <c r="I198" s="56">
        <f>I$195*$F$198</f>
        <v>0</v>
      </c>
      <c r="J198" s="56">
        <f t="shared" ref="J198:AC198" si="45">J$195*$F$198</f>
        <v>0</v>
      </c>
      <c r="K198" s="56">
        <f t="shared" si="45"/>
        <v>0</v>
      </c>
      <c r="L198" s="56">
        <f t="shared" si="45"/>
        <v>0</v>
      </c>
      <c r="M198" s="56">
        <f t="shared" si="45"/>
        <v>0</v>
      </c>
      <c r="N198" s="56">
        <f t="shared" si="45"/>
        <v>0</v>
      </c>
      <c r="O198" s="56">
        <f t="shared" si="45"/>
        <v>0</v>
      </c>
      <c r="P198" s="56">
        <f t="shared" si="45"/>
        <v>0</v>
      </c>
      <c r="Q198" s="56">
        <f t="shared" si="45"/>
        <v>0</v>
      </c>
      <c r="R198" s="56">
        <f t="shared" si="45"/>
        <v>0</v>
      </c>
      <c r="S198" s="56">
        <f t="shared" si="45"/>
        <v>0</v>
      </c>
      <c r="T198" s="56">
        <f t="shared" si="45"/>
        <v>0</v>
      </c>
      <c r="U198" s="56">
        <f t="shared" si="45"/>
        <v>0</v>
      </c>
      <c r="V198" s="56">
        <f t="shared" si="45"/>
        <v>0</v>
      </c>
      <c r="W198" s="56">
        <f t="shared" si="45"/>
        <v>0</v>
      </c>
      <c r="X198" s="56">
        <f t="shared" si="45"/>
        <v>0</v>
      </c>
      <c r="Y198" s="56">
        <f t="shared" si="45"/>
        <v>0</v>
      </c>
      <c r="Z198" s="56">
        <f t="shared" si="45"/>
        <v>0</v>
      </c>
      <c r="AA198" s="56">
        <f t="shared" si="45"/>
        <v>0</v>
      </c>
      <c r="AB198" s="56">
        <f t="shared" si="45"/>
        <v>0</v>
      </c>
      <c r="AC198" s="56">
        <f t="shared" si="45"/>
        <v>0</v>
      </c>
      <c r="AD198" s="56"/>
      <c r="AE198" s="56"/>
      <c r="AF198" s="56"/>
      <c r="AG198" s="56"/>
      <c r="AH198" s="56"/>
      <c r="AI198" s="56"/>
      <c r="AJ198" s="56"/>
      <c r="AK198" s="56"/>
      <c r="AL198" s="56"/>
      <c r="AM198" s="56"/>
      <c r="AN198" s="56"/>
      <c r="AO198" s="56"/>
      <c r="AP198" s="29"/>
    </row>
    <row r="199" spans="1:42" hidden="1" outlineLevel="1" x14ac:dyDescent="0.25">
      <c r="A199" s="54"/>
      <c r="B199" s="13"/>
      <c r="C199" s="14" t="s">
        <v>285</v>
      </c>
      <c r="D199" s="14"/>
      <c r="E199" s="70" t="s">
        <v>352</v>
      </c>
      <c r="F199" s="201">
        <f>Data!$E$467/1000</f>
        <v>0</v>
      </c>
      <c r="G199" s="56"/>
      <c r="H199" s="56"/>
      <c r="I199" s="56">
        <f>I$195*$F$199</f>
        <v>0</v>
      </c>
      <c r="J199" s="56">
        <f t="shared" ref="J199:AC199" si="46">J$195*$F$199</f>
        <v>0</v>
      </c>
      <c r="K199" s="56">
        <f t="shared" si="46"/>
        <v>0</v>
      </c>
      <c r="L199" s="56">
        <f t="shared" si="46"/>
        <v>0</v>
      </c>
      <c r="M199" s="56">
        <f t="shared" si="46"/>
        <v>0</v>
      </c>
      <c r="N199" s="56">
        <f t="shared" si="46"/>
        <v>0</v>
      </c>
      <c r="O199" s="56">
        <f t="shared" si="46"/>
        <v>0</v>
      </c>
      <c r="P199" s="56">
        <f t="shared" si="46"/>
        <v>0</v>
      </c>
      <c r="Q199" s="56">
        <f t="shared" si="46"/>
        <v>0</v>
      </c>
      <c r="R199" s="56">
        <f t="shared" si="46"/>
        <v>0</v>
      </c>
      <c r="S199" s="56">
        <f t="shared" si="46"/>
        <v>0</v>
      </c>
      <c r="T199" s="56">
        <f t="shared" si="46"/>
        <v>0</v>
      </c>
      <c r="U199" s="56">
        <f t="shared" si="46"/>
        <v>0</v>
      </c>
      <c r="V199" s="56">
        <f t="shared" si="46"/>
        <v>0</v>
      </c>
      <c r="W199" s="56">
        <f t="shared" si="46"/>
        <v>0</v>
      </c>
      <c r="X199" s="56">
        <f t="shared" si="46"/>
        <v>0</v>
      </c>
      <c r="Y199" s="56">
        <f t="shared" si="46"/>
        <v>0</v>
      </c>
      <c r="Z199" s="56">
        <f t="shared" si="46"/>
        <v>0</v>
      </c>
      <c r="AA199" s="56">
        <f t="shared" si="46"/>
        <v>0</v>
      </c>
      <c r="AB199" s="56">
        <f t="shared" si="46"/>
        <v>0</v>
      </c>
      <c r="AC199" s="56">
        <f t="shared" si="46"/>
        <v>0</v>
      </c>
      <c r="AD199" s="56"/>
      <c r="AE199" s="56"/>
      <c r="AF199" s="56"/>
      <c r="AG199" s="56"/>
      <c r="AH199" s="56"/>
      <c r="AI199" s="56"/>
      <c r="AJ199" s="56"/>
      <c r="AK199" s="56"/>
      <c r="AL199" s="56"/>
      <c r="AM199" s="56"/>
      <c r="AN199" s="56"/>
      <c r="AO199" s="56"/>
      <c r="AP199" s="29"/>
    </row>
    <row r="200" spans="1:42" hidden="1" outlineLevel="1" x14ac:dyDescent="0.25">
      <c r="A200" s="54"/>
      <c r="B200" s="13"/>
      <c r="C200" s="14" t="s">
        <v>220</v>
      </c>
      <c r="D200" s="14"/>
      <c r="E200" s="70" t="s">
        <v>352</v>
      </c>
      <c r="F200" s="201">
        <f>Data!$E$468/1000</f>
        <v>0</v>
      </c>
      <c r="G200" s="56"/>
      <c r="H200" s="56"/>
      <c r="I200" s="56">
        <f>I$195*$F$200</f>
        <v>0</v>
      </c>
      <c r="J200" s="56">
        <f t="shared" ref="J200:AC200" si="47">J$195*$F$200</f>
        <v>0</v>
      </c>
      <c r="K200" s="56">
        <f t="shared" si="47"/>
        <v>0</v>
      </c>
      <c r="L200" s="56">
        <f t="shared" si="47"/>
        <v>0</v>
      </c>
      <c r="M200" s="56">
        <f t="shared" si="47"/>
        <v>0</v>
      </c>
      <c r="N200" s="56">
        <f t="shared" si="47"/>
        <v>0</v>
      </c>
      <c r="O200" s="56">
        <f t="shared" si="47"/>
        <v>0</v>
      </c>
      <c r="P200" s="56">
        <f t="shared" si="47"/>
        <v>0</v>
      </c>
      <c r="Q200" s="56">
        <f t="shared" si="47"/>
        <v>0</v>
      </c>
      <c r="R200" s="56">
        <f t="shared" si="47"/>
        <v>0</v>
      </c>
      <c r="S200" s="56">
        <f t="shared" si="47"/>
        <v>0</v>
      </c>
      <c r="T200" s="56">
        <f t="shared" si="47"/>
        <v>0</v>
      </c>
      <c r="U200" s="56">
        <f t="shared" si="47"/>
        <v>0</v>
      </c>
      <c r="V200" s="56">
        <f t="shared" si="47"/>
        <v>0</v>
      </c>
      <c r="W200" s="56">
        <f t="shared" si="47"/>
        <v>0</v>
      </c>
      <c r="X200" s="56">
        <f t="shared" si="47"/>
        <v>0</v>
      </c>
      <c r="Y200" s="56">
        <f t="shared" si="47"/>
        <v>0</v>
      </c>
      <c r="Z200" s="56">
        <f t="shared" si="47"/>
        <v>0</v>
      </c>
      <c r="AA200" s="56">
        <f t="shared" si="47"/>
        <v>0</v>
      </c>
      <c r="AB200" s="56">
        <f t="shared" si="47"/>
        <v>0</v>
      </c>
      <c r="AC200" s="56">
        <f t="shared" si="47"/>
        <v>0</v>
      </c>
      <c r="AD200" s="56"/>
      <c r="AE200" s="56"/>
      <c r="AF200" s="56"/>
      <c r="AG200" s="56"/>
      <c r="AH200" s="56"/>
      <c r="AI200" s="56"/>
      <c r="AJ200" s="56"/>
      <c r="AK200" s="56"/>
      <c r="AL200" s="56"/>
      <c r="AM200" s="56"/>
      <c r="AN200" s="56"/>
      <c r="AO200" s="56"/>
      <c r="AP200" s="29"/>
    </row>
    <row r="201" spans="1:42" hidden="1" outlineLevel="1" x14ac:dyDescent="0.25">
      <c r="A201" s="54"/>
      <c r="B201" s="13"/>
      <c r="C201" s="14" t="s">
        <v>212</v>
      </c>
      <c r="D201" s="14"/>
      <c r="E201" s="70" t="s">
        <v>352</v>
      </c>
      <c r="F201" s="201">
        <f>Data!$E$469/1000</f>
        <v>0</v>
      </c>
      <c r="G201" s="56"/>
      <c r="H201" s="56"/>
      <c r="I201" s="56">
        <f>I$195*$F$201</f>
        <v>0</v>
      </c>
      <c r="J201" s="56">
        <f t="shared" ref="J201:AC201" si="48">J$195*$F$201</f>
        <v>0</v>
      </c>
      <c r="K201" s="56">
        <f t="shared" si="48"/>
        <v>0</v>
      </c>
      <c r="L201" s="56">
        <f t="shared" si="48"/>
        <v>0</v>
      </c>
      <c r="M201" s="56">
        <f t="shared" si="48"/>
        <v>0</v>
      </c>
      <c r="N201" s="56">
        <f t="shared" si="48"/>
        <v>0</v>
      </c>
      <c r="O201" s="56">
        <f t="shared" si="48"/>
        <v>0</v>
      </c>
      <c r="P201" s="56">
        <f t="shared" si="48"/>
        <v>0</v>
      </c>
      <c r="Q201" s="56">
        <f t="shared" si="48"/>
        <v>0</v>
      </c>
      <c r="R201" s="56">
        <f t="shared" si="48"/>
        <v>0</v>
      </c>
      <c r="S201" s="56">
        <f t="shared" si="48"/>
        <v>0</v>
      </c>
      <c r="T201" s="56">
        <f t="shared" si="48"/>
        <v>0</v>
      </c>
      <c r="U201" s="56">
        <f t="shared" si="48"/>
        <v>0</v>
      </c>
      <c r="V201" s="56">
        <f t="shared" si="48"/>
        <v>0</v>
      </c>
      <c r="W201" s="56">
        <f t="shared" si="48"/>
        <v>0</v>
      </c>
      <c r="X201" s="56">
        <f t="shared" si="48"/>
        <v>0</v>
      </c>
      <c r="Y201" s="56">
        <f t="shared" si="48"/>
        <v>0</v>
      </c>
      <c r="Z201" s="56">
        <f t="shared" si="48"/>
        <v>0</v>
      </c>
      <c r="AA201" s="56">
        <f t="shared" si="48"/>
        <v>0</v>
      </c>
      <c r="AB201" s="56">
        <f t="shared" si="48"/>
        <v>0</v>
      </c>
      <c r="AC201" s="56">
        <f t="shared" si="48"/>
        <v>0</v>
      </c>
      <c r="AD201" s="56"/>
      <c r="AE201" s="56"/>
      <c r="AF201" s="56"/>
      <c r="AG201" s="56"/>
      <c r="AH201" s="56"/>
      <c r="AI201" s="56"/>
      <c r="AJ201" s="56"/>
      <c r="AK201" s="56"/>
      <c r="AL201" s="56"/>
      <c r="AM201" s="56"/>
      <c r="AN201" s="56"/>
      <c r="AO201" s="56"/>
      <c r="AP201" s="29"/>
    </row>
    <row r="202" spans="1:42" hidden="1" outlineLevel="1" x14ac:dyDescent="0.25">
      <c r="A202" s="54"/>
      <c r="B202" s="13"/>
      <c r="C202" s="14" t="s">
        <v>485</v>
      </c>
      <c r="D202" s="14"/>
      <c r="E202" s="70" t="s">
        <v>352</v>
      </c>
      <c r="F202" s="201">
        <f>Data!$E$470/1000</f>
        <v>0</v>
      </c>
      <c r="G202" s="56"/>
      <c r="H202" s="56"/>
      <c r="I202" s="56">
        <f>I$195*$F$202</f>
        <v>0</v>
      </c>
      <c r="J202" s="56">
        <f t="shared" ref="J202:AC202" si="49">J$195*$F$202</f>
        <v>0</v>
      </c>
      <c r="K202" s="56">
        <f t="shared" si="49"/>
        <v>0</v>
      </c>
      <c r="L202" s="56">
        <f t="shared" si="49"/>
        <v>0</v>
      </c>
      <c r="M202" s="56">
        <f t="shared" si="49"/>
        <v>0</v>
      </c>
      <c r="N202" s="56">
        <f t="shared" si="49"/>
        <v>0</v>
      </c>
      <c r="O202" s="56">
        <f t="shared" si="49"/>
        <v>0</v>
      </c>
      <c r="P202" s="56">
        <f t="shared" si="49"/>
        <v>0</v>
      </c>
      <c r="Q202" s="56">
        <f t="shared" si="49"/>
        <v>0</v>
      </c>
      <c r="R202" s="56">
        <f t="shared" si="49"/>
        <v>0</v>
      </c>
      <c r="S202" s="56">
        <f t="shared" si="49"/>
        <v>0</v>
      </c>
      <c r="T202" s="56">
        <f t="shared" si="49"/>
        <v>0</v>
      </c>
      <c r="U202" s="56">
        <f t="shared" si="49"/>
        <v>0</v>
      </c>
      <c r="V202" s="56">
        <f t="shared" si="49"/>
        <v>0</v>
      </c>
      <c r="W202" s="56">
        <f t="shared" si="49"/>
        <v>0</v>
      </c>
      <c r="X202" s="56">
        <f t="shared" si="49"/>
        <v>0</v>
      </c>
      <c r="Y202" s="56">
        <f t="shared" si="49"/>
        <v>0</v>
      </c>
      <c r="Z202" s="56">
        <f t="shared" si="49"/>
        <v>0</v>
      </c>
      <c r="AA202" s="56">
        <f t="shared" si="49"/>
        <v>0</v>
      </c>
      <c r="AB202" s="56">
        <f t="shared" si="49"/>
        <v>0</v>
      </c>
      <c r="AC202" s="56">
        <f t="shared" si="49"/>
        <v>0</v>
      </c>
      <c r="AD202" s="56"/>
      <c r="AE202" s="56"/>
      <c r="AF202" s="56"/>
      <c r="AG202" s="56"/>
      <c r="AH202" s="56"/>
      <c r="AI202" s="56"/>
      <c r="AJ202" s="56"/>
      <c r="AK202" s="56"/>
      <c r="AL202" s="56"/>
      <c r="AM202" s="56"/>
      <c r="AN202" s="56"/>
      <c r="AO202" s="56"/>
      <c r="AP202" s="29"/>
    </row>
    <row r="203" spans="1:42" hidden="1" outlineLevel="1" x14ac:dyDescent="0.25">
      <c r="A203" s="54"/>
      <c r="B203" s="13"/>
      <c r="C203" s="14" t="s">
        <v>214</v>
      </c>
      <c r="D203" s="14"/>
      <c r="E203" s="70" t="s">
        <v>352</v>
      </c>
      <c r="F203" s="201">
        <f>Data!$E$471/1000</f>
        <v>0</v>
      </c>
      <c r="G203" s="56"/>
      <c r="H203" s="56"/>
      <c r="I203" s="56">
        <f>I$195*$F$203</f>
        <v>0</v>
      </c>
      <c r="J203" s="56">
        <f t="shared" ref="J203:AC203" si="50">J$195*$F$203</f>
        <v>0</v>
      </c>
      <c r="K203" s="56">
        <f t="shared" si="50"/>
        <v>0</v>
      </c>
      <c r="L203" s="56">
        <f t="shared" si="50"/>
        <v>0</v>
      </c>
      <c r="M203" s="56">
        <f t="shared" si="50"/>
        <v>0</v>
      </c>
      <c r="N203" s="56">
        <f t="shared" si="50"/>
        <v>0</v>
      </c>
      <c r="O203" s="56">
        <f t="shared" si="50"/>
        <v>0</v>
      </c>
      <c r="P203" s="56">
        <f t="shared" si="50"/>
        <v>0</v>
      </c>
      <c r="Q203" s="56">
        <f t="shared" si="50"/>
        <v>0</v>
      </c>
      <c r="R203" s="56">
        <f t="shared" si="50"/>
        <v>0</v>
      </c>
      <c r="S203" s="56">
        <f t="shared" si="50"/>
        <v>0</v>
      </c>
      <c r="T203" s="56">
        <f t="shared" si="50"/>
        <v>0</v>
      </c>
      <c r="U203" s="56">
        <f t="shared" si="50"/>
        <v>0</v>
      </c>
      <c r="V203" s="56">
        <f t="shared" si="50"/>
        <v>0</v>
      </c>
      <c r="W203" s="56">
        <f t="shared" si="50"/>
        <v>0</v>
      </c>
      <c r="X203" s="56">
        <f t="shared" si="50"/>
        <v>0</v>
      </c>
      <c r="Y203" s="56">
        <f t="shared" si="50"/>
        <v>0</v>
      </c>
      <c r="Z203" s="56">
        <f t="shared" si="50"/>
        <v>0</v>
      </c>
      <c r="AA203" s="56">
        <f t="shared" si="50"/>
        <v>0</v>
      </c>
      <c r="AB203" s="56">
        <f t="shared" si="50"/>
        <v>0</v>
      </c>
      <c r="AC203" s="56">
        <f t="shared" si="50"/>
        <v>0</v>
      </c>
      <c r="AD203" s="56"/>
      <c r="AE203" s="56"/>
      <c r="AF203" s="56"/>
      <c r="AG203" s="56"/>
      <c r="AH203" s="56"/>
      <c r="AI203" s="56"/>
      <c r="AJ203" s="56"/>
      <c r="AK203" s="56"/>
      <c r="AL203" s="56"/>
      <c r="AM203" s="56"/>
      <c r="AN203" s="56"/>
      <c r="AO203" s="56"/>
      <c r="AP203" s="29"/>
    </row>
    <row r="204" spans="1:42" hidden="1" outlineLevel="1" x14ac:dyDescent="0.25">
      <c r="A204" s="12"/>
      <c r="B204" s="13"/>
      <c r="C204" s="14"/>
      <c r="D204" s="14"/>
      <c r="E204" s="15"/>
      <c r="F204" s="16"/>
      <c r="G204" s="159"/>
      <c r="H204" s="159"/>
      <c r="I204" s="56"/>
      <c r="J204" s="56"/>
      <c r="K204" s="56"/>
      <c r="L204" s="56"/>
      <c r="M204" s="56"/>
      <c r="N204" s="56"/>
      <c r="O204" s="56"/>
      <c r="P204" s="56"/>
      <c r="Q204" s="56"/>
      <c r="R204" s="56"/>
      <c r="S204" s="56"/>
      <c r="T204" s="56"/>
      <c r="U204" s="56"/>
      <c r="V204" s="56"/>
      <c r="W204" s="56"/>
      <c r="X204" s="56"/>
      <c r="Y204" s="56"/>
      <c r="Z204" s="56"/>
      <c r="AA204" s="56"/>
      <c r="AB204" s="56"/>
      <c r="AC204" s="14"/>
      <c r="AD204" s="14"/>
      <c r="AE204" s="14"/>
      <c r="AF204" s="14"/>
      <c r="AG204" s="14"/>
      <c r="AH204" s="14"/>
      <c r="AI204" s="14"/>
      <c r="AJ204" s="14"/>
      <c r="AK204" s="14"/>
      <c r="AL204" s="14"/>
      <c r="AM204" s="14"/>
      <c r="AN204" s="14"/>
      <c r="AO204" s="14"/>
      <c r="AP204" s="14"/>
    </row>
    <row r="205" spans="1:42" hidden="1" outlineLevel="1" x14ac:dyDescent="0.25">
      <c r="A205" s="54"/>
      <c r="B205" s="13"/>
      <c r="C205" s="14" t="s">
        <v>205</v>
      </c>
      <c r="D205" s="14"/>
      <c r="E205" s="70" t="s">
        <v>474</v>
      </c>
      <c r="F205" s="200">
        <f>Data!$E$35/1000</f>
        <v>3.4099438202247192E-3</v>
      </c>
      <c r="G205" s="56"/>
      <c r="H205" s="56"/>
      <c r="I205" s="56">
        <f>I197*$F$205</f>
        <v>0</v>
      </c>
      <c r="J205" s="56">
        <f t="shared" ref="J205:AC205" si="51">J197*$F$205</f>
        <v>0</v>
      </c>
      <c r="K205" s="56">
        <f t="shared" si="51"/>
        <v>0</v>
      </c>
      <c r="L205" s="56">
        <f t="shared" si="51"/>
        <v>0</v>
      </c>
      <c r="M205" s="56">
        <f t="shared" si="51"/>
        <v>0</v>
      </c>
      <c r="N205" s="56">
        <f t="shared" si="51"/>
        <v>0</v>
      </c>
      <c r="O205" s="56">
        <f t="shared" si="51"/>
        <v>0</v>
      </c>
      <c r="P205" s="56">
        <f t="shared" si="51"/>
        <v>0</v>
      </c>
      <c r="Q205" s="56">
        <f t="shared" si="51"/>
        <v>0</v>
      </c>
      <c r="R205" s="56">
        <f t="shared" si="51"/>
        <v>0</v>
      </c>
      <c r="S205" s="56">
        <f t="shared" si="51"/>
        <v>0</v>
      </c>
      <c r="T205" s="56">
        <f t="shared" si="51"/>
        <v>0</v>
      </c>
      <c r="U205" s="56">
        <f t="shared" si="51"/>
        <v>0</v>
      </c>
      <c r="V205" s="56">
        <f t="shared" si="51"/>
        <v>0</v>
      </c>
      <c r="W205" s="56">
        <f t="shared" si="51"/>
        <v>0</v>
      </c>
      <c r="X205" s="56">
        <f t="shared" si="51"/>
        <v>0</v>
      </c>
      <c r="Y205" s="56">
        <f t="shared" si="51"/>
        <v>0</v>
      </c>
      <c r="Z205" s="56">
        <f t="shared" si="51"/>
        <v>0</v>
      </c>
      <c r="AA205" s="56">
        <f t="shared" si="51"/>
        <v>0</v>
      </c>
      <c r="AB205" s="56">
        <f t="shared" si="51"/>
        <v>0</v>
      </c>
      <c r="AC205" s="56">
        <f t="shared" si="51"/>
        <v>0</v>
      </c>
      <c r="AD205" s="56"/>
      <c r="AE205" s="56"/>
      <c r="AF205" s="56"/>
      <c r="AG205" s="56"/>
      <c r="AH205" s="56"/>
      <c r="AI205" s="56"/>
      <c r="AJ205" s="56"/>
      <c r="AK205" s="56"/>
      <c r="AL205" s="56"/>
      <c r="AM205" s="56"/>
      <c r="AN205" s="56"/>
      <c r="AO205" s="56"/>
      <c r="AP205" s="29"/>
    </row>
    <row r="206" spans="1:42" hidden="1" outlineLevel="1" x14ac:dyDescent="0.25">
      <c r="A206" s="54"/>
      <c r="B206" s="13"/>
      <c r="C206" s="14" t="s">
        <v>484</v>
      </c>
      <c r="D206" s="14"/>
      <c r="E206" s="70" t="s">
        <v>474</v>
      </c>
      <c r="F206" s="200"/>
      <c r="G206" s="56"/>
      <c r="H206" s="56"/>
      <c r="I206" s="56">
        <f>I198*Data!H16/1000</f>
        <v>0</v>
      </c>
      <c r="J206" s="56">
        <f>J198*Data!I16/1000</f>
        <v>0</v>
      </c>
      <c r="K206" s="56">
        <f>K198*Data!J16/1000</f>
        <v>0</v>
      </c>
      <c r="L206" s="56">
        <f>L198*Data!K16/1000</f>
        <v>0</v>
      </c>
      <c r="M206" s="56">
        <f>M198*Data!L16/1000</f>
        <v>0</v>
      </c>
      <c r="N206" s="56">
        <f>N198*Data!M16/1000</f>
        <v>0</v>
      </c>
      <c r="O206" s="56">
        <f>O198*Data!N16/1000</f>
        <v>0</v>
      </c>
      <c r="P206" s="56">
        <f>P198*Data!O16/1000</f>
        <v>0</v>
      </c>
      <c r="Q206" s="56">
        <f>Q198*Data!P16/1000</f>
        <v>0</v>
      </c>
      <c r="R206" s="56">
        <f>R198*Data!Q16/1000</f>
        <v>0</v>
      </c>
      <c r="S206" s="56">
        <f>S198*Data!R16/1000</f>
        <v>0</v>
      </c>
      <c r="T206" s="56">
        <f>T198*Data!S16/1000</f>
        <v>0</v>
      </c>
      <c r="U206" s="56">
        <f>U198*Data!T16/1000</f>
        <v>0</v>
      </c>
      <c r="V206" s="56">
        <f>V198*Data!U16/1000</f>
        <v>0</v>
      </c>
      <c r="W206" s="56">
        <f>W198*Data!V16/1000</f>
        <v>0</v>
      </c>
      <c r="X206" s="56">
        <f>X198*Data!W16/1000</f>
        <v>0</v>
      </c>
      <c r="Y206" s="56">
        <f>Y198*Data!X16/1000</f>
        <v>0</v>
      </c>
      <c r="Z206" s="56">
        <f>Z198*Data!Y16/1000</f>
        <v>0</v>
      </c>
      <c r="AA206" s="56">
        <f>AA198*Data!Z16/1000</f>
        <v>0</v>
      </c>
      <c r="AB206" s="56">
        <f>AB198*Data!AA16/1000</f>
        <v>0</v>
      </c>
      <c r="AC206" s="56">
        <f>AC198*Data!AB16/1000</f>
        <v>0</v>
      </c>
      <c r="AD206" s="56"/>
      <c r="AE206" s="56"/>
      <c r="AF206" s="56"/>
      <c r="AG206" s="56"/>
      <c r="AH206" s="56"/>
      <c r="AI206" s="56"/>
      <c r="AJ206" s="56"/>
      <c r="AK206" s="56"/>
      <c r="AL206" s="56"/>
      <c r="AM206" s="56"/>
      <c r="AN206" s="56"/>
      <c r="AO206" s="56"/>
      <c r="AP206" s="29"/>
    </row>
    <row r="207" spans="1:42" hidden="1" outlineLevel="1" x14ac:dyDescent="0.25">
      <c r="A207" s="54"/>
      <c r="B207" s="13"/>
      <c r="C207" s="14" t="s">
        <v>285</v>
      </c>
      <c r="D207" s="14"/>
      <c r="E207" s="70" t="s">
        <v>474</v>
      </c>
      <c r="F207" s="200">
        <f>Data!$E$36/1000</f>
        <v>1.0822865168539326</v>
      </c>
      <c r="G207" s="56"/>
      <c r="H207" s="56"/>
      <c r="I207" s="56">
        <f>I199*$F$207</f>
        <v>0</v>
      </c>
      <c r="J207" s="56">
        <f t="shared" ref="J207:AC207" si="52">J199*$F$207</f>
        <v>0</v>
      </c>
      <c r="K207" s="56">
        <f t="shared" si="52"/>
        <v>0</v>
      </c>
      <c r="L207" s="56">
        <f t="shared" si="52"/>
        <v>0</v>
      </c>
      <c r="M207" s="56">
        <f t="shared" si="52"/>
        <v>0</v>
      </c>
      <c r="N207" s="56">
        <f t="shared" si="52"/>
        <v>0</v>
      </c>
      <c r="O207" s="56">
        <f t="shared" si="52"/>
        <v>0</v>
      </c>
      <c r="P207" s="56">
        <f t="shared" si="52"/>
        <v>0</v>
      </c>
      <c r="Q207" s="56">
        <f t="shared" si="52"/>
        <v>0</v>
      </c>
      <c r="R207" s="56">
        <f t="shared" si="52"/>
        <v>0</v>
      </c>
      <c r="S207" s="56">
        <f t="shared" si="52"/>
        <v>0</v>
      </c>
      <c r="T207" s="56">
        <f t="shared" si="52"/>
        <v>0</v>
      </c>
      <c r="U207" s="56">
        <f t="shared" si="52"/>
        <v>0</v>
      </c>
      <c r="V207" s="56">
        <f t="shared" si="52"/>
        <v>0</v>
      </c>
      <c r="W207" s="56">
        <f t="shared" si="52"/>
        <v>0</v>
      </c>
      <c r="X207" s="56">
        <f t="shared" si="52"/>
        <v>0</v>
      </c>
      <c r="Y207" s="56">
        <f t="shared" si="52"/>
        <v>0</v>
      </c>
      <c r="Z207" s="56">
        <f t="shared" si="52"/>
        <v>0</v>
      </c>
      <c r="AA207" s="56">
        <f t="shared" si="52"/>
        <v>0</v>
      </c>
      <c r="AB207" s="56">
        <f t="shared" si="52"/>
        <v>0</v>
      </c>
      <c r="AC207" s="56">
        <f t="shared" si="52"/>
        <v>0</v>
      </c>
      <c r="AD207" s="56"/>
      <c r="AE207" s="56"/>
      <c r="AF207" s="56"/>
      <c r="AG207" s="56"/>
      <c r="AH207" s="56"/>
      <c r="AI207" s="56"/>
      <c r="AJ207" s="56"/>
      <c r="AK207" s="56"/>
      <c r="AL207" s="56"/>
      <c r="AM207" s="56"/>
      <c r="AN207" s="56"/>
      <c r="AO207" s="56"/>
      <c r="AP207" s="29"/>
    </row>
    <row r="208" spans="1:42" hidden="1" outlineLevel="1" x14ac:dyDescent="0.25">
      <c r="A208" s="54"/>
      <c r="B208" s="13"/>
      <c r="C208" s="14" t="s">
        <v>220</v>
      </c>
      <c r="D208" s="14"/>
      <c r="E208" s="70" t="s">
        <v>474</v>
      </c>
      <c r="F208" s="200">
        <f>Data!$E$37/1000</f>
        <v>371.00188764044947</v>
      </c>
      <c r="G208" s="56"/>
      <c r="H208" s="56"/>
      <c r="I208" s="56">
        <f>I200*$F$208</f>
        <v>0</v>
      </c>
      <c r="J208" s="56">
        <f t="shared" ref="J208:AC208" si="53">J200*$F$208</f>
        <v>0</v>
      </c>
      <c r="K208" s="56">
        <f t="shared" si="53"/>
        <v>0</v>
      </c>
      <c r="L208" s="56">
        <f t="shared" si="53"/>
        <v>0</v>
      </c>
      <c r="M208" s="56">
        <f t="shared" si="53"/>
        <v>0</v>
      </c>
      <c r="N208" s="56">
        <f t="shared" si="53"/>
        <v>0</v>
      </c>
      <c r="O208" s="56">
        <f t="shared" si="53"/>
        <v>0</v>
      </c>
      <c r="P208" s="56">
        <f t="shared" si="53"/>
        <v>0</v>
      </c>
      <c r="Q208" s="56">
        <f t="shared" si="53"/>
        <v>0</v>
      </c>
      <c r="R208" s="56">
        <f t="shared" si="53"/>
        <v>0</v>
      </c>
      <c r="S208" s="56">
        <f t="shared" si="53"/>
        <v>0</v>
      </c>
      <c r="T208" s="56">
        <f t="shared" si="53"/>
        <v>0</v>
      </c>
      <c r="U208" s="56">
        <f t="shared" si="53"/>
        <v>0</v>
      </c>
      <c r="V208" s="56">
        <f t="shared" si="53"/>
        <v>0</v>
      </c>
      <c r="W208" s="56">
        <f t="shared" si="53"/>
        <v>0</v>
      </c>
      <c r="X208" s="56">
        <f t="shared" si="53"/>
        <v>0</v>
      </c>
      <c r="Y208" s="56">
        <f t="shared" si="53"/>
        <v>0</v>
      </c>
      <c r="Z208" s="56">
        <f t="shared" si="53"/>
        <v>0</v>
      </c>
      <c r="AA208" s="56">
        <f t="shared" si="53"/>
        <v>0</v>
      </c>
      <c r="AB208" s="56">
        <f t="shared" si="53"/>
        <v>0</v>
      </c>
      <c r="AC208" s="56">
        <f t="shared" si="53"/>
        <v>0</v>
      </c>
      <c r="AD208" s="56"/>
      <c r="AE208" s="56"/>
      <c r="AF208" s="56"/>
      <c r="AG208" s="56"/>
      <c r="AH208" s="56"/>
      <c r="AI208" s="56"/>
      <c r="AJ208" s="56"/>
      <c r="AK208" s="56"/>
      <c r="AL208" s="56"/>
      <c r="AM208" s="56"/>
      <c r="AN208" s="56"/>
      <c r="AO208" s="56"/>
      <c r="AP208" s="29"/>
    </row>
    <row r="209" spans="1:42" hidden="1" outlineLevel="1" x14ac:dyDescent="0.25">
      <c r="A209" s="54"/>
      <c r="B209" s="13"/>
      <c r="C209" s="14" t="s">
        <v>212</v>
      </c>
      <c r="D209" s="14"/>
      <c r="E209" s="70" t="s">
        <v>474</v>
      </c>
      <c r="F209" s="200">
        <f>Data!$E$39/1000</f>
        <v>0</v>
      </c>
      <c r="G209" s="56"/>
      <c r="H209" s="56"/>
      <c r="I209" s="56">
        <f>I201*$F$209</f>
        <v>0</v>
      </c>
      <c r="J209" s="56">
        <f t="shared" ref="J209:AC209" si="54">J201*$F$209</f>
        <v>0</v>
      </c>
      <c r="K209" s="56">
        <f t="shared" si="54"/>
        <v>0</v>
      </c>
      <c r="L209" s="56">
        <f t="shared" si="54"/>
        <v>0</v>
      </c>
      <c r="M209" s="56">
        <f t="shared" si="54"/>
        <v>0</v>
      </c>
      <c r="N209" s="56">
        <f t="shared" si="54"/>
        <v>0</v>
      </c>
      <c r="O209" s="56">
        <f t="shared" si="54"/>
        <v>0</v>
      </c>
      <c r="P209" s="56">
        <f t="shared" si="54"/>
        <v>0</v>
      </c>
      <c r="Q209" s="56">
        <f t="shared" si="54"/>
        <v>0</v>
      </c>
      <c r="R209" s="56">
        <f t="shared" si="54"/>
        <v>0</v>
      </c>
      <c r="S209" s="56">
        <f t="shared" si="54"/>
        <v>0</v>
      </c>
      <c r="T209" s="56">
        <f t="shared" si="54"/>
        <v>0</v>
      </c>
      <c r="U209" s="56">
        <f t="shared" si="54"/>
        <v>0</v>
      </c>
      <c r="V209" s="56">
        <f t="shared" si="54"/>
        <v>0</v>
      </c>
      <c r="W209" s="56">
        <f t="shared" si="54"/>
        <v>0</v>
      </c>
      <c r="X209" s="56">
        <f t="shared" si="54"/>
        <v>0</v>
      </c>
      <c r="Y209" s="56">
        <f t="shared" si="54"/>
        <v>0</v>
      </c>
      <c r="Z209" s="56">
        <f t="shared" si="54"/>
        <v>0</v>
      </c>
      <c r="AA209" s="56">
        <f t="shared" si="54"/>
        <v>0</v>
      </c>
      <c r="AB209" s="56">
        <f t="shared" si="54"/>
        <v>0</v>
      </c>
      <c r="AC209" s="56">
        <f t="shared" si="54"/>
        <v>0</v>
      </c>
      <c r="AD209" s="56"/>
      <c r="AE209" s="56"/>
      <c r="AF209" s="56"/>
      <c r="AG209" s="56"/>
      <c r="AH209" s="56"/>
      <c r="AI209" s="56"/>
      <c r="AJ209" s="56"/>
      <c r="AK209" s="56"/>
      <c r="AL209" s="56"/>
      <c r="AM209" s="56"/>
      <c r="AN209" s="56"/>
      <c r="AO209" s="56"/>
      <c r="AP209" s="29"/>
    </row>
    <row r="210" spans="1:42" hidden="1" outlineLevel="1" x14ac:dyDescent="0.25">
      <c r="A210" s="54"/>
      <c r="B210" s="13"/>
      <c r="C210" s="14" t="s">
        <v>485</v>
      </c>
      <c r="D210" s="14"/>
      <c r="E210" s="70" t="s">
        <v>474</v>
      </c>
      <c r="F210" s="200">
        <f>Data!$E$40/1000</f>
        <v>605.20914606741576</v>
      </c>
      <c r="G210" s="56"/>
      <c r="H210" s="56"/>
      <c r="I210" s="56">
        <f>I202*$F$210</f>
        <v>0</v>
      </c>
      <c r="J210" s="56">
        <f t="shared" ref="J210:AC210" si="55">J202*$F$210</f>
        <v>0</v>
      </c>
      <c r="K210" s="56">
        <f t="shared" si="55"/>
        <v>0</v>
      </c>
      <c r="L210" s="56">
        <f t="shared" si="55"/>
        <v>0</v>
      </c>
      <c r="M210" s="56">
        <f t="shared" si="55"/>
        <v>0</v>
      </c>
      <c r="N210" s="56">
        <f t="shared" si="55"/>
        <v>0</v>
      </c>
      <c r="O210" s="56">
        <f t="shared" si="55"/>
        <v>0</v>
      </c>
      <c r="P210" s="56">
        <f t="shared" si="55"/>
        <v>0</v>
      </c>
      <c r="Q210" s="56">
        <f t="shared" si="55"/>
        <v>0</v>
      </c>
      <c r="R210" s="56">
        <f t="shared" si="55"/>
        <v>0</v>
      </c>
      <c r="S210" s="56">
        <f t="shared" si="55"/>
        <v>0</v>
      </c>
      <c r="T210" s="56">
        <f t="shared" si="55"/>
        <v>0</v>
      </c>
      <c r="U210" s="56">
        <f t="shared" si="55"/>
        <v>0</v>
      </c>
      <c r="V210" s="56">
        <f t="shared" si="55"/>
        <v>0</v>
      </c>
      <c r="W210" s="56">
        <f t="shared" si="55"/>
        <v>0</v>
      </c>
      <c r="X210" s="56">
        <f t="shared" si="55"/>
        <v>0</v>
      </c>
      <c r="Y210" s="56">
        <f t="shared" si="55"/>
        <v>0</v>
      </c>
      <c r="Z210" s="56">
        <f t="shared" si="55"/>
        <v>0</v>
      </c>
      <c r="AA210" s="56">
        <f t="shared" si="55"/>
        <v>0</v>
      </c>
      <c r="AB210" s="56">
        <f t="shared" si="55"/>
        <v>0</v>
      </c>
      <c r="AC210" s="56">
        <f t="shared" si="55"/>
        <v>0</v>
      </c>
      <c r="AD210" s="56"/>
      <c r="AE210" s="56"/>
      <c r="AF210" s="56"/>
      <c r="AG210" s="56"/>
      <c r="AH210" s="56"/>
      <c r="AI210" s="56"/>
      <c r="AJ210" s="56"/>
      <c r="AK210" s="56"/>
      <c r="AL210" s="56"/>
      <c r="AM210" s="56"/>
      <c r="AN210" s="56"/>
      <c r="AO210" s="56"/>
      <c r="AP210" s="29"/>
    </row>
    <row r="211" spans="1:42" hidden="1" outlineLevel="1" x14ac:dyDescent="0.25">
      <c r="A211" s="54"/>
      <c r="B211" s="13"/>
      <c r="C211" s="14" t="s">
        <v>214</v>
      </c>
      <c r="D211" s="14"/>
      <c r="E211" s="70" t="s">
        <v>474</v>
      </c>
      <c r="F211" s="200">
        <f>Data!$E$41/1000</f>
        <v>0</v>
      </c>
      <c r="G211" s="56"/>
      <c r="H211" s="56"/>
      <c r="I211" s="56">
        <f>I203*$F$211</f>
        <v>0</v>
      </c>
      <c r="J211" s="56">
        <f t="shared" ref="J211:AC211" si="56">J203*$F$211</f>
        <v>0</v>
      </c>
      <c r="K211" s="56">
        <f t="shared" si="56"/>
        <v>0</v>
      </c>
      <c r="L211" s="56">
        <f t="shared" si="56"/>
        <v>0</v>
      </c>
      <c r="M211" s="56">
        <f t="shared" si="56"/>
        <v>0</v>
      </c>
      <c r="N211" s="56">
        <f t="shared" si="56"/>
        <v>0</v>
      </c>
      <c r="O211" s="56">
        <f t="shared" si="56"/>
        <v>0</v>
      </c>
      <c r="P211" s="56">
        <f t="shared" si="56"/>
        <v>0</v>
      </c>
      <c r="Q211" s="56">
        <f t="shared" si="56"/>
        <v>0</v>
      </c>
      <c r="R211" s="56">
        <f t="shared" si="56"/>
        <v>0</v>
      </c>
      <c r="S211" s="56">
        <f t="shared" si="56"/>
        <v>0</v>
      </c>
      <c r="T211" s="56">
        <f t="shared" si="56"/>
        <v>0</v>
      </c>
      <c r="U211" s="56">
        <f t="shared" si="56"/>
        <v>0</v>
      </c>
      <c r="V211" s="56">
        <f t="shared" si="56"/>
        <v>0</v>
      </c>
      <c r="W211" s="56">
        <f t="shared" si="56"/>
        <v>0</v>
      </c>
      <c r="X211" s="56">
        <f t="shared" si="56"/>
        <v>0</v>
      </c>
      <c r="Y211" s="56">
        <f t="shared" si="56"/>
        <v>0</v>
      </c>
      <c r="Z211" s="56">
        <f t="shared" si="56"/>
        <v>0</v>
      </c>
      <c r="AA211" s="56">
        <f t="shared" si="56"/>
        <v>0</v>
      </c>
      <c r="AB211" s="56">
        <f t="shared" si="56"/>
        <v>0</v>
      </c>
      <c r="AC211" s="56">
        <f t="shared" si="56"/>
        <v>0</v>
      </c>
      <c r="AD211" s="56"/>
      <c r="AE211" s="56"/>
      <c r="AF211" s="56"/>
      <c r="AG211" s="56"/>
      <c r="AH211" s="56"/>
      <c r="AI211" s="56"/>
      <c r="AJ211" s="56"/>
      <c r="AK211" s="56"/>
      <c r="AL211" s="56"/>
      <c r="AM211" s="56"/>
      <c r="AN211" s="56"/>
      <c r="AO211" s="56"/>
      <c r="AP211" s="29"/>
    </row>
    <row r="212" spans="1:42" hidden="1" outlineLevel="1" x14ac:dyDescent="0.25">
      <c r="A212" s="12"/>
      <c r="B212" s="13"/>
      <c r="C212" s="20" t="s">
        <v>536</v>
      </c>
      <c r="D212" s="14"/>
      <c r="E212" s="70" t="s">
        <v>474</v>
      </c>
      <c r="F212" s="16"/>
      <c r="G212" s="159"/>
      <c r="H212" s="185"/>
      <c r="I212" s="185">
        <f>SUM(I205:I211)</f>
        <v>0</v>
      </c>
      <c r="J212" s="185">
        <f>SUM(J205:J211)</f>
        <v>0</v>
      </c>
      <c r="K212" s="185">
        <f t="shared" ref="K212:AO212" si="57">SUM(K205:K211)</f>
        <v>0</v>
      </c>
      <c r="L212" s="185">
        <f t="shared" si="57"/>
        <v>0</v>
      </c>
      <c r="M212" s="185">
        <f t="shared" si="57"/>
        <v>0</v>
      </c>
      <c r="N212" s="185">
        <f t="shared" si="57"/>
        <v>0</v>
      </c>
      <c r="O212" s="185">
        <f t="shared" si="57"/>
        <v>0</v>
      </c>
      <c r="P212" s="185">
        <f t="shared" si="57"/>
        <v>0</v>
      </c>
      <c r="Q212" s="185">
        <f t="shared" si="57"/>
        <v>0</v>
      </c>
      <c r="R212" s="185">
        <f t="shared" si="57"/>
        <v>0</v>
      </c>
      <c r="S212" s="185">
        <f t="shared" si="57"/>
        <v>0</v>
      </c>
      <c r="T212" s="185">
        <f t="shared" si="57"/>
        <v>0</v>
      </c>
      <c r="U212" s="185">
        <f t="shared" si="57"/>
        <v>0</v>
      </c>
      <c r="V212" s="185">
        <f t="shared" si="57"/>
        <v>0</v>
      </c>
      <c r="W212" s="185">
        <f t="shared" si="57"/>
        <v>0</v>
      </c>
      <c r="X212" s="185">
        <f t="shared" si="57"/>
        <v>0</v>
      </c>
      <c r="Y212" s="185">
        <f t="shared" si="57"/>
        <v>0</v>
      </c>
      <c r="Z212" s="185">
        <f t="shared" si="57"/>
        <v>0</v>
      </c>
      <c r="AA212" s="185">
        <f t="shared" si="57"/>
        <v>0</v>
      </c>
      <c r="AB212" s="185">
        <f t="shared" si="57"/>
        <v>0</v>
      </c>
      <c r="AC212" s="185">
        <f t="shared" si="57"/>
        <v>0</v>
      </c>
      <c r="AD212" s="185">
        <f t="shared" si="57"/>
        <v>0</v>
      </c>
      <c r="AE212" s="185">
        <f t="shared" si="57"/>
        <v>0</v>
      </c>
      <c r="AF212" s="185">
        <f t="shared" si="57"/>
        <v>0</v>
      </c>
      <c r="AG212" s="185">
        <f t="shared" si="57"/>
        <v>0</v>
      </c>
      <c r="AH212" s="185">
        <f t="shared" si="57"/>
        <v>0</v>
      </c>
      <c r="AI212" s="185">
        <f t="shared" si="57"/>
        <v>0</v>
      </c>
      <c r="AJ212" s="185">
        <f t="shared" si="57"/>
        <v>0</v>
      </c>
      <c r="AK212" s="185">
        <f t="shared" si="57"/>
        <v>0</v>
      </c>
      <c r="AL212" s="185">
        <f t="shared" si="57"/>
        <v>0</v>
      </c>
      <c r="AM212" s="185">
        <f t="shared" si="57"/>
        <v>0</v>
      </c>
      <c r="AN212" s="185">
        <f t="shared" si="57"/>
        <v>0</v>
      </c>
      <c r="AO212" s="185">
        <f t="shared" si="57"/>
        <v>0</v>
      </c>
      <c r="AP212" s="14"/>
    </row>
    <row r="213" spans="1:42" hidden="1" outlineLevel="1" x14ac:dyDescent="0.25">
      <c r="A213" s="12"/>
      <c r="B213" s="13"/>
      <c r="C213" s="14"/>
      <c r="D213" s="14"/>
      <c r="E213" s="15"/>
      <c r="F213" s="16"/>
      <c r="G213" s="159"/>
      <c r="H213" s="159"/>
      <c r="I213" s="159"/>
      <c r="J213" s="159"/>
      <c r="K213" s="159"/>
      <c r="L213" s="159"/>
      <c r="M213" s="159"/>
      <c r="N213" s="159"/>
      <c r="O213" s="159"/>
      <c r="P213" s="159"/>
      <c r="Q213" s="159"/>
      <c r="R213" s="159"/>
      <c r="S213" s="159"/>
      <c r="T213" s="159"/>
      <c r="U213" s="159"/>
      <c r="V213" s="159"/>
      <c r="W213" s="159"/>
      <c r="X213" s="14"/>
      <c r="Y213" s="14"/>
      <c r="Z213" s="14"/>
      <c r="AA213" s="14"/>
      <c r="AB213" s="14"/>
      <c r="AC213" s="14"/>
      <c r="AD213" s="14"/>
      <c r="AE213" s="14"/>
      <c r="AF213" s="14"/>
      <c r="AG213" s="14"/>
      <c r="AH213" s="14"/>
      <c r="AI213" s="14"/>
      <c r="AJ213" s="14"/>
      <c r="AK213" s="14"/>
      <c r="AL213" s="14"/>
      <c r="AM213" s="14"/>
      <c r="AN213" s="14"/>
      <c r="AO213" s="14"/>
      <c r="AP213" s="14"/>
    </row>
    <row r="214" spans="1:42" hidden="1" outlineLevel="1" x14ac:dyDescent="0.25">
      <c r="A214" s="12"/>
      <c r="B214" s="13"/>
      <c r="C214" s="14" t="s">
        <v>523</v>
      </c>
      <c r="D214" s="14"/>
      <c r="E214" s="15" t="s">
        <v>474</v>
      </c>
      <c r="F214" s="48"/>
      <c r="G214" s="185"/>
      <c r="H214" s="185"/>
      <c r="I214" s="185">
        <f>I212*Data!H$9</f>
        <v>0</v>
      </c>
      <c r="J214" s="185">
        <f>J212*Data!I$9</f>
        <v>0</v>
      </c>
      <c r="K214" s="185">
        <f>K212*Data!J$9</f>
        <v>0</v>
      </c>
      <c r="L214" s="185">
        <f>L212*Data!K$9</f>
        <v>0</v>
      </c>
      <c r="M214" s="185">
        <f>M212*Data!L$9</f>
        <v>0</v>
      </c>
      <c r="N214" s="185">
        <f>N212*Data!M$9</f>
        <v>0</v>
      </c>
      <c r="O214" s="185">
        <f>O212*Data!N$9</f>
        <v>0</v>
      </c>
      <c r="P214" s="185">
        <f>P212*Data!O$9</f>
        <v>0</v>
      </c>
      <c r="Q214" s="185">
        <f>Q212*Data!P$9</f>
        <v>0</v>
      </c>
      <c r="R214" s="185">
        <f>R212*Data!Q$9</f>
        <v>0</v>
      </c>
      <c r="S214" s="185">
        <f>S212*Data!R$9</f>
        <v>0</v>
      </c>
      <c r="T214" s="185">
        <f>T212*Data!S$9</f>
        <v>0</v>
      </c>
      <c r="U214" s="185">
        <f>U212*Data!T$9</f>
        <v>0</v>
      </c>
      <c r="V214" s="185">
        <f>V212*Data!U$9</f>
        <v>0</v>
      </c>
      <c r="W214" s="185">
        <f>W212*Data!V$9</f>
        <v>0</v>
      </c>
      <c r="X214" s="185">
        <f>X212*Data!W$9</f>
        <v>0</v>
      </c>
      <c r="Y214" s="185">
        <f>Y212*Data!X$9</f>
        <v>0</v>
      </c>
      <c r="Z214" s="185">
        <f>Z212*Data!Y$9</f>
        <v>0</v>
      </c>
      <c r="AA214" s="185">
        <f>AA212*Data!Z$9</f>
        <v>0</v>
      </c>
      <c r="AB214" s="185">
        <f>AB212*Data!AA$9</f>
        <v>0</v>
      </c>
      <c r="AC214" s="185">
        <f>AC212*Data!AB$9</f>
        <v>0</v>
      </c>
      <c r="AD214" s="185">
        <f>AD212*Data!AC$9</f>
        <v>0</v>
      </c>
      <c r="AE214" s="185">
        <f>AE212*Data!AD$9</f>
        <v>0</v>
      </c>
      <c r="AF214" s="185">
        <f>AF212*Data!AE$9</f>
        <v>0</v>
      </c>
      <c r="AG214" s="185">
        <f>AG212*Data!AF$9</f>
        <v>0</v>
      </c>
      <c r="AH214" s="185">
        <f>AH212*Data!AG$9</f>
        <v>0</v>
      </c>
      <c r="AI214" s="185">
        <f>AI212*Data!AH$9</f>
        <v>0</v>
      </c>
      <c r="AJ214" s="185">
        <f>AJ212*Data!AI$9</f>
        <v>0</v>
      </c>
      <c r="AK214" s="185">
        <f>AK212*Data!AJ$9</f>
        <v>0</v>
      </c>
      <c r="AL214" s="185">
        <f>AL212*Data!AK$9</f>
        <v>0</v>
      </c>
      <c r="AM214" s="185">
        <f>AM212*Data!AL$9</f>
        <v>0</v>
      </c>
      <c r="AN214" s="185">
        <f>AN212*Data!AM$9</f>
        <v>0</v>
      </c>
      <c r="AO214" s="185">
        <f>AO212*Data!AN$9</f>
        <v>0</v>
      </c>
      <c r="AP214" s="14"/>
    </row>
    <row r="215" spans="1:42" hidden="1" outlineLevel="1" x14ac:dyDescent="0.25">
      <c r="A215" s="12"/>
      <c r="B215" s="13"/>
      <c r="C215" s="14" t="s">
        <v>489</v>
      </c>
      <c r="D215" s="13"/>
      <c r="E215" s="15" t="s">
        <v>142</v>
      </c>
      <c r="F215" s="16"/>
      <c r="G215" s="159">
        <f>SUM(H214:AO214)</f>
        <v>0</v>
      </c>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row>
    <row r="216" spans="1:42" hidden="1" outlineLevel="1" x14ac:dyDescent="0.25">
      <c r="A216" s="12"/>
      <c r="B216" s="13"/>
      <c r="C216" s="41" t="s">
        <v>62</v>
      </c>
      <c r="D216" s="41"/>
      <c r="E216" s="15" t="s">
        <v>261</v>
      </c>
      <c r="F216" s="16"/>
      <c r="G216" s="184">
        <f>G215/(SUM(H195:AO195))</f>
        <v>0</v>
      </c>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7"/>
    </row>
    <row r="217" spans="1:42" hidden="1" outlineLevel="1" x14ac:dyDescent="0.25">
      <c r="A217" s="12"/>
      <c r="B217" s="13"/>
      <c r="C217" s="14"/>
      <c r="D217" s="14"/>
      <c r="E217" s="15"/>
      <c r="F217" s="16"/>
      <c r="G217" s="14"/>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17"/>
    </row>
    <row r="218" spans="1:42" hidden="1" outlineLevel="1" x14ac:dyDescent="0.25">
      <c r="A218" s="12"/>
      <c r="B218" s="13"/>
      <c r="C218" s="45"/>
      <c r="D218" s="45"/>
      <c r="E218" s="15"/>
      <c r="F218" s="16"/>
      <c r="G218" s="14"/>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9"/>
    </row>
    <row r="219" spans="1:42" hidden="1" outlineLevel="1" x14ac:dyDescent="0.25">
      <c r="A219" s="12"/>
      <c r="B219" s="13"/>
      <c r="C219" s="37" t="s">
        <v>578</v>
      </c>
      <c r="D219" s="37"/>
      <c r="E219" s="38"/>
      <c r="F219" s="39"/>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17"/>
    </row>
    <row r="220" spans="1:42" hidden="1" outlineLevel="1" x14ac:dyDescent="0.25">
      <c r="A220" s="12"/>
      <c r="B220" s="13"/>
      <c r="C220" s="14"/>
      <c r="D220" s="14"/>
      <c r="E220" s="15"/>
      <c r="F220" s="16"/>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7"/>
    </row>
    <row r="221" spans="1:42" hidden="1" outlineLevel="1" x14ac:dyDescent="0.25">
      <c r="A221" s="12"/>
      <c r="B221" s="13"/>
      <c r="C221" s="20" t="s">
        <v>252</v>
      </c>
      <c r="D221" s="14"/>
      <c r="E221" s="15"/>
      <c r="F221" s="16"/>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row>
    <row r="222" spans="1:42" hidden="1" outlineLevel="1" x14ac:dyDescent="0.25">
      <c r="A222" s="12"/>
      <c r="B222" s="13"/>
      <c r="C222" t="s">
        <v>520</v>
      </c>
      <c r="D222" s="14"/>
      <c r="E222" s="15" t="s">
        <v>521</v>
      </c>
      <c r="F222" s="16"/>
      <c r="G222" s="14"/>
      <c r="H222" s="141"/>
      <c r="I222" s="141">
        <f t="shared" ref="I222:AP222" si="58">I16</f>
        <v>93600</v>
      </c>
      <c r="J222" s="141">
        <f t="shared" si="58"/>
        <v>93600</v>
      </c>
      <c r="K222" s="141">
        <f t="shared" si="58"/>
        <v>93600</v>
      </c>
      <c r="L222" s="141">
        <f t="shared" si="58"/>
        <v>93600</v>
      </c>
      <c r="M222" s="141">
        <f t="shared" si="58"/>
        <v>93600</v>
      </c>
      <c r="N222" s="141">
        <f t="shared" si="58"/>
        <v>93600</v>
      </c>
      <c r="O222" s="141">
        <f t="shared" si="58"/>
        <v>93600</v>
      </c>
      <c r="P222" s="141">
        <f t="shared" si="58"/>
        <v>93600</v>
      </c>
      <c r="Q222" s="141">
        <f t="shared" si="58"/>
        <v>93600</v>
      </c>
      <c r="R222" s="141">
        <f t="shared" si="58"/>
        <v>93600</v>
      </c>
      <c r="S222" s="141">
        <f t="shared" si="58"/>
        <v>93600</v>
      </c>
      <c r="T222" s="141">
        <f t="shared" si="58"/>
        <v>93600</v>
      </c>
      <c r="U222" s="141">
        <f t="shared" si="58"/>
        <v>0</v>
      </c>
      <c r="V222" s="141">
        <f t="shared" si="58"/>
        <v>0</v>
      </c>
      <c r="W222" s="141">
        <f t="shared" si="58"/>
        <v>0</v>
      </c>
      <c r="X222" s="141">
        <f t="shared" si="58"/>
        <v>0</v>
      </c>
      <c r="Y222" s="141">
        <f t="shared" si="58"/>
        <v>0</v>
      </c>
      <c r="Z222" s="141">
        <f t="shared" si="58"/>
        <v>0</v>
      </c>
      <c r="AA222" s="141">
        <f t="shared" si="58"/>
        <v>0</v>
      </c>
      <c r="AB222" s="141">
        <f t="shared" si="58"/>
        <v>0</v>
      </c>
      <c r="AC222" s="141">
        <f t="shared" si="58"/>
        <v>0</v>
      </c>
      <c r="AD222" s="141">
        <f t="shared" si="58"/>
        <v>0</v>
      </c>
      <c r="AE222" s="141">
        <f t="shared" si="58"/>
        <v>0</v>
      </c>
      <c r="AF222" s="141">
        <f t="shared" si="58"/>
        <v>0</v>
      </c>
      <c r="AG222" s="141">
        <f t="shared" si="58"/>
        <v>0</v>
      </c>
      <c r="AH222" s="141">
        <f t="shared" si="58"/>
        <v>0</v>
      </c>
      <c r="AI222" s="141">
        <f t="shared" si="58"/>
        <v>0</v>
      </c>
      <c r="AJ222" s="141">
        <f t="shared" si="58"/>
        <v>0</v>
      </c>
      <c r="AK222" s="141">
        <f t="shared" si="58"/>
        <v>0</v>
      </c>
      <c r="AL222" s="141">
        <f t="shared" si="58"/>
        <v>0</v>
      </c>
      <c r="AM222" s="141">
        <f t="shared" si="58"/>
        <v>0</v>
      </c>
      <c r="AN222" s="141">
        <f t="shared" si="58"/>
        <v>0</v>
      </c>
      <c r="AO222" s="141">
        <f t="shared" si="58"/>
        <v>0</v>
      </c>
      <c r="AP222" s="141">
        <f t="shared" si="58"/>
        <v>0</v>
      </c>
    </row>
    <row r="223" spans="1:42" hidden="1" outlineLevel="1" x14ac:dyDescent="0.25">
      <c r="A223" s="12"/>
      <c r="B223" s="13"/>
      <c r="C223" s="14" t="s">
        <v>535</v>
      </c>
      <c r="D223" s="14"/>
      <c r="E223" s="15"/>
      <c r="F223" s="16"/>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row>
    <row r="224" spans="1:42" ht="14.25" hidden="1" customHeight="1" outlineLevel="1" x14ac:dyDescent="0.25">
      <c r="A224" s="54"/>
      <c r="B224" s="13"/>
      <c r="C224" s="14" t="s">
        <v>205</v>
      </c>
      <c r="D224" s="14"/>
      <c r="E224" s="70" t="s">
        <v>352</v>
      </c>
      <c r="F224" s="201">
        <f>Data!$E$413/1000</f>
        <v>4.0583752780418599E-3</v>
      </c>
      <c r="G224" s="56"/>
      <c r="H224" s="56"/>
      <c r="I224" s="56">
        <f>I$222*$F$224</f>
        <v>379.86392602471807</v>
      </c>
      <c r="J224" s="56">
        <f t="shared" ref="J224:AP224" si="59">J$222*$F$224</f>
        <v>379.86392602471807</v>
      </c>
      <c r="K224" s="56">
        <f t="shared" si="59"/>
        <v>379.86392602471807</v>
      </c>
      <c r="L224" s="56">
        <f t="shared" si="59"/>
        <v>379.86392602471807</v>
      </c>
      <c r="M224" s="56">
        <f t="shared" si="59"/>
        <v>379.86392602471807</v>
      </c>
      <c r="N224" s="56">
        <f t="shared" si="59"/>
        <v>379.86392602471807</v>
      </c>
      <c r="O224" s="56">
        <f t="shared" si="59"/>
        <v>379.86392602471807</v>
      </c>
      <c r="P224" s="56">
        <f t="shared" si="59"/>
        <v>379.86392602471807</v>
      </c>
      <c r="Q224" s="56">
        <f t="shared" si="59"/>
        <v>379.86392602471807</v>
      </c>
      <c r="R224" s="56">
        <f t="shared" si="59"/>
        <v>379.86392602471807</v>
      </c>
      <c r="S224" s="56">
        <f t="shared" si="59"/>
        <v>379.86392602471807</v>
      </c>
      <c r="T224" s="56">
        <f t="shared" si="59"/>
        <v>379.86392602471807</v>
      </c>
      <c r="U224" s="56">
        <f t="shared" si="59"/>
        <v>0</v>
      </c>
      <c r="V224" s="56">
        <f t="shared" si="59"/>
        <v>0</v>
      </c>
      <c r="W224" s="56">
        <f t="shared" si="59"/>
        <v>0</v>
      </c>
      <c r="X224" s="56">
        <f t="shared" si="59"/>
        <v>0</v>
      </c>
      <c r="Y224" s="56">
        <f t="shared" si="59"/>
        <v>0</v>
      </c>
      <c r="Z224" s="56">
        <f t="shared" si="59"/>
        <v>0</v>
      </c>
      <c r="AA224" s="56">
        <f t="shared" si="59"/>
        <v>0</v>
      </c>
      <c r="AB224" s="56">
        <f t="shared" si="59"/>
        <v>0</v>
      </c>
      <c r="AC224" s="56">
        <f t="shared" si="59"/>
        <v>0</v>
      </c>
      <c r="AD224" s="56">
        <f t="shared" si="59"/>
        <v>0</v>
      </c>
      <c r="AE224" s="56">
        <f t="shared" si="59"/>
        <v>0</v>
      </c>
      <c r="AF224" s="56">
        <f t="shared" si="59"/>
        <v>0</v>
      </c>
      <c r="AG224" s="56">
        <f t="shared" si="59"/>
        <v>0</v>
      </c>
      <c r="AH224" s="56">
        <f t="shared" si="59"/>
        <v>0</v>
      </c>
      <c r="AI224" s="56">
        <f t="shared" si="59"/>
        <v>0</v>
      </c>
      <c r="AJ224" s="56">
        <f t="shared" si="59"/>
        <v>0</v>
      </c>
      <c r="AK224" s="56">
        <f t="shared" si="59"/>
        <v>0</v>
      </c>
      <c r="AL224" s="56">
        <f t="shared" si="59"/>
        <v>0</v>
      </c>
      <c r="AM224" s="56">
        <f t="shared" si="59"/>
        <v>0</v>
      </c>
      <c r="AN224" s="56">
        <f t="shared" si="59"/>
        <v>0</v>
      </c>
      <c r="AO224" s="56">
        <f t="shared" si="59"/>
        <v>0</v>
      </c>
      <c r="AP224" s="56">
        <f t="shared" si="59"/>
        <v>0</v>
      </c>
    </row>
    <row r="225" spans="1:42" hidden="1" outlineLevel="1" x14ac:dyDescent="0.25">
      <c r="A225" s="54"/>
      <c r="B225" s="13"/>
      <c r="C225" s="14" t="s">
        <v>484</v>
      </c>
      <c r="D225" s="14"/>
      <c r="E225" s="70" t="s">
        <v>352</v>
      </c>
      <c r="F225" s="201">
        <f>Data!$E$414/1000</f>
        <v>1.0176439575523251</v>
      </c>
      <c r="G225" s="56"/>
      <c r="H225" s="56"/>
      <c r="I225" s="56">
        <f t="shared" ref="I225:AP225" si="60">I$222*$F$225</f>
        <v>95251.474426897621</v>
      </c>
      <c r="J225" s="56">
        <f t="shared" si="60"/>
        <v>95251.474426897621</v>
      </c>
      <c r="K225" s="56">
        <f t="shared" si="60"/>
        <v>95251.474426897621</v>
      </c>
      <c r="L225" s="56">
        <f t="shared" si="60"/>
        <v>95251.474426897621</v>
      </c>
      <c r="M225" s="56">
        <f t="shared" si="60"/>
        <v>95251.474426897621</v>
      </c>
      <c r="N225" s="56">
        <f t="shared" si="60"/>
        <v>95251.474426897621</v>
      </c>
      <c r="O225" s="56">
        <f t="shared" si="60"/>
        <v>95251.474426897621</v>
      </c>
      <c r="P225" s="56">
        <f t="shared" si="60"/>
        <v>95251.474426897621</v>
      </c>
      <c r="Q225" s="56">
        <f t="shared" si="60"/>
        <v>95251.474426897621</v>
      </c>
      <c r="R225" s="56">
        <f t="shared" si="60"/>
        <v>95251.474426897621</v>
      </c>
      <c r="S225" s="56">
        <f t="shared" si="60"/>
        <v>95251.474426897621</v>
      </c>
      <c r="T225" s="56">
        <f t="shared" si="60"/>
        <v>95251.474426897621</v>
      </c>
      <c r="U225" s="56">
        <f t="shared" si="60"/>
        <v>0</v>
      </c>
      <c r="V225" s="56">
        <f t="shared" si="60"/>
        <v>0</v>
      </c>
      <c r="W225" s="56">
        <f t="shared" si="60"/>
        <v>0</v>
      </c>
      <c r="X225" s="56">
        <f t="shared" si="60"/>
        <v>0</v>
      </c>
      <c r="Y225" s="56">
        <f t="shared" si="60"/>
        <v>0</v>
      </c>
      <c r="Z225" s="56">
        <f t="shared" si="60"/>
        <v>0</v>
      </c>
      <c r="AA225" s="56">
        <f t="shared" si="60"/>
        <v>0</v>
      </c>
      <c r="AB225" s="56">
        <f t="shared" si="60"/>
        <v>0</v>
      </c>
      <c r="AC225" s="56">
        <f t="shared" si="60"/>
        <v>0</v>
      </c>
      <c r="AD225" s="56">
        <f t="shared" si="60"/>
        <v>0</v>
      </c>
      <c r="AE225" s="56">
        <f t="shared" si="60"/>
        <v>0</v>
      </c>
      <c r="AF225" s="56">
        <f t="shared" si="60"/>
        <v>0</v>
      </c>
      <c r="AG225" s="56">
        <f t="shared" si="60"/>
        <v>0</v>
      </c>
      <c r="AH225" s="56">
        <f t="shared" si="60"/>
        <v>0</v>
      </c>
      <c r="AI225" s="56">
        <f t="shared" si="60"/>
        <v>0</v>
      </c>
      <c r="AJ225" s="56">
        <f t="shared" si="60"/>
        <v>0</v>
      </c>
      <c r="AK225" s="56">
        <f t="shared" si="60"/>
        <v>0</v>
      </c>
      <c r="AL225" s="56">
        <f t="shared" si="60"/>
        <v>0</v>
      </c>
      <c r="AM225" s="56">
        <f t="shared" si="60"/>
        <v>0</v>
      </c>
      <c r="AN225" s="56">
        <f t="shared" si="60"/>
        <v>0</v>
      </c>
      <c r="AO225" s="56">
        <f t="shared" si="60"/>
        <v>0</v>
      </c>
      <c r="AP225" s="56">
        <f t="shared" si="60"/>
        <v>0</v>
      </c>
    </row>
    <row r="226" spans="1:42" hidden="1" outlineLevel="1" x14ac:dyDescent="0.25">
      <c r="A226" s="54"/>
      <c r="B226" s="13"/>
      <c r="C226" s="14" t="s">
        <v>285</v>
      </c>
      <c r="D226" s="14"/>
      <c r="E226" s="70" t="s">
        <v>352</v>
      </c>
      <c r="F226" s="201">
        <f>Data!$E$415/1000</f>
        <v>2.8470339849987793E-4</v>
      </c>
      <c r="G226" s="56"/>
      <c r="H226" s="56"/>
      <c r="I226" s="56">
        <f>I$222*$F$226</f>
        <v>26.648238099588575</v>
      </c>
      <c r="J226" s="56">
        <f t="shared" ref="J226:AP226" si="61">J$222*$F$226</f>
        <v>26.648238099588575</v>
      </c>
      <c r="K226" s="56">
        <f t="shared" si="61"/>
        <v>26.648238099588575</v>
      </c>
      <c r="L226" s="56">
        <f t="shared" si="61"/>
        <v>26.648238099588575</v>
      </c>
      <c r="M226" s="56">
        <f t="shared" si="61"/>
        <v>26.648238099588575</v>
      </c>
      <c r="N226" s="56">
        <f t="shared" si="61"/>
        <v>26.648238099588575</v>
      </c>
      <c r="O226" s="56">
        <f t="shared" si="61"/>
        <v>26.648238099588575</v>
      </c>
      <c r="P226" s="56">
        <f t="shared" si="61"/>
        <v>26.648238099588575</v>
      </c>
      <c r="Q226" s="56">
        <f t="shared" si="61"/>
        <v>26.648238099588575</v>
      </c>
      <c r="R226" s="56">
        <f t="shared" si="61"/>
        <v>26.648238099588575</v>
      </c>
      <c r="S226" s="56">
        <f t="shared" si="61"/>
        <v>26.648238099588575</v>
      </c>
      <c r="T226" s="56">
        <f t="shared" si="61"/>
        <v>26.648238099588575</v>
      </c>
      <c r="U226" s="56">
        <f t="shared" si="61"/>
        <v>0</v>
      </c>
      <c r="V226" s="56">
        <f t="shared" si="61"/>
        <v>0</v>
      </c>
      <c r="W226" s="56">
        <f t="shared" si="61"/>
        <v>0</v>
      </c>
      <c r="X226" s="56">
        <f t="shared" si="61"/>
        <v>0</v>
      </c>
      <c r="Y226" s="56">
        <f t="shared" si="61"/>
        <v>0</v>
      </c>
      <c r="Z226" s="56">
        <f t="shared" si="61"/>
        <v>0</v>
      </c>
      <c r="AA226" s="56">
        <f t="shared" si="61"/>
        <v>0</v>
      </c>
      <c r="AB226" s="56">
        <f t="shared" si="61"/>
        <v>0</v>
      </c>
      <c r="AC226" s="56">
        <f t="shared" si="61"/>
        <v>0</v>
      </c>
      <c r="AD226" s="56">
        <f t="shared" si="61"/>
        <v>0</v>
      </c>
      <c r="AE226" s="56">
        <f t="shared" si="61"/>
        <v>0</v>
      </c>
      <c r="AF226" s="56">
        <f t="shared" si="61"/>
        <v>0</v>
      </c>
      <c r="AG226" s="56">
        <f t="shared" si="61"/>
        <v>0</v>
      </c>
      <c r="AH226" s="56">
        <f t="shared" si="61"/>
        <v>0</v>
      </c>
      <c r="AI226" s="56">
        <f t="shared" si="61"/>
        <v>0</v>
      </c>
      <c r="AJ226" s="56">
        <f t="shared" si="61"/>
        <v>0</v>
      </c>
      <c r="AK226" s="56">
        <f t="shared" si="61"/>
        <v>0</v>
      </c>
      <c r="AL226" s="56">
        <f t="shared" si="61"/>
        <v>0</v>
      </c>
      <c r="AM226" s="56">
        <f t="shared" si="61"/>
        <v>0</v>
      </c>
      <c r="AN226" s="56">
        <f t="shared" si="61"/>
        <v>0</v>
      </c>
      <c r="AO226" s="56">
        <f t="shared" si="61"/>
        <v>0</v>
      </c>
      <c r="AP226" s="56">
        <f t="shared" si="61"/>
        <v>0</v>
      </c>
    </row>
    <row r="227" spans="1:42" hidden="1" outlineLevel="1" x14ac:dyDescent="0.25">
      <c r="A227" s="54"/>
      <c r="B227" s="13"/>
      <c r="C227" s="14" t="s">
        <v>220</v>
      </c>
      <c r="D227" s="14"/>
      <c r="E227" s="70" t="s">
        <v>352</v>
      </c>
      <c r="F227" s="201">
        <f>Data!$E$416/1000</f>
        <v>1.0339278110249E-2</v>
      </c>
      <c r="G227" s="56"/>
      <c r="H227" s="56"/>
      <c r="I227" s="56">
        <f>I$222*$F$227</f>
        <v>967.7564311193064</v>
      </c>
      <c r="J227" s="56">
        <f t="shared" ref="J227:AP227" si="62">J$222*$F$227</f>
        <v>967.7564311193064</v>
      </c>
      <c r="K227" s="56">
        <f t="shared" si="62"/>
        <v>967.7564311193064</v>
      </c>
      <c r="L227" s="56">
        <f t="shared" si="62"/>
        <v>967.7564311193064</v>
      </c>
      <c r="M227" s="56">
        <f t="shared" si="62"/>
        <v>967.7564311193064</v>
      </c>
      <c r="N227" s="56">
        <f t="shared" si="62"/>
        <v>967.7564311193064</v>
      </c>
      <c r="O227" s="56">
        <f t="shared" si="62"/>
        <v>967.7564311193064</v>
      </c>
      <c r="P227" s="56">
        <f t="shared" si="62"/>
        <v>967.7564311193064</v>
      </c>
      <c r="Q227" s="56">
        <f t="shared" si="62"/>
        <v>967.7564311193064</v>
      </c>
      <c r="R227" s="56">
        <f t="shared" si="62"/>
        <v>967.7564311193064</v>
      </c>
      <c r="S227" s="56">
        <f t="shared" si="62"/>
        <v>967.7564311193064</v>
      </c>
      <c r="T227" s="56">
        <f t="shared" si="62"/>
        <v>967.7564311193064</v>
      </c>
      <c r="U227" s="56">
        <f t="shared" si="62"/>
        <v>0</v>
      </c>
      <c r="V227" s="56">
        <f t="shared" si="62"/>
        <v>0</v>
      </c>
      <c r="W227" s="56">
        <f t="shared" si="62"/>
        <v>0</v>
      </c>
      <c r="X227" s="56">
        <f t="shared" si="62"/>
        <v>0</v>
      </c>
      <c r="Y227" s="56">
        <f t="shared" si="62"/>
        <v>0</v>
      </c>
      <c r="Z227" s="56">
        <f t="shared" si="62"/>
        <v>0</v>
      </c>
      <c r="AA227" s="56">
        <f t="shared" si="62"/>
        <v>0</v>
      </c>
      <c r="AB227" s="56">
        <f t="shared" si="62"/>
        <v>0</v>
      </c>
      <c r="AC227" s="56">
        <f t="shared" si="62"/>
        <v>0</v>
      </c>
      <c r="AD227" s="56">
        <f t="shared" si="62"/>
        <v>0</v>
      </c>
      <c r="AE227" s="56">
        <f t="shared" si="62"/>
        <v>0</v>
      </c>
      <c r="AF227" s="56">
        <f t="shared" si="62"/>
        <v>0</v>
      </c>
      <c r="AG227" s="56">
        <f t="shared" si="62"/>
        <v>0</v>
      </c>
      <c r="AH227" s="56">
        <f t="shared" si="62"/>
        <v>0</v>
      </c>
      <c r="AI227" s="56">
        <f t="shared" si="62"/>
        <v>0</v>
      </c>
      <c r="AJ227" s="56">
        <f t="shared" si="62"/>
        <v>0</v>
      </c>
      <c r="AK227" s="56">
        <f t="shared" si="62"/>
        <v>0</v>
      </c>
      <c r="AL227" s="56">
        <f t="shared" si="62"/>
        <v>0</v>
      </c>
      <c r="AM227" s="56">
        <f t="shared" si="62"/>
        <v>0</v>
      </c>
      <c r="AN227" s="56">
        <f t="shared" si="62"/>
        <v>0</v>
      </c>
      <c r="AO227" s="56">
        <f t="shared" si="62"/>
        <v>0</v>
      </c>
      <c r="AP227" s="56">
        <f t="shared" si="62"/>
        <v>0</v>
      </c>
    </row>
    <row r="228" spans="1:42" hidden="1" outlineLevel="1" x14ac:dyDescent="0.25">
      <c r="A228" s="54"/>
      <c r="B228" s="13"/>
      <c r="C228" s="14" t="s">
        <v>212</v>
      </c>
      <c r="D228" s="14"/>
      <c r="E228" s="70" t="s">
        <v>352</v>
      </c>
      <c r="F228" s="201">
        <f>Data!$E$417/1000</f>
        <v>1.0831616103370489E-3</v>
      </c>
      <c r="G228" s="56"/>
      <c r="H228" s="56"/>
      <c r="I228" s="56">
        <f>I$222*$F$228</f>
        <v>101.38392672754777</v>
      </c>
      <c r="J228" s="56">
        <f t="shared" ref="J228:AP228" si="63">J$222*$F$228</f>
        <v>101.38392672754777</v>
      </c>
      <c r="K228" s="56">
        <f t="shared" si="63"/>
        <v>101.38392672754777</v>
      </c>
      <c r="L228" s="56">
        <f t="shared" si="63"/>
        <v>101.38392672754777</v>
      </c>
      <c r="M228" s="56">
        <f t="shared" si="63"/>
        <v>101.38392672754777</v>
      </c>
      <c r="N228" s="56">
        <f t="shared" si="63"/>
        <v>101.38392672754777</v>
      </c>
      <c r="O228" s="56">
        <f t="shared" si="63"/>
        <v>101.38392672754777</v>
      </c>
      <c r="P228" s="56">
        <f t="shared" si="63"/>
        <v>101.38392672754777</v>
      </c>
      <c r="Q228" s="56">
        <f t="shared" si="63"/>
        <v>101.38392672754777</v>
      </c>
      <c r="R228" s="56">
        <f t="shared" si="63"/>
        <v>101.38392672754777</v>
      </c>
      <c r="S228" s="56">
        <f t="shared" si="63"/>
        <v>101.38392672754777</v>
      </c>
      <c r="T228" s="56">
        <f t="shared" si="63"/>
        <v>101.38392672754777</v>
      </c>
      <c r="U228" s="56">
        <f t="shared" si="63"/>
        <v>0</v>
      </c>
      <c r="V228" s="56">
        <f t="shared" si="63"/>
        <v>0</v>
      </c>
      <c r="W228" s="56">
        <f t="shared" si="63"/>
        <v>0</v>
      </c>
      <c r="X228" s="56">
        <f t="shared" si="63"/>
        <v>0</v>
      </c>
      <c r="Y228" s="56">
        <f t="shared" si="63"/>
        <v>0</v>
      </c>
      <c r="Z228" s="56">
        <f t="shared" si="63"/>
        <v>0</v>
      </c>
      <c r="AA228" s="56">
        <f t="shared" si="63"/>
        <v>0</v>
      </c>
      <c r="AB228" s="56">
        <f t="shared" si="63"/>
        <v>0</v>
      </c>
      <c r="AC228" s="56">
        <f t="shared" si="63"/>
        <v>0</v>
      </c>
      <c r="AD228" s="56">
        <f t="shared" si="63"/>
        <v>0</v>
      </c>
      <c r="AE228" s="56">
        <f t="shared" si="63"/>
        <v>0</v>
      </c>
      <c r="AF228" s="56">
        <f t="shared" si="63"/>
        <v>0</v>
      </c>
      <c r="AG228" s="56">
        <f t="shared" si="63"/>
        <v>0</v>
      </c>
      <c r="AH228" s="56">
        <f t="shared" si="63"/>
        <v>0</v>
      </c>
      <c r="AI228" s="56">
        <f t="shared" si="63"/>
        <v>0</v>
      </c>
      <c r="AJ228" s="56">
        <f t="shared" si="63"/>
        <v>0</v>
      </c>
      <c r="AK228" s="56">
        <f t="shared" si="63"/>
        <v>0</v>
      </c>
      <c r="AL228" s="56">
        <f t="shared" si="63"/>
        <v>0</v>
      </c>
      <c r="AM228" s="56">
        <f t="shared" si="63"/>
        <v>0</v>
      </c>
      <c r="AN228" s="56">
        <f t="shared" si="63"/>
        <v>0</v>
      </c>
      <c r="AO228" s="56">
        <f t="shared" si="63"/>
        <v>0</v>
      </c>
      <c r="AP228" s="56">
        <f t="shared" si="63"/>
        <v>0</v>
      </c>
    </row>
    <row r="229" spans="1:42" hidden="1" outlineLevel="1" x14ac:dyDescent="0.25">
      <c r="A229" s="54"/>
      <c r="B229" s="13"/>
      <c r="C229" s="14" t="s">
        <v>485</v>
      </c>
      <c r="D229" s="14"/>
      <c r="E229" s="70" t="s">
        <v>352</v>
      </c>
      <c r="F229" s="201">
        <f>Data!$E$418/1000</f>
        <v>2.3599733894197369E-4</v>
      </c>
      <c r="G229" s="56"/>
      <c r="H229" s="56"/>
      <c r="I229" s="56">
        <f>I$222*$F$229</f>
        <v>22.089350924968738</v>
      </c>
      <c r="J229" s="56">
        <f t="shared" ref="J229:AP229" si="64">J$222*$F$229</f>
        <v>22.089350924968738</v>
      </c>
      <c r="K229" s="56">
        <f t="shared" si="64"/>
        <v>22.089350924968738</v>
      </c>
      <c r="L229" s="56">
        <f t="shared" si="64"/>
        <v>22.089350924968738</v>
      </c>
      <c r="M229" s="56">
        <f t="shared" si="64"/>
        <v>22.089350924968738</v>
      </c>
      <c r="N229" s="56">
        <f t="shared" si="64"/>
        <v>22.089350924968738</v>
      </c>
      <c r="O229" s="56">
        <f t="shared" si="64"/>
        <v>22.089350924968738</v>
      </c>
      <c r="P229" s="56">
        <f t="shared" si="64"/>
        <v>22.089350924968738</v>
      </c>
      <c r="Q229" s="56">
        <f t="shared" si="64"/>
        <v>22.089350924968738</v>
      </c>
      <c r="R229" s="56">
        <f t="shared" si="64"/>
        <v>22.089350924968738</v>
      </c>
      <c r="S229" s="56">
        <f t="shared" si="64"/>
        <v>22.089350924968738</v>
      </c>
      <c r="T229" s="56">
        <f t="shared" si="64"/>
        <v>22.089350924968738</v>
      </c>
      <c r="U229" s="56">
        <f t="shared" si="64"/>
        <v>0</v>
      </c>
      <c r="V229" s="56">
        <f t="shared" si="64"/>
        <v>0</v>
      </c>
      <c r="W229" s="56">
        <f t="shared" si="64"/>
        <v>0</v>
      </c>
      <c r="X229" s="56">
        <f t="shared" si="64"/>
        <v>0</v>
      </c>
      <c r="Y229" s="56">
        <f t="shared" si="64"/>
        <v>0</v>
      </c>
      <c r="Z229" s="56">
        <f t="shared" si="64"/>
        <v>0</v>
      </c>
      <c r="AA229" s="56">
        <f t="shared" si="64"/>
        <v>0</v>
      </c>
      <c r="AB229" s="56">
        <f t="shared" si="64"/>
        <v>0</v>
      </c>
      <c r="AC229" s="56">
        <f t="shared" si="64"/>
        <v>0</v>
      </c>
      <c r="AD229" s="56">
        <f t="shared" si="64"/>
        <v>0</v>
      </c>
      <c r="AE229" s="56">
        <f t="shared" si="64"/>
        <v>0</v>
      </c>
      <c r="AF229" s="56">
        <f t="shared" si="64"/>
        <v>0</v>
      </c>
      <c r="AG229" s="56">
        <f t="shared" si="64"/>
        <v>0</v>
      </c>
      <c r="AH229" s="56">
        <f t="shared" si="64"/>
        <v>0</v>
      </c>
      <c r="AI229" s="56">
        <f t="shared" si="64"/>
        <v>0</v>
      </c>
      <c r="AJ229" s="56">
        <f t="shared" si="64"/>
        <v>0</v>
      </c>
      <c r="AK229" s="56">
        <f t="shared" si="64"/>
        <v>0</v>
      </c>
      <c r="AL229" s="56">
        <f t="shared" si="64"/>
        <v>0</v>
      </c>
      <c r="AM229" s="56">
        <f t="shared" si="64"/>
        <v>0</v>
      </c>
      <c r="AN229" s="56">
        <f t="shared" si="64"/>
        <v>0</v>
      </c>
      <c r="AO229" s="56">
        <f t="shared" si="64"/>
        <v>0</v>
      </c>
      <c r="AP229" s="56">
        <f t="shared" si="64"/>
        <v>0</v>
      </c>
    </row>
    <row r="230" spans="1:42" hidden="1" outlineLevel="1" x14ac:dyDescent="0.25">
      <c r="A230" s="54"/>
      <c r="B230" s="13"/>
      <c r="C230" s="14" t="s">
        <v>214</v>
      </c>
      <c r="D230" s="14"/>
      <c r="E230" s="70" t="s">
        <v>352</v>
      </c>
      <c r="F230" s="201">
        <f>Data!$E$419/1000</f>
        <v>1.7486429999999991E-5</v>
      </c>
      <c r="G230" s="56"/>
      <c r="H230" s="56"/>
      <c r="I230" s="56">
        <f>I$222*$F$230</f>
        <v>1.6367298479999992</v>
      </c>
      <c r="J230" s="56">
        <f t="shared" ref="J230:AP230" si="65">J$222*$F$230</f>
        <v>1.6367298479999992</v>
      </c>
      <c r="K230" s="56">
        <f t="shared" si="65"/>
        <v>1.6367298479999992</v>
      </c>
      <c r="L230" s="56">
        <f t="shared" si="65"/>
        <v>1.6367298479999992</v>
      </c>
      <c r="M230" s="56">
        <f t="shared" si="65"/>
        <v>1.6367298479999992</v>
      </c>
      <c r="N230" s="56">
        <f t="shared" si="65"/>
        <v>1.6367298479999992</v>
      </c>
      <c r="O230" s="56">
        <f t="shared" si="65"/>
        <v>1.6367298479999992</v>
      </c>
      <c r="P230" s="56">
        <f t="shared" si="65"/>
        <v>1.6367298479999992</v>
      </c>
      <c r="Q230" s="56">
        <f t="shared" si="65"/>
        <v>1.6367298479999992</v>
      </c>
      <c r="R230" s="56">
        <f t="shared" si="65"/>
        <v>1.6367298479999992</v>
      </c>
      <c r="S230" s="56">
        <f t="shared" si="65"/>
        <v>1.6367298479999992</v>
      </c>
      <c r="T230" s="56">
        <f t="shared" si="65"/>
        <v>1.6367298479999992</v>
      </c>
      <c r="U230" s="56">
        <f t="shared" si="65"/>
        <v>0</v>
      </c>
      <c r="V230" s="56">
        <f t="shared" si="65"/>
        <v>0</v>
      </c>
      <c r="W230" s="56">
        <f t="shared" si="65"/>
        <v>0</v>
      </c>
      <c r="X230" s="56">
        <f t="shared" si="65"/>
        <v>0</v>
      </c>
      <c r="Y230" s="56">
        <f t="shared" si="65"/>
        <v>0</v>
      </c>
      <c r="Z230" s="56">
        <f t="shared" si="65"/>
        <v>0</v>
      </c>
      <c r="AA230" s="56">
        <f t="shared" si="65"/>
        <v>0</v>
      </c>
      <c r="AB230" s="56">
        <f t="shared" si="65"/>
        <v>0</v>
      </c>
      <c r="AC230" s="56">
        <f t="shared" si="65"/>
        <v>0</v>
      </c>
      <c r="AD230" s="56">
        <f t="shared" si="65"/>
        <v>0</v>
      </c>
      <c r="AE230" s="56">
        <f t="shared" si="65"/>
        <v>0</v>
      </c>
      <c r="AF230" s="56">
        <f t="shared" si="65"/>
        <v>0</v>
      </c>
      <c r="AG230" s="56">
        <f t="shared" si="65"/>
        <v>0</v>
      </c>
      <c r="AH230" s="56">
        <f t="shared" si="65"/>
        <v>0</v>
      </c>
      <c r="AI230" s="56">
        <f t="shared" si="65"/>
        <v>0</v>
      </c>
      <c r="AJ230" s="56">
        <f t="shared" si="65"/>
        <v>0</v>
      </c>
      <c r="AK230" s="56">
        <f t="shared" si="65"/>
        <v>0</v>
      </c>
      <c r="AL230" s="56">
        <f t="shared" si="65"/>
        <v>0</v>
      </c>
      <c r="AM230" s="56">
        <f t="shared" si="65"/>
        <v>0</v>
      </c>
      <c r="AN230" s="56">
        <f t="shared" si="65"/>
        <v>0</v>
      </c>
      <c r="AO230" s="56">
        <f t="shared" si="65"/>
        <v>0</v>
      </c>
      <c r="AP230" s="56">
        <f t="shared" si="65"/>
        <v>0</v>
      </c>
    </row>
    <row r="231" spans="1:42" hidden="1" outlineLevel="1" x14ac:dyDescent="0.25">
      <c r="A231" s="12"/>
      <c r="B231" s="13"/>
      <c r="C231" s="14"/>
      <c r="D231" s="14"/>
      <c r="E231" s="15"/>
      <c r="F231" s="16"/>
      <c r="G231" s="159"/>
      <c r="H231" s="159"/>
      <c r="I231" s="159"/>
      <c r="J231" s="159"/>
      <c r="K231" s="159"/>
      <c r="L231" s="159"/>
      <c r="M231" s="159"/>
      <c r="N231" s="159"/>
      <c r="O231" s="159"/>
      <c r="P231" s="159"/>
      <c r="Q231" s="159"/>
      <c r="R231" s="159"/>
      <c r="S231" s="159"/>
      <c r="T231" s="159"/>
      <c r="U231" s="159"/>
      <c r="V231" s="159"/>
      <c r="W231" s="159"/>
      <c r="X231" s="14"/>
      <c r="Y231" s="14"/>
      <c r="Z231" s="14"/>
      <c r="AA231" s="14"/>
      <c r="AB231" s="14"/>
      <c r="AC231" s="14"/>
      <c r="AD231" s="14"/>
      <c r="AE231" s="14"/>
      <c r="AF231" s="14"/>
      <c r="AG231" s="14"/>
      <c r="AH231" s="14"/>
      <c r="AI231" s="14"/>
      <c r="AJ231" s="14"/>
      <c r="AK231" s="14"/>
      <c r="AL231" s="14"/>
      <c r="AM231" s="14"/>
      <c r="AN231" s="14"/>
      <c r="AO231" s="14"/>
      <c r="AP231" s="14"/>
    </row>
    <row r="232" spans="1:42" hidden="1" outlineLevel="1" x14ac:dyDescent="0.25">
      <c r="A232" s="54"/>
      <c r="B232" s="13"/>
      <c r="C232" s="14" t="s">
        <v>205</v>
      </c>
      <c r="D232" s="14"/>
      <c r="E232" s="70" t="s">
        <v>474</v>
      </c>
      <c r="F232" s="200">
        <f>Data!$E$35/1000</f>
        <v>3.4099438202247192E-3</v>
      </c>
      <c r="G232" s="56"/>
      <c r="H232" s="56"/>
      <c r="I232" s="56">
        <f>I$224*$F$232</f>
        <v>1.2953146470742873</v>
      </c>
      <c r="J232" s="56">
        <f>J$224*$F$232</f>
        <v>1.2953146470742873</v>
      </c>
      <c r="K232" s="56">
        <f t="shared" ref="K232:AP232" si="66">K$224*$F$232</f>
        <v>1.2953146470742873</v>
      </c>
      <c r="L232" s="56">
        <f t="shared" si="66"/>
        <v>1.2953146470742873</v>
      </c>
      <c r="M232" s="56">
        <f t="shared" si="66"/>
        <v>1.2953146470742873</v>
      </c>
      <c r="N232" s="56">
        <f t="shared" si="66"/>
        <v>1.2953146470742873</v>
      </c>
      <c r="O232" s="56">
        <f t="shared" si="66"/>
        <v>1.2953146470742873</v>
      </c>
      <c r="P232" s="56">
        <f t="shared" si="66"/>
        <v>1.2953146470742873</v>
      </c>
      <c r="Q232" s="56">
        <f t="shared" si="66"/>
        <v>1.2953146470742873</v>
      </c>
      <c r="R232" s="56">
        <f t="shared" si="66"/>
        <v>1.2953146470742873</v>
      </c>
      <c r="S232" s="56">
        <f t="shared" si="66"/>
        <v>1.2953146470742873</v>
      </c>
      <c r="T232" s="56">
        <f t="shared" si="66"/>
        <v>1.2953146470742873</v>
      </c>
      <c r="U232" s="56">
        <f t="shared" si="66"/>
        <v>0</v>
      </c>
      <c r="V232" s="56">
        <f t="shared" si="66"/>
        <v>0</v>
      </c>
      <c r="W232" s="56">
        <f t="shared" si="66"/>
        <v>0</v>
      </c>
      <c r="X232" s="56">
        <f t="shared" si="66"/>
        <v>0</v>
      </c>
      <c r="Y232" s="56">
        <f t="shared" si="66"/>
        <v>0</v>
      </c>
      <c r="Z232" s="56">
        <f t="shared" si="66"/>
        <v>0</v>
      </c>
      <c r="AA232" s="56">
        <f t="shared" si="66"/>
        <v>0</v>
      </c>
      <c r="AB232" s="56">
        <f t="shared" si="66"/>
        <v>0</v>
      </c>
      <c r="AC232" s="56">
        <f t="shared" si="66"/>
        <v>0</v>
      </c>
      <c r="AD232" s="56">
        <f t="shared" si="66"/>
        <v>0</v>
      </c>
      <c r="AE232" s="56">
        <f t="shared" si="66"/>
        <v>0</v>
      </c>
      <c r="AF232" s="56">
        <f t="shared" si="66"/>
        <v>0</v>
      </c>
      <c r="AG232" s="56">
        <f t="shared" si="66"/>
        <v>0</v>
      </c>
      <c r="AH232" s="56">
        <f t="shared" si="66"/>
        <v>0</v>
      </c>
      <c r="AI232" s="56">
        <f t="shared" si="66"/>
        <v>0</v>
      </c>
      <c r="AJ232" s="56">
        <f t="shared" si="66"/>
        <v>0</v>
      </c>
      <c r="AK232" s="56">
        <f t="shared" si="66"/>
        <v>0</v>
      </c>
      <c r="AL232" s="56">
        <f t="shared" si="66"/>
        <v>0</v>
      </c>
      <c r="AM232" s="56">
        <f t="shared" si="66"/>
        <v>0</v>
      </c>
      <c r="AN232" s="56">
        <f t="shared" si="66"/>
        <v>0</v>
      </c>
      <c r="AO232" s="56">
        <f t="shared" si="66"/>
        <v>0</v>
      </c>
      <c r="AP232" s="56">
        <f t="shared" si="66"/>
        <v>0</v>
      </c>
    </row>
    <row r="233" spans="1:42" hidden="1" outlineLevel="1" x14ac:dyDescent="0.25">
      <c r="A233" s="54"/>
      <c r="B233" s="13"/>
      <c r="C233" s="14" t="s">
        <v>484</v>
      </c>
      <c r="D233" s="14"/>
      <c r="E233" s="70" t="s">
        <v>474</v>
      </c>
      <c r="F233" s="200"/>
      <c r="G233" s="56"/>
      <c r="H233" s="56"/>
      <c r="I233" s="56">
        <f>I225*Data!H16/1000</f>
        <v>9239.3930194090699</v>
      </c>
      <c r="J233" s="56">
        <f>J225*Data!I16/1000</f>
        <v>10191.907763678046</v>
      </c>
      <c r="K233" s="56">
        <f>K225*Data!J16/1000</f>
        <v>11049.171033520124</v>
      </c>
      <c r="L233" s="56">
        <f>L225*Data!K16/1000</f>
        <v>12001.685777789102</v>
      </c>
      <c r="M233" s="56">
        <f>M225*Data!L16/1000</f>
        <v>12954.200522058078</v>
      </c>
      <c r="N233" s="56">
        <f>N225*Data!M16/1000</f>
        <v>13906.715266327054</v>
      </c>
      <c r="O233" s="56">
        <f>O225*Data!N16/1000</f>
        <v>14763.97853616913</v>
      </c>
      <c r="P233" s="56">
        <f>P225*Data!O16/1000</f>
        <v>15335.487382730518</v>
      </c>
      <c r="Q233" s="56">
        <f>Q225*Data!P16/1000</f>
        <v>15906.996229291903</v>
      </c>
      <c r="R233" s="56">
        <f>R225*Data!Q16/1000</f>
        <v>16573.756550280184</v>
      </c>
      <c r="S233" s="56">
        <f>S225*Data!R16/1000</f>
        <v>17145.265396841573</v>
      </c>
      <c r="T233" s="56">
        <f>T225*Data!S16/1000</f>
        <v>17716.774243402957</v>
      </c>
      <c r="U233" s="56">
        <f>U225*Data!T16/1000</f>
        <v>0</v>
      </c>
      <c r="V233" s="56">
        <f>V225*Data!U16/1000</f>
        <v>0</v>
      </c>
      <c r="W233" s="56">
        <f>W225*Data!V16/1000</f>
        <v>0</v>
      </c>
      <c r="X233" s="56">
        <f>X225*Data!W16/1000</f>
        <v>0</v>
      </c>
      <c r="Y233" s="56">
        <f>Y225*Data!X16/1000</f>
        <v>0</v>
      </c>
      <c r="Z233" s="56">
        <f>Z225*Data!Y16/1000</f>
        <v>0</v>
      </c>
      <c r="AA233" s="56">
        <f>AA225*Data!Z16/1000</f>
        <v>0</v>
      </c>
      <c r="AB233" s="56">
        <f>AB225*Data!AA16/1000</f>
        <v>0</v>
      </c>
      <c r="AC233" s="56">
        <f>AC225*Data!AB16/1000</f>
        <v>0</v>
      </c>
      <c r="AD233" s="56">
        <f>AD225*Data!AC16/1000</f>
        <v>0</v>
      </c>
      <c r="AE233" s="56">
        <f>AE225*Data!AD16/1000</f>
        <v>0</v>
      </c>
      <c r="AF233" s="56">
        <f>AF225*Data!AE16/1000</f>
        <v>0</v>
      </c>
      <c r="AG233" s="56">
        <f>AG225*Data!AF16/1000</f>
        <v>0</v>
      </c>
      <c r="AH233" s="56">
        <f>AH225*Data!AG16/1000</f>
        <v>0</v>
      </c>
      <c r="AI233" s="56">
        <f>AI225*Data!AH16/1000</f>
        <v>0</v>
      </c>
      <c r="AJ233" s="56">
        <f>AJ225*Data!AI16/1000</f>
        <v>0</v>
      </c>
      <c r="AK233" s="56">
        <f>AK225*Data!AJ16/1000</f>
        <v>0</v>
      </c>
      <c r="AL233" s="56">
        <f>AL225*Data!AK16/1000</f>
        <v>0</v>
      </c>
      <c r="AM233" s="56">
        <f>AM225*Data!AL16/1000</f>
        <v>0</v>
      </c>
      <c r="AN233" s="56">
        <f>AN225*Data!AM16/1000</f>
        <v>0</v>
      </c>
      <c r="AO233" s="56">
        <f>AO225*Data!AN16/1000</f>
        <v>0</v>
      </c>
      <c r="AP233" s="56">
        <f>AP225*Data!AO16/1000</f>
        <v>0</v>
      </c>
    </row>
    <row r="234" spans="1:42" hidden="1" outlineLevel="1" x14ac:dyDescent="0.25">
      <c r="A234" s="54"/>
      <c r="B234" s="13"/>
      <c r="C234" s="14" t="s">
        <v>285</v>
      </c>
      <c r="D234" s="14"/>
      <c r="E234" s="70" t="s">
        <v>474</v>
      </c>
      <c r="F234" s="200">
        <f>Data!$E$36/1000</f>
        <v>1.0822865168539326</v>
      </c>
      <c r="G234" s="56"/>
      <c r="H234" s="56"/>
      <c r="I234" s="56">
        <f>I$226*$F$234</f>
        <v>28.84102879309798</v>
      </c>
      <c r="J234" s="56">
        <f>J$226*$F$234</f>
        <v>28.84102879309798</v>
      </c>
      <c r="K234" s="56">
        <f t="shared" ref="K234:AP234" si="67">K$226*$F$234</f>
        <v>28.84102879309798</v>
      </c>
      <c r="L234" s="56">
        <f t="shared" si="67"/>
        <v>28.84102879309798</v>
      </c>
      <c r="M234" s="56">
        <f t="shared" si="67"/>
        <v>28.84102879309798</v>
      </c>
      <c r="N234" s="56">
        <f t="shared" si="67"/>
        <v>28.84102879309798</v>
      </c>
      <c r="O234" s="56">
        <f t="shared" si="67"/>
        <v>28.84102879309798</v>
      </c>
      <c r="P234" s="56">
        <f t="shared" si="67"/>
        <v>28.84102879309798</v>
      </c>
      <c r="Q234" s="56">
        <f t="shared" si="67"/>
        <v>28.84102879309798</v>
      </c>
      <c r="R234" s="56">
        <f t="shared" si="67"/>
        <v>28.84102879309798</v>
      </c>
      <c r="S234" s="56">
        <f t="shared" si="67"/>
        <v>28.84102879309798</v>
      </c>
      <c r="T234" s="56">
        <f t="shared" si="67"/>
        <v>28.84102879309798</v>
      </c>
      <c r="U234" s="56">
        <f t="shared" si="67"/>
        <v>0</v>
      </c>
      <c r="V234" s="56">
        <f t="shared" si="67"/>
        <v>0</v>
      </c>
      <c r="W234" s="56">
        <f t="shared" si="67"/>
        <v>0</v>
      </c>
      <c r="X234" s="56">
        <f t="shared" si="67"/>
        <v>0</v>
      </c>
      <c r="Y234" s="56">
        <f t="shared" si="67"/>
        <v>0</v>
      </c>
      <c r="Z234" s="56">
        <f t="shared" si="67"/>
        <v>0</v>
      </c>
      <c r="AA234" s="56">
        <f t="shared" si="67"/>
        <v>0</v>
      </c>
      <c r="AB234" s="56">
        <f t="shared" si="67"/>
        <v>0</v>
      </c>
      <c r="AC234" s="56">
        <f t="shared" si="67"/>
        <v>0</v>
      </c>
      <c r="AD234" s="56">
        <f t="shared" si="67"/>
        <v>0</v>
      </c>
      <c r="AE234" s="56">
        <f t="shared" si="67"/>
        <v>0</v>
      </c>
      <c r="AF234" s="56">
        <f t="shared" si="67"/>
        <v>0</v>
      </c>
      <c r="AG234" s="56">
        <f t="shared" si="67"/>
        <v>0</v>
      </c>
      <c r="AH234" s="56">
        <f t="shared" si="67"/>
        <v>0</v>
      </c>
      <c r="AI234" s="56">
        <f t="shared" si="67"/>
        <v>0</v>
      </c>
      <c r="AJ234" s="56">
        <f t="shared" si="67"/>
        <v>0</v>
      </c>
      <c r="AK234" s="56">
        <f t="shared" si="67"/>
        <v>0</v>
      </c>
      <c r="AL234" s="56">
        <f t="shared" si="67"/>
        <v>0</v>
      </c>
      <c r="AM234" s="56">
        <f t="shared" si="67"/>
        <v>0</v>
      </c>
      <c r="AN234" s="56">
        <f t="shared" si="67"/>
        <v>0</v>
      </c>
      <c r="AO234" s="56">
        <f t="shared" si="67"/>
        <v>0</v>
      </c>
      <c r="AP234" s="56">
        <f t="shared" si="67"/>
        <v>0</v>
      </c>
    </row>
    <row r="235" spans="1:42" hidden="1" outlineLevel="1" x14ac:dyDescent="0.25">
      <c r="A235" s="54"/>
      <c r="B235" s="13"/>
      <c r="C235" s="14" t="s">
        <v>220</v>
      </c>
      <c r="D235" s="14"/>
      <c r="E235" s="70" t="s">
        <v>474</v>
      </c>
      <c r="F235" s="200">
        <f>Data!$E$37/1000</f>
        <v>371.00188764044947</v>
      </c>
      <c r="G235" s="56"/>
      <c r="H235" s="56"/>
      <c r="I235" s="56">
        <f>I$227*$F$235</f>
        <v>359039.46272144729</v>
      </c>
      <c r="J235" s="56">
        <f>J$227*$F$235</f>
        <v>359039.46272144729</v>
      </c>
      <c r="K235" s="56">
        <f t="shared" ref="K235:AP235" si="68">K$227*$F$235</f>
        <v>359039.46272144729</v>
      </c>
      <c r="L235" s="56">
        <f t="shared" si="68"/>
        <v>359039.46272144729</v>
      </c>
      <c r="M235" s="56">
        <f t="shared" si="68"/>
        <v>359039.46272144729</v>
      </c>
      <c r="N235" s="56">
        <f t="shared" si="68"/>
        <v>359039.46272144729</v>
      </c>
      <c r="O235" s="56">
        <f t="shared" si="68"/>
        <v>359039.46272144729</v>
      </c>
      <c r="P235" s="56">
        <f t="shared" si="68"/>
        <v>359039.46272144729</v>
      </c>
      <c r="Q235" s="56">
        <f t="shared" si="68"/>
        <v>359039.46272144729</v>
      </c>
      <c r="R235" s="56">
        <f t="shared" si="68"/>
        <v>359039.46272144729</v>
      </c>
      <c r="S235" s="56">
        <f t="shared" si="68"/>
        <v>359039.46272144729</v>
      </c>
      <c r="T235" s="56">
        <f t="shared" si="68"/>
        <v>359039.46272144729</v>
      </c>
      <c r="U235" s="56">
        <f t="shared" si="68"/>
        <v>0</v>
      </c>
      <c r="V235" s="56">
        <f t="shared" si="68"/>
        <v>0</v>
      </c>
      <c r="W235" s="56">
        <f t="shared" si="68"/>
        <v>0</v>
      </c>
      <c r="X235" s="56">
        <f t="shared" si="68"/>
        <v>0</v>
      </c>
      <c r="Y235" s="56">
        <f t="shared" si="68"/>
        <v>0</v>
      </c>
      <c r="Z235" s="56">
        <f t="shared" si="68"/>
        <v>0</v>
      </c>
      <c r="AA235" s="56">
        <f t="shared" si="68"/>
        <v>0</v>
      </c>
      <c r="AB235" s="56">
        <f t="shared" si="68"/>
        <v>0</v>
      </c>
      <c r="AC235" s="56">
        <f t="shared" si="68"/>
        <v>0</v>
      </c>
      <c r="AD235" s="56">
        <f t="shared" si="68"/>
        <v>0</v>
      </c>
      <c r="AE235" s="56">
        <f t="shared" si="68"/>
        <v>0</v>
      </c>
      <c r="AF235" s="56">
        <f t="shared" si="68"/>
        <v>0</v>
      </c>
      <c r="AG235" s="56">
        <f t="shared" si="68"/>
        <v>0</v>
      </c>
      <c r="AH235" s="56">
        <f t="shared" si="68"/>
        <v>0</v>
      </c>
      <c r="AI235" s="56">
        <f t="shared" si="68"/>
        <v>0</v>
      </c>
      <c r="AJ235" s="56">
        <f t="shared" si="68"/>
        <v>0</v>
      </c>
      <c r="AK235" s="56">
        <f t="shared" si="68"/>
        <v>0</v>
      </c>
      <c r="AL235" s="56">
        <f t="shared" si="68"/>
        <v>0</v>
      </c>
      <c r="AM235" s="56">
        <f t="shared" si="68"/>
        <v>0</v>
      </c>
      <c r="AN235" s="56">
        <f t="shared" si="68"/>
        <v>0</v>
      </c>
      <c r="AO235" s="56">
        <f t="shared" si="68"/>
        <v>0</v>
      </c>
      <c r="AP235" s="56">
        <f t="shared" si="68"/>
        <v>0</v>
      </c>
    </row>
    <row r="236" spans="1:42" hidden="1" outlineLevel="1" x14ac:dyDescent="0.25">
      <c r="A236" s="54"/>
      <c r="B236" s="13"/>
      <c r="C236" s="14" t="s">
        <v>212</v>
      </c>
      <c r="D236" s="14"/>
      <c r="E236" s="70" t="s">
        <v>474</v>
      </c>
      <c r="F236" s="200">
        <f>Data!$E$39/1000</f>
        <v>0</v>
      </c>
      <c r="G236" s="56"/>
      <c r="H236" s="56"/>
      <c r="I236" s="56">
        <f>I$228*$F$236</f>
        <v>0</v>
      </c>
      <c r="J236" s="56">
        <f>J$228*$F$236</f>
        <v>0</v>
      </c>
      <c r="K236" s="56">
        <f t="shared" ref="K236:AP236" si="69">K$228*$F$236</f>
        <v>0</v>
      </c>
      <c r="L236" s="56">
        <f t="shared" si="69"/>
        <v>0</v>
      </c>
      <c r="M236" s="56">
        <f t="shared" si="69"/>
        <v>0</v>
      </c>
      <c r="N236" s="56">
        <f t="shared" si="69"/>
        <v>0</v>
      </c>
      <c r="O236" s="56">
        <f t="shared" si="69"/>
        <v>0</v>
      </c>
      <c r="P236" s="56">
        <f t="shared" si="69"/>
        <v>0</v>
      </c>
      <c r="Q236" s="56">
        <f t="shared" si="69"/>
        <v>0</v>
      </c>
      <c r="R236" s="56">
        <f t="shared" si="69"/>
        <v>0</v>
      </c>
      <c r="S236" s="56">
        <f t="shared" si="69"/>
        <v>0</v>
      </c>
      <c r="T236" s="56">
        <f t="shared" si="69"/>
        <v>0</v>
      </c>
      <c r="U236" s="56">
        <f t="shared" si="69"/>
        <v>0</v>
      </c>
      <c r="V236" s="56">
        <f t="shared" si="69"/>
        <v>0</v>
      </c>
      <c r="W236" s="56">
        <f t="shared" si="69"/>
        <v>0</v>
      </c>
      <c r="X236" s="56">
        <f t="shared" si="69"/>
        <v>0</v>
      </c>
      <c r="Y236" s="56">
        <f t="shared" si="69"/>
        <v>0</v>
      </c>
      <c r="Z236" s="56">
        <f t="shared" si="69"/>
        <v>0</v>
      </c>
      <c r="AA236" s="56">
        <f t="shared" si="69"/>
        <v>0</v>
      </c>
      <c r="AB236" s="56">
        <f t="shared" si="69"/>
        <v>0</v>
      </c>
      <c r="AC236" s="56">
        <f t="shared" si="69"/>
        <v>0</v>
      </c>
      <c r="AD236" s="56">
        <f t="shared" si="69"/>
        <v>0</v>
      </c>
      <c r="AE236" s="56">
        <f t="shared" si="69"/>
        <v>0</v>
      </c>
      <c r="AF236" s="56">
        <f t="shared" si="69"/>
        <v>0</v>
      </c>
      <c r="AG236" s="56">
        <f t="shared" si="69"/>
        <v>0</v>
      </c>
      <c r="AH236" s="56">
        <f t="shared" si="69"/>
        <v>0</v>
      </c>
      <c r="AI236" s="56">
        <f t="shared" si="69"/>
        <v>0</v>
      </c>
      <c r="AJ236" s="56">
        <f t="shared" si="69"/>
        <v>0</v>
      </c>
      <c r="AK236" s="56">
        <f t="shared" si="69"/>
        <v>0</v>
      </c>
      <c r="AL236" s="56">
        <f t="shared" si="69"/>
        <v>0</v>
      </c>
      <c r="AM236" s="56">
        <f t="shared" si="69"/>
        <v>0</v>
      </c>
      <c r="AN236" s="56">
        <f t="shared" si="69"/>
        <v>0</v>
      </c>
      <c r="AO236" s="56">
        <f t="shared" si="69"/>
        <v>0</v>
      </c>
      <c r="AP236" s="56">
        <f t="shared" si="69"/>
        <v>0</v>
      </c>
    </row>
    <row r="237" spans="1:42" hidden="1" outlineLevel="1" x14ac:dyDescent="0.25">
      <c r="A237" s="54"/>
      <c r="B237" s="13"/>
      <c r="C237" s="14" t="s">
        <v>485</v>
      </c>
      <c r="D237" s="14"/>
      <c r="E237" s="70" t="s">
        <v>474</v>
      </c>
      <c r="F237" s="200">
        <f>Data!$E$40/1000</f>
        <v>605.20914606741576</v>
      </c>
      <c r="G237" s="56"/>
      <c r="H237" s="56"/>
      <c r="I237" s="56">
        <f>I$229*$F$237</f>
        <v>13368.677210483811</v>
      </c>
      <c r="J237" s="56">
        <f>J$229*$F$237</f>
        <v>13368.677210483811</v>
      </c>
      <c r="K237" s="56">
        <f t="shared" ref="K237:AP237" si="70">K$229*$F$237</f>
        <v>13368.677210483811</v>
      </c>
      <c r="L237" s="56">
        <f t="shared" si="70"/>
        <v>13368.677210483811</v>
      </c>
      <c r="M237" s="56">
        <f t="shared" si="70"/>
        <v>13368.677210483811</v>
      </c>
      <c r="N237" s="56">
        <f t="shared" si="70"/>
        <v>13368.677210483811</v>
      </c>
      <c r="O237" s="56">
        <f t="shared" si="70"/>
        <v>13368.677210483811</v>
      </c>
      <c r="P237" s="56">
        <f t="shared" si="70"/>
        <v>13368.677210483811</v>
      </c>
      <c r="Q237" s="56">
        <f t="shared" si="70"/>
        <v>13368.677210483811</v>
      </c>
      <c r="R237" s="56">
        <f t="shared" si="70"/>
        <v>13368.677210483811</v>
      </c>
      <c r="S237" s="56">
        <f t="shared" si="70"/>
        <v>13368.677210483811</v>
      </c>
      <c r="T237" s="56">
        <f t="shared" si="70"/>
        <v>13368.677210483811</v>
      </c>
      <c r="U237" s="56">
        <f t="shared" si="70"/>
        <v>0</v>
      </c>
      <c r="V237" s="56">
        <f t="shared" si="70"/>
        <v>0</v>
      </c>
      <c r="W237" s="56">
        <f t="shared" si="70"/>
        <v>0</v>
      </c>
      <c r="X237" s="56">
        <f t="shared" si="70"/>
        <v>0</v>
      </c>
      <c r="Y237" s="56">
        <f t="shared" si="70"/>
        <v>0</v>
      </c>
      <c r="Z237" s="56">
        <f t="shared" si="70"/>
        <v>0</v>
      </c>
      <c r="AA237" s="56">
        <f t="shared" si="70"/>
        <v>0</v>
      </c>
      <c r="AB237" s="56">
        <f t="shared" si="70"/>
        <v>0</v>
      </c>
      <c r="AC237" s="56">
        <f t="shared" si="70"/>
        <v>0</v>
      </c>
      <c r="AD237" s="56">
        <f t="shared" si="70"/>
        <v>0</v>
      </c>
      <c r="AE237" s="56">
        <f t="shared" si="70"/>
        <v>0</v>
      </c>
      <c r="AF237" s="56">
        <f t="shared" si="70"/>
        <v>0</v>
      </c>
      <c r="AG237" s="56">
        <f t="shared" si="70"/>
        <v>0</v>
      </c>
      <c r="AH237" s="56">
        <f t="shared" si="70"/>
        <v>0</v>
      </c>
      <c r="AI237" s="56">
        <f t="shared" si="70"/>
        <v>0</v>
      </c>
      <c r="AJ237" s="56">
        <f t="shared" si="70"/>
        <v>0</v>
      </c>
      <c r="AK237" s="56">
        <f t="shared" si="70"/>
        <v>0</v>
      </c>
      <c r="AL237" s="56">
        <f t="shared" si="70"/>
        <v>0</v>
      </c>
      <c r="AM237" s="56">
        <f t="shared" si="70"/>
        <v>0</v>
      </c>
      <c r="AN237" s="56">
        <f t="shared" si="70"/>
        <v>0</v>
      </c>
      <c r="AO237" s="56">
        <f t="shared" si="70"/>
        <v>0</v>
      </c>
      <c r="AP237" s="56">
        <f t="shared" si="70"/>
        <v>0</v>
      </c>
    </row>
    <row r="238" spans="1:42" hidden="1" outlineLevel="1" x14ac:dyDescent="0.25">
      <c r="A238" s="54"/>
      <c r="B238" s="13"/>
      <c r="C238" s="14" t="s">
        <v>214</v>
      </c>
      <c r="D238" s="14"/>
      <c r="E238" s="70" t="s">
        <v>474</v>
      </c>
      <c r="F238" s="200">
        <f>Data!$E$41/1000</f>
        <v>0</v>
      </c>
      <c r="G238" s="56"/>
      <c r="H238" s="56"/>
      <c r="I238" s="56">
        <f>I$230*$F$238</f>
        <v>0</v>
      </c>
      <c r="J238" s="56">
        <f>J$230*$F$238</f>
        <v>0</v>
      </c>
      <c r="K238" s="56">
        <f t="shared" ref="K238:AP238" si="71">K$230*$F$238</f>
        <v>0</v>
      </c>
      <c r="L238" s="56">
        <f t="shared" si="71"/>
        <v>0</v>
      </c>
      <c r="M238" s="56">
        <f t="shared" si="71"/>
        <v>0</v>
      </c>
      <c r="N238" s="56">
        <f t="shared" si="71"/>
        <v>0</v>
      </c>
      <c r="O238" s="56">
        <f t="shared" si="71"/>
        <v>0</v>
      </c>
      <c r="P238" s="56">
        <f t="shared" si="71"/>
        <v>0</v>
      </c>
      <c r="Q238" s="56">
        <f t="shared" si="71"/>
        <v>0</v>
      </c>
      <c r="R238" s="56">
        <f t="shared" si="71"/>
        <v>0</v>
      </c>
      <c r="S238" s="56">
        <f t="shared" si="71"/>
        <v>0</v>
      </c>
      <c r="T238" s="56">
        <f t="shared" si="71"/>
        <v>0</v>
      </c>
      <c r="U238" s="56">
        <f t="shared" si="71"/>
        <v>0</v>
      </c>
      <c r="V238" s="56">
        <f t="shared" si="71"/>
        <v>0</v>
      </c>
      <c r="W238" s="56">
        <f t="shared" si="71"/>
        <v>0</v>
      </c>
      <c r="X238" s="56">
        <f t="shared" si="71"/>
        <v>0</v>
      </c>
      <c r="Y238" s="56">
        <f t="shared" si="71"/>
        <v>0</v>
      </c>
      <c r="Z238" s="56">
        <f t="shared" si="71"/>
        <v>0</v>
      </c>
      <c r="AA238" s="56">
        <f t="shared" si="71"/>
        <v>0</v>
      </c>
      <c r="AB238" s="56">
        <f t="shared" si="71"/>
        <v>0</v>
      </c>
      <c r="AC238" s="56">
        <f t="shared" si="71"/>
        <v>0</v>
      </c>
      <c r="AD238" s="56">
        <f t="shared" si="71"/>
        <v>0</v>
      </c>
      <c r="AE238" s="56">
        <f t="shared" si="71"/>
        <v>0</v>
      </c>
      <c r="AF238" s="56">
        <f t="shared" si="71"/>
        <v>0</v>
      </c>
      <c r="AG238" s="56">
        <f t="shared" si="71"/>
        <v>0</v>
      </c>
      <c r="AH238" s="56">
        <f t="shared" si="71"/>
        <v>0</v>
      </c>
      <c r="AI238" s="56">
        <f t="shared" si="71"/>
        <v>0</v>
      </c>
      <c r="AJ238" s="56">
        <f t="shared" si="71"/>
        <v>0</v>
      </c>
      <c r="AK238" s="56">
        <f t="shared" si="71"/>
        <v>0</v>
      </c>
      <c r="AL238" s="56">
        <f t="shared" si="71"/>
        <v>0</v>
      </c>
      <c r="AM238" s="56">
        <f t="shared" si="71"/>
        <v>0</v>
      </c>
      <c r="AN238" s="56">
        <f t="shared" si="71"/>
        <v>0</v>
      </c>
      <c r="AO238" s="56">
        <f t="shared" si="71"/>
        <v>0</v>
      </c>
      <c r="AP238" s="56">
        <f t="shared" si="71"/>
        <v>0</v>
      </c>
    </row>
    <row r="239" spans="1:42" ht="13.5" hidden="1" customHeight="1" outlineLevel="1" x14ac:dyDescent="0.25">
      <c r="A239" s="12"/>
      <c r="B239" s="13"/>
      <c r="C239" s="20" t="s">
        <v>536</v>
      </c>
      <c r="D239" s="14"/>
      <c r="E239" s="70" t="s">
        <v>474</v>
      </c>
      <c r="F239" s="16"/>
      <c r="G239" s="159"/>
      <c r="H239" s="185"/>
      <c r="I239" s="185">
        <f>SUM(I232:I238)</f>
        <v>381677.66929478035</v>
      </c>
      <c r="J239" s="185">
        <f t="shared" ref="J239:AF239" si="72">SUM(J232:J238)</f>
        <v>382630.18403904932</v>
      </c>
      <c r="K239" s="185">
        <f t="shared" si="72"/>
        <v>383487.44730889139</v>
      </c>
      <c r="L239" s="185">
        <f t="shared" si="72"/>
        <v>384439.96205316036</v>
      </c>
      <c r="M239" s="185">
        <f t="shared" si="72"/>
        <v>385392.47679742938</v>
      </c>
      <c r="N239" s="185">
        <f t="shared" si="72"/>
        <v>386344.99154169834</v>
      </c>
      <c r="O239" s="185">
        <f t="shared" si="72"/>
        <v>387202.25481154042</v>
      </c>
      <c r="P239" s="185">
        <f t="shared" si="72"/>
        <v>387773.76365810179</v>
      </c>
      <c r="Q239" s="185">
        <f t="shared" si="72"/>
        <v>388345.27250466315</v>
      </c>
      <c r="R239" s="185">
        <f t="shared" si="72"/>
        <v>389012.03282565146</v>
      </c>
      <c r="S239" s="185">
        <f t="shared" si="72"/>
        <v>389583.54167221283</v>
      </c>
      <c r="T239" s="185">
        <f t="shared" si="72"/>
        <v>390155.05051877425</v>
      </c>
      <c r="U239" s="185">
        <f t="shared" si="72"/>
        <v>0</v>
      </c>
      <c r="V239" s="185">
        <f t="shared" si="72"/>
        <v>0</v>
      </c>
      <c r="W239" s="185">
        <f t="shared" si="72"/>
        <v>0</v>
      </c>
      <c r="X239" s="185">
        <f t="shared" si="72"/>
        <v>0</v>
      </c>
      <c r="Y239" s="185">
        <f t="shared" si="72"/>
        <v>0</v>
      </c>
      <c r="Z239" s="185">
        <f t="shared" si="72"/>
        <v>0</v>
      </c>
      <c r="AA239" s="185">
        <f t="shared" si="72"/>
        <v>0</v>
      </c>
      <c r="AB239" s="185">
        <f t="shared" si="72"/>
        <v>0</v>
      </c>
      <c r="AC239" s="185">
        <f t="shared" si="72"/>
        <v>0</v>
      </c>
      <c r="AD239" s="185">
        <f t="shared" si="72"/>
        <v>0</v>
      </c>
      <c r="AE239" s="185">
        <f t="shared" si="72"/>
        <v>0</v>
      </c>
      <c r="AF239" s="185">
        <f t="shared" si="72"/>
        <v>0</v>
      </c>
      <c r="AG239" s="185">
        <f t="shared" ref="AG239:AP239" si="73">SUM(AG232:AG238)</f>
        <v>0</v>
      </c>
      <c r="AH239" s="185">
        <f t="shared" si="73"/>
        <v>0</v>
      </c>
      <c r="AI239" s="185">
        <f t="shared" si="73"/>
        <v>0</v>
      </c>
      <c r="AJ239" s="185">
        <f t="shared" si="73"/>
        <v>0</v>
      </c>
      <c r="AK239" s="185">
        <f t="shared" si="73"/>
        <v>0</v>
      </c>
      <c r="AL239" s="185">
        <f t="shared" si="73"/>
        <v>0</v>
      </c>
      <c r="AM239" s="185">
        <f t="shared" si="73"/>
        <v>0</v>
      </c>
      <c r="AN239" s="185">
        <f t="shared" si="73"/>
        <v>0</v>
      </c>
      <c r="AO239" s="185">
        <f t="shared" si="73"/>
        <v>0</v>
      </c>
      <c r="AP239" s="185">
        <f t="shared" si="73"/>
        <v>0</v>
      </c>
    </row>
    <row r="240" spans="1:42" hidden="1" outlineLevel="1" x14ac:dyDescent="0.25">
      <c r="A240" s="12"/>
      <c r="B240" s="13"/>
      <c r="C240" s="14"/>
      <c r="D240" s="14"/>
      <c r="E240" s="15"/>
      <c r="F240" s="16"/>
      <c r="G240" s="159"/>
      <c r="H240" s="159"/>
      <c r="I240" s="159"/>
      <c r="J240" s="159"/>
      <c r="K240" s="159"/>
      <c r="L240" s="159"/>
      <c r="M240" s="159"/>
      <c r="N240" s="159"/>
      <c r="O240" s="159"/>
      <c r="P240" s="159"/>
      <c r="Q240" s="159"/>
      <c r="R240" s="159"/>
      <c r="S240" s="159"/>
      <c r="T240" s="159"/>
      <c r="U240" s="159"/>
      <c r="V240" s="159"/>
      <c r="W240" s="159"/>
      <c r="X240" s="14"/>
      <c r="Y240" s="14"/>
      <c r="Z240" s="14"/>
      <c r="AA240" s="14"/>
      <c r="AB240" s="14"/>
      <c r="AC240" s="14"/>
      <c r="AD240" s="14"/>
      <c r="AE240" s="14"/>
      <c r="AF240" s="14"/>
      <c r="AG240" s="14"/>
      <c r="AH240" s="14"/>
      <c r="AI240" s="14"/>
      <c r="AJ240" s="14"/>
      <c r="AK240" s="14"/>
      <c r="AL240" s="14"/>
      <c r="AM240" s="14"/>
      <c r="AN240" s="14"/>
      <c r="AO240" s="14"/>
      <c r="AP240" s="14"/>
    </row>
    <row r="241" spans="1:42" hidden="1" outlineLevel="1" x14ac:dyDescent="0.25">
      <c r="A241" s="12"/>
      <c r="B241" s="13"/>
      <c r="C241" s="14" t="s">
        <v>487</v>
      </c>
      <c r="D241" s="14"/>
      <c r="E241" s="15" t="s">
        <v>474</v>
      </c>
      <c r="F241" s="48"/>
      <c r="G241" s="185"/>
      <c r="H241" s="185"/>
      <c r="I241" s="185">
        <f>I239*Data!H$9</f>
        <v>366997.75893728877</v>
      </c>
      <c r="J241" s="185">
        <f>J239*Data!I$9</f>
        <v>353763.11394142872</v>
      </c>
      <c r="K241" s="185">
        <f>K239*Data!J$9</f>
        <v>340918.94425360876</v>
      </c>
      <c r="L241" s="185">
        <f>L239*Data!K$9</f>
        <v>328620.89076235017</v>
      </c>
      <c r="M241" s="185">
        <f>M239*Data!L$9</f>
        <v>316764.52342093165</v>
      </c>
      <c r="N241" s="185">
        <f>N239*Data!M$9</f>
        <v>305334.0587584945</v>
      </c>
      <c r="O241" s="185">
        <f>O239*Data!N$9</f>
        <v>294241.89074329392</v>
      </c>
      <c r="P241" s="185">
        <f>P239*Data!O$9</f>
        <v>283342.49086172919</v>
      </c>
      <c r="Q241" s="185">
        <f>Q239*Data!P$9</f>
        <v>272846.23728652264</v>
      </c>
      <c r="R241" s="185">
        <f>R239*Data!Q$9</f>
        <v>262802.59061909548</v>
      </c>
      <c r="S241" s="185">
        <f>S239*Data!R$9</f>
        <v>253066.03992115322</v>
      </c>
      <c r="T241" s="185">
        <f>T239*Data!S$9</f>
        <v>243689.69343278767</v>
      </c>
      <c r="U241" s="185">
        <f>U239*Data!T$9</f>
        <v>0</v>
      </c>
      <c r="V241" s="185">
        <f>V239*Data!U$9</f>
        <v>0</v>
      </c>
      <c r="W241" s="185">
        <f>W239*Data!V$9</f>
        <v>0</v>
      </c>
      <c r="X241" s="185">
        <f>X239*Data!W$9</f>
        <v>0</v>
      </c>
      <c r="Y241" s="185">
        <f>Y239*Data!X$9</f>
        <v>0</v>
      </c>
      <c r="Z241" s="185">
        <f>Z239*Data!Y$9</f>
        <v>0</v>
      </c>
      <c r="AA241" s="185">
        <f>AA239*Data!Z$9</f>
        <v>0</v>
      </c>
      <c r="AB241" s="185">
        <f>AB239*Data!AA$9</f>
        <v>0</v>
      </c>
      <c r="AC241" s="185">
        <f>AC239*Data!AB$9</f>
        <v>0</v>
      </c>
      <c r="AD241" s="185">
        <f>AD239*Data!AC$9</f>
        <v>0</v>
      </c>
      <c r="AE241" s="185">
        <f>AE239*Data!AD$9</f>
        <v>0</v>
      </c>
      <c r="AF241" s="185">
        <f>AF239*Data!AE$9</f>
        <v>0</v>
      </c>
      <c r="AG241" s="185">
        <f>AG239*Data!AF$9</f>
        <v>0</v>
      </c>
      <c r="AH241" s="185">
        <f>AH239*Data!AG$9</f>
        <v>0</v>
      </c>
      <c r="AI241" s="185">
        <f>AI239*Data!AH$9</f>
        <v>0</v>
      </c>
      <c r="AJ241" s="185">
        <f>AJ239*Data!AI$9</f>
        <v>0</v>
      </c>
      <c r="AK241" s="185">
        <f>AK239*Data!AJ$9</f>
        <v>0</v>
      </c>
      <c r="AL241" s="185">
        <f>AL239*Data!AK$9</f>
        <v>0</v>
      </c>
      <c r="AM241" s="185">
        <f>AM239*Data!AL$9</f>
        <v>0</v>
      </c>
      <c r="AN241" s="185">
        <f>AN239*Data!AM$9</f>
        <v>0</v>
      </c>
      <c r="AO241" s="185">
        <f>AO239*Data!AN$9</f>
        <v>0</v>
      </c>
      <c r="AP241" s="185">
        <f>AP239*Data!AO$9</f>
        <v>0</v>
      </c>
    </row>
    <row r="242" spans="1:42" hidden="1" outlineLevel="1" x14ac:dyDescent="0.25">
      <c r="A242" s="12"/>
      <c r="B242" s="13"/>
      <c r="C242" s="14" t="s">
        <v>488</v>
      </c>
      <c r="D242" s="13"/>
      <c r="E242" s="15" t="s">
        <v>142</v>
      </c>
      <c r="F242" s="16"/>
      <c r="G242" s="159">
        <f>SUM(H241:AF241)</f>
        <v>3622388.2329386845</v>
      </c>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row>
    <row r="243" spans="1:42" hidden="1" outlineLevel="1" x14ac:dyDescent="0.25">
      <c r="A243" s="12"/>
      <c r="B243" s="13"/>
      <c r="C243" s="20" t="s">
        <v>488</v>
      </c>
      <c r="D243" s="19"/>
      <c r="E243" s="15" t="s">
        <v>261</v>
      </c>
      <c r="F243" s="16"/>
      <c r="G243" s="183">
        <f>G242/(SUM(H222:AP222))</f>
        <v>3.2250607486989713</v>
      </c>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row>
    <row r="244" spans="1:42" hidden="1" outlineLevel="1" x14ac:dyDescent="0.25">
      <c r="A244" s="12"/>
      <c r="B244" s="13"/>
      <c r="C244" s="20"/>
      <c r="D244" s="19"/>
      <c r="E244" s="15"/>
      <c r="F244" s="16"/>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row>
    <row r="245" spans="1:42" ht="18.75" hidden="1" outlineLevel="1" x14ac:dyDescent="0.3">
      <c r="A245" s="12"/>
      <c r="B245" s="13"/>
      <c r="C245" s="226" t="str">
        <f>C146</f>
        <v>TCO 2: Immediate Diesel to HFCB Bus Replacement</v>
      </c>
      <c r="D245" s="225"/>
      <c r="E245" s="15" t="s">
        <v>261</v>
      </c>
      <c r="F245" s="16"/>
      <c r="G245" s="224">
        <f>G185+G216+G192-G243</f>
        <v>-1.7384353093842304</v>
      </c>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row>
    <row r="246" spans="1:42" hidden="1" outlineLevel="1" x14ac:dyDescent="0.25">
      <c r="A246" s="12"/>
      <c r="B246" s="13"/>
      <c r="C246" s="187"/>
      <c r="D246" s="19"/>
      <c r="E246" s="15"/>
      <c r="F246" s="16"/>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row>
    <row r="247" spans="1:42" hidden="1" outlineLevel="1" x14ac:dyDescent="0.25">
      <c r="A247" s="12"/>
      <c r="B247" s="13"/>
      <c r="C247" s="24" t="s">
        <v>525</v>
      </c>
      <c r="D247" s="24"/>
      <c r="E247" s="25"/>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7"/>
    </row>
    <row r="248" spans="1:42" hidden="1" outlineLevel="1" x14ac:dyDescent="0.25">
      <c r="A248" s="12"/>
      <c r="B248" s="13"/>
      <c r="C248" s="13"/>
      <c r="D248" s="14"/>
      <c r="E248" s="15"/>
      <c r="F248" s="16"/>
      <c r="G248" s="14"/>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17"/>
    </row>
    <row r="249" spans="1:42" hidden="1" outlineLevel="1" x14ac:dyDescent="0.25">
      <c r="A249" s="12"/>
      <c r="B249" s="13"/>
      <c r="C249" s="37" t="s">
        <v>537</v>
      </c>
      <c r="D249" s="37"/>
      <c r="E249" s="38"/>
      <c r="F249" s="39"/>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17"/>
    </row>
    <row r="250" spans="1:42" hidden="1" outlineLevel="1" x14ac:dyDescent="0.25">
      <c r="A250" s="12"/>
      <c r="B250" s="13"/>
      <c r="C250" s="96" t="s">
        <v>526</v>
      </c>
      <c r="D250" s="14"/>
      <c r="E250" s="15" t="s">
        <v>142</v>
      </c>
      <c r="F250" s="16"/>
      <c r="G250" s="141">
        <f>G184</f>
        <v>2773775.6223971951</v>
      </c>
      <c r="H250" s="14"/>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17"/>
    </row>
    <row r="251" spans="1:42" hidden="1" outlineLevel="1" x14ac:dyDescent="0.25">
      <c r="A251" s="12"/>
      <c r="B251" s="13"/>
      <c r="C251" s="96" t="s">
        <v>527</v>
      </c>
      <c r="D251" s="14"/>
      <c r="E251" s="15" t="s">
        <v>474</v>
      </c>
      <c r="F251" s="16"/>
      <c r="G251" s="151">
        <f>G250/Data!$E$386</f>
        <v>138688.78111985975</v>
      </c>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17"/>
    </row>
    <row r="252" spans="1:42" hidden="1" outlineLevel="1" x14ac:dyDescent="0.25">
      <c r="A252" s="12"/>
      <c r="B252" s="13"/>
      <c r="C252" s="96" t="s">
        <v>528</v>
      </c>
      <c r="D252" s="14"/>
      <c r="E252" s="15" t="s">
        <v>275</v>
      </c>
      <c r="F252" s="16"/>
      <c r="G252" s="151">
        <f>SUM(I198:AC198)</f>
        <v>0</v>
      </c>
      <c r="H252" s="14"/>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17"/>
    </row>
    <row r="253" spans="1:42" hidden="1" outlineLevel="1" x14ac:dyDescent="0.25">
      <c r="A253" s="12"/>
      <c r="B253" s="13"/>
      <c r="C253" s="96" t="s">
        <v>530</v>
      </c>
      <c r="D253" s="14"/>
      <c r="E253" s="15" t="s">
        <v>604</v>
      </c>
      <c r="F253" s="16"/>
      <c r="G253" s="151">
        <f>G252/Data!$E$386</f>
        <v>0</v>
      </c>
      <c r="H253" s="14"/>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17"/>
    </row>
    <row r="254" spans="1:42" hidden="1" outlineLevel="1" x14ac:dyDescent="0.25">
      <c r="A254" s="12"/>
      <c r="B254" s="13"/>
      <c r="C254" s="96" t="s">
        <v>579</v>
      </c>
      <c r="D254" s="14"/>
      <c r="E254" s="15" t="s">
        <v>604</v>
      </c>
      <c r="F254" s="16"/>
      <c r="G254" s="151">
        <f>SUM(I225:AB225)/Dashboard!$I$31</f>
        <v>95251.474426897606</v>
      </c>
      <c r="H254" s="14"/>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17"/>
    </row>
    <row r="255" spans="1:42" hidden="1" outlineLevel="1" x14ac:dyDescent="0.25">
      <c r="A255" s="12"/>
      <c r="B255" s="13"/>
      <c r="C255" s="14"/>
      <c r="D255" s="14"/>
      <c r="E255" s="15"/>
      <c r="F255" s="16"/>
      <c r="G255" s="14"/>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29"/>
    </row>
    <row r="256" spans="1:42" hidden="1" outlineLevel="1" x14ac:dyDescent="0.25">
      <c r="A256" s="12"/>
      <c r="B256" s="13"/>
      <c r="C256" s="37" t="s">
        <v>538</v>
      </c>
      <c r="D256" s="37"/>
      <c r="E256" s="38"/>
      <c r="F256" s="39"/>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17"/>
    </row>
    <row r="257" spans="1:42" hidden="1" outlineLevel="1" x14ac:dyDescent="0.25">
      <c r="A257" s="12"/>
      <c r="B257" s="13"/>
      <c r="C257" s="14" t="s">
        <v>580</v>
      </c>
      <c r="D257" s="14"/>
      <c r="E257" s="15" t="s">
        <v>142</v>
      </c>
      <c r="F257" s="16"/>
      <c r="G257" s="177">
        <f>G251-'Diesel (BAU)'!$G$91</f>
        <v>-16966.42610458759</v>
      </c>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17"/>
    </row>
    <row r="258" spans="1:42" hidden="1" outlineLevel="1" x14ac:dyDescent="0.25">
      <c r="A258" s="12"/>
      <c r="B258" s="13"/>
      <c r="C258" s="14" t="s">
        <v>540</v>
      </c>
      <c r="D258" s="44"/>
      <c r="E258" s="15" t="s">
        <v>275</v>
      </c>
      <c r="F258" s="16"/>
      <c r="G258" s="177">
        <f>'Diesel (BAU)'!$G$93-G253+G254</f>
        <v>190502.94885379524</v>
      </c>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17"/>
    </row>
    <row r="259" spans="1:42" ht="18.75" hidden="1" outlineLevel="1" x14ac:dyDescent="0.3">
      <c r="A259" s="12"/>
      <c r="B259" s="13"/>
      <c r="C259" s="221" t="s">
        <v>542</v>
      </c>
      <c r="D259" s="45"/>
      <c r="E259" s="15"/>
      <c r="F259" s="16"/>
      <c r="G259" s="220">
        <f>G257/G258</f>
        <v>-8.9061225596086521E-2</v>
      </c>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29"/>
    </row>
    <row r="260" spans="1:42" hidden="1" outlineLevel="1" x14ac:dyDescent="0.25">
      <c r="A260" s="12"/>
      <c r="C260" s="13"/>
      <c r="D260" s="45"/>
      <c r="E260" s="15"/>
      <c r="F260" s="16"/>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29"/>
    </row>
    <row r="261" spans="1:42" hidden="1" outlineLevel="1" x14ac:dyDescent="0.25">
      <c r="A261" s="12"/>
      <c r="B261" s="13"/>
      <c r="C261" s="41"/>
      <c r="D261" s="41"/>
      <c r="E261" s="15"/>
      <c r="F261" s="16"/>
      <c r="G261" s="14"/>
      <c r="H261" s="141"/>
      <c r="I261" s="141"/>
      <c r="J261" s="141"/>
      <c r="K261" s="141"/>
      <c r="L261" s="141"/>
      <c r="M261" s="141"/>
      <c r="N261" s="141"/>
      <c r="O261" s="141"/>
      <c r="P261" s="141"/>
      <c r="Q261" s="141"/>
      <c r="R261" s="141"/>
      <c r="S261" s="141"/>
      <c r="T261" s="141"/>
      <c r="U261" s="141"/>
      <c r="V261" s="141"/>
      <c r="W261" s="141"/>
      <c r="X261" s="141"/>
      <c r="Y261" s="141"/>
      <c r="Z261" s="141"/>
      <c r="AA261" s="141"/>
      <c r="AB261" s="141"/>
      <c r="AC261" s="14"/>
      <c r="AD261" s="14"/>
      <c r="AE261" s="14"/>
      <c r="AF261" s="14"/>
      <c r="AG261" s="14"/>
      <c r="AH261" s="14"/>
      <c r="AI261" s="14"/>
      <c r="AJ261" s="14"/>
      <c r="AK261" s="14"/>
      <c r="AL261" s="14"/>
      <c r="AM261" s="14"/>
      <c r="AN261" s="14"/>
      <c r="AO261" s="14"/>
      <c r="AP261" s="17"/>
    </row>
    <row r="262" spans="1:42" hidden="1" collapsed="1" x14ac:dyDescent="0.25">
      <c r="A262" s="261"/>
      <c r="B262" s="261"/>
      <c r="C262" s="261" t="s">
        <v>605</v>
      </c>
      <c r="D262" s="261"/>
      <c r="E262" s="262"/>
      <c r="F262" s="263"/>
      <c r="G262" s="263"/>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3"/>
      <c r="AD262" s="263"/>
      <c r="AE262" s="263"/>
      <c r="AF262" s="263"/>
      <c r="AG262" s="263"/>
      <c r="AH262" s="263"/>
      <c r="AI262" s="263"/>
      <c r="AJ262" s="263"/>
      <c r="AK262" s="263"/>
      <c r="AL262" s="263"/>
      <c r="AM262" s="263"/>
      <c r="AN262" s="263"/>
      <c r="AO262" s="263"/>
      <c r="AP262" s="265"/>
    </row>
    <row r="263" spans="1:42" hidden="1" outlineLevel="1" x14ac:dyDescent="0.25">
      <c r="A263" s="12"/>
      <c r="B263" s="13"/>
      <c r="C263" s="14"/>
      <c r="D263" s="14"/>
      <c r="E263" s="15"/>
      <c r="F263" s="16"/>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7"/>
    </row>
    <row r="264" spans="1:42" hidden="1" outlineLevel="1" x14ac:dyDescent="0.25">
      <c r="A264" s="12"/>
      <c r="B264" s="13"/>
      <c r="C264" s="14" t="s">
        <v>582</v>
      </c>
      <c r="D264" s="14"/>
      <c r="E264" s="15" t="s">
        <v>112</v>
      </c>
      <c r="F264" s="16"/>
      <c r="G264" s="159">
        <f>SUM($I$21:$AB$21)</f>
        <v>1872000</v>
      </c>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row>
    <row r="265" spans="1:42" hidden="1" outlineLevel="1" x14ac:dyDescent="0.25">
      <c r="A265" s="12"/>
      <c r="B265" s="13"/>
      <c r="C265" s="14" t="s">
        <v>595</v>
      </c>
      <c r="D265" s="14"/>
      <c r="E265" s="15" t="s">
        <v>112</v>
      </c>
      <c r="F265" s="16"/>
      <c r="G265" s="141">
        <f>Route!$H$35</f>
        <v>37440</v>
      </c>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row>
    <row r="266" spans="1:42" hidden="1" outlineLevel="1" x14ac:dyDescent="0.25">
      <c r="A266" s="12"/>
      <c r="B266" s="13"/>
      <c r="C266" s="20" t="s">
        <v>584</v>
      </c>
      <c r="D266" s="20"/>
      <c r="E266" s="21" t="s">
        <v>112</v>
      </c>
      <c r="F266" s="48"/>
      <c r="G266" s="378">
        <f>SUM(G264:G265)</f>
        <v>1909440</v>
      </c>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row>
    <row r="267" spans="1:42" hidden="1" outlineLevel="1" x14ac:dyDescent="0.25">
      <c r="A267" s="12"/>
      <c r="B267" s="13"/>
      <c r="C267" s="14"/>
      <c r="D267" s="14"/>
      <c r="E267" s="15"/>
      <c r="F267" s="16"/>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row>
    <row r="268" spans="1:42" hidden="1" outlineLevel="1" x14ac:dyDescent="0.25">
      <c r="A268" s="12"/>
      <c r="B268" s="13"/>
      <c r="C268" s="14" t="s">
        <v>585</v>
      </c>
      <c r="D268" s="19"/>
      <c r="E268" s="15" t="s">
        <v>142</v>
      </c>
      <c r="F268" s="16"/>
      <c r="G268" s="150">
        <f>G184</f>
        <v>2773775.6223971951</v>
      </c>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row>
    <row r="269" spans="1:42" hidden="1" outlineLevel="1" x14ac:dyDescent="0.25">
      <c r="A269" s="12"/>
      <c r="B269" s="13"/>
      <c r="C269" s="14" t="s">
        <v>586</v>
      </c>
      <c r="D269" s="19"/>
      <c r="E269" s="15" t="s">
        <v>142</v>
      </c>
      <c r="F269" s="16"/>
      <c r="G269" s="150">
        <f>Route!$G$61</f>
        <v>32852.076245401164</v>
      </c>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row>
    <row r="270" spans="1:42" hidden="1" outlineLevel="1" x14ac:dyDescent="0.25">
      <c r="A270" s="12"/>
      <c r="B270" s="13"/>
      <c r="C270" s="14" t="s">
        <v>587</v>
      </c>
      <c r="D270" s="19"/>
      <c r="E270" s="15" t="s">
        <v>588</v>
      </c>
      <c r="F270" s="16"/>
      <c r="G270" s="376">
        <f>SUM(G268:G269)</f>
        <v>2806627.6986425961</v>
      </c>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row>
    <row r="271" spans="1:42" hidden="1" outlineLevel="1" x14ac:dyDescent="0.25">
      <c r="A271" s="12"/>
      <c r="B271" s="13"/>
      <c r="C271" s="20" t="s">
        <v>587</v>
      </c>
      <c r="D271" s="19"/>
      <c r="E271" s="15" t="s">
        <v>261</v>
      </c>
      <c r="F271" s="16"/>
      <c r="G271" s="376">
        <f>G270/G266</f>
        <v>1.46986954219174</v>
      </c>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row>
    <row r="272" spans="1:42" hidden="1" outlineLevel="1" x14ac:dyDescent="0.25">
      <c r="A272" s="12"/>
      <c r="B272" s="13"/>
      <c r="C272" s="20"/>
      <c r="D272" s="19"/>
      <c r="E272" s="15"/>
      <c r="F272" s="16"/>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row>
    <row r="273" spans="1:42" hidden="1" outlineLevel="1" x14ac:dyDescent="0.25">
      <c r="A273" s="12"/>
      <c r="B273" s="13"/>
      <c r="C273" s="14" t="s">
        <v>589</v>
      </c>
      <c r="D273" s="19"/>
      <c r="E273" s="15" t="s">
        <v>142</v>
      </c>
      <c r="F273" s="16"/>
      <c r="G273" s="56">
        <f>G192+G216</f>
        <v>4.9076923076923082E-3</v>
      </c>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row>
    <row r="274" spans="1:42" hidden="1" outlineLevel="1" x14ac:dyDescent="0.25">
      <c r="A274" s="12"/>
      <c r="B274" s="13"/>
      <c r="C274" s="14" t="s">
        <v>590</v>
      </c>
      <c r="D274" s="19"/>
      <c r="E274" s="15" t="s">
        <v>142</v>
      </c>
      <c r="F274" s="16"/>
      <c r="G274" s="150">
        <f>Route!$G$119</f>
        <v>100696.94441250921</v>
      </c>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row>
    <row r="275" spans="1:42" hidden="1" outlineLevel="1" x14ac:dyDescent="0.25">
      <c r="A275" s="12"/>
      <c r="B275" s="13"/>
      <c r="C275" s="20" t="s">
        <v>591</v>
      </c>
      <c r="D275" s="19"/>
      <c r="E275" s="15" t="s">
        <v>588</v>
      </c>
      <c r="F275" s="16"/>
      <c r="G275" s="376">
        <f>SUM(G273:G274)</f>
        <v>100696.94932020151</v>
      </c>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row>
    <row r="276" spans="1:42" hidden="1" outlineLevel="1" x14ac:dyDescent="0.25">
      <c r="A276" s="12"/>
      <c r="B276" s="13"/>
      <c r="C276" s="20" t="s">
        <v>592</v>
      </c>
      <c r="D276" s="19"/>
      <c r="E276" s="15" t="s">
        <v>261</v>
      </c>
      <c r="F276" s="16"/>
      <c r="G276" s="376">
        <f>G275/G266</f>
        <v>5.2736377849108382E-2</v>
      </c>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row>
    <row r="277" spans="1:42" hidden="1" outlineLevel="1" x14ac:dyDescent="0.25">
      <c r="A277" s="12"/>
      <c r="B277" s="13"/>
      <c r="C277" s="20" t="s">
        <v>593</v>
      </c>
      <c r="D277" s="19"/>
      <c r="E277" s="15"/>
      <c r="F277" s="16"/>
      <c r="G277" s="377"/>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row>
    <row r="278" spans="1:42" hidden="1" outlineLevel="1" x14ac:dyDescent="0.25">
      <c r="A278" s="12"/>
      <c r="B278" s="13"/>
      <c r="C278" s="20"/>
      <c r="D278" s="19"/>
      <c r="E278" s="15"/>
      <c r="F278" s="16"/>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row>
    <row r="279" spans="1:42" ht="18" hidden="1" customHeight="1" outlineLevel="1" x14ac:dyDescent="0.3">
      <c r="A279" s="12"/>
      <c r="B279" s="13"/>
      <c r="C279" s="226" t="s">
        <v>605</v>
      </c>
      <c r="D279" s="226"/>
      <c r="E279" s="15" t="s">
        <v>261</v>
      </c>
      <c r="F279" s="16"/>
      <c r="G279" s="224">
        <f>+G271+G276</f>
        <v>1.5226059200408484</v>
      </c>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row>
    <row r="280" spans="1:42" hidden="1" outlineLevel="1" x14ac:dyDescent="0.25">
      <c r="A280" s="12"/>
      <c r="B280" s="12"/>
      <c r="C280" s="12"/>
      <c r="D280" s="19"/>
      <c r="E280" s="15"/>
      <c r="F280" s="16"/>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row>
    <row r="281" spans="1:42" hidden="1" outlineLevel="1" x14ac:dyDescent="0.25">
      <c r="A281" s="12"/>
      <c r="B281" s="13"/>
      <c r="C281" s="20"/>
      <c r="D281" s="19"/>
      <c r="E281" s="15"/>
      <c r="F281" s="16"/>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row>
    <row r="282" spans="1:42" collapsed="1" x14ac:dyDescent="0.25">
      <c r="A282" s="89"/>
      <c r="B282" s="89"/>
      <c r="C282" s="90" t="s">
        <v>173</v>
      </c>
      <c r="D282" s="91"/>
      <c r="E282" s="92"/>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3"/>
    </row>
    <row r="283" spans="1:42" x14ac:dyDescent="0.25">
      <c r="A283" s="23"/>
      <c r="B283" s="23"/>
      <c r="C283" s="24" t="s">
        <v>596</v>
      </c>
      <c r="D283" s="24"/>
      <c r="E283" s="25"/>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7"/>
    </row>
    <row r="284" spans="1:42" x14ac:dyDescent="0.25">
      <c r="A284" s="13"/>
      <c r="B284" s="13"/>
      <c r="C284" s="30"/>
      <c r="D284" s="30"/>
      <c r="E284" s="31"/>
      <c r="F284" s="16"/>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3"/>
    </row>
    <row r="285" spans="1:42" x14ac:dyDescent="0.25">
      <c r="A285" s="12"/>
      <c r="B285" s="13"/>
      <c r="C285" s="37" t="s">
        <v>506</v>
      </c>
      <c r="D285" s="37"/>
      <c r="E285" s="38"/>
      <c r="F285" s="39"/>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17"/>
    </row>
    <row r="286" spans="1:42" x14ac:dyDescent="0.25">
      <c r="A286" s="12"/>
      <c r="B286" s="13"/>
      <c r="C286" s="136" t="s">
        <v>507</v>
      </c>
      <c r="D286" s="41"/>
      <c r="E286" s="15" t="s">
        <v>465</v>
      </c>
      <c r="F286" s="16"/>
      <c r="G286" s="14"/>
      <c r="H286" s="141"/>
      <c r="I286" s="141">
        <f>Route!I18</f>
        <v>51480</v>
      </c>
      <c r="J286" s="141">
        <f>Route!J18</f>
        <v>51480</v>
      </c>
      <c r="K286" s="141">
        <f>Route!K18</f>
        <v>51480</v>
      </c>
      <c r="L286" s="141">
        <f>Route!L18</f>
        <v>51480</v>
      </c>
      <c r="M286" s="141">
        <f>Route!M18</f>
        <v>51480</v>
      </c>
      <c r="N286" s="141">
        <f>Route!N18</f>
        <v>51480</v>
      </c>
      <c r="O286" s="141">
        <f>Route!O18</f>
        <v>51480</v>
      </c>
      <c r="P286" s="141">
        <f>Route!P18</f>
        <v>51480</v>
      </c>
      <c r="Q286" s="141">
        <f>Route!Q18</f>
        <v>51480</v>
      </c>
      <c r="R286" s="141">
        <f>Route!R18</f>
        <v>51480</v>
      </c>
      <c r="S286" s="141">
        <f>Route!S18</f>
        <v>51480</v>
      </c>
      <c r="T286" s="141">
        <f>Route!T18</f>
        <v>51480</v>
      </c>
      <c r="U286" s="141">
        <f>Route!U18</f>
        <v>51480</v>
      </c>
      <c r="V286" s="141">
        <f>Route!V18</f>
        <v>51480</v>
      </c>
      <c r="W286" s="141">
        <f>Route!W18</f>
        <v>51480</v>
      </c>
      <c r="X286" s="141">
        <f>Route!X18</f>
        <v>51480</v>
      </c>
      <c r="Y286" s="141">
        <f>Route!Y18</f>
        <v>51480</v>
      </c>
      <c r="Z286" s="141">
        <f>Route!Z18</f>
        <v>51480</v>
      </c>
      <c r="AA286" s="141">
        <f>Route!AA18</f>
        <v>51480</v>
      </c>
      <c r="AB286" s="141">
        <f>Route!AB18</f>
        <v>51480</v>
      </c>
      <c r="AC286" s="141">
        <f>Route!AC18</f>
        <v>51480</v>
      </c>
      <c r="AD286" s="141">
        <f>Route!AD18</f>
        <v>51480</v>
      </c>
      <c r="AE286" s="141">
        <f>Route!AE18</f>
        <v>51480</v>
      </c>
      <c r="AF286" s="141">
        <f>Route!AF18</f>
        <v>51480</v>
      </c>
      <c r="AG286" s="141">
        <f>Route!AG18</f>
        <v>51480</v>
      </c>
      <c r="AH286" s="141">
        <f>Route!AH18</f>
        <v>51480</v>
      </c>
      <c r="AI286" s="141">
        <f>Route!AI18</f>
        <v>51480</v>
      </c>
      <c r="AJ286" s="141">
        <f>Route!AJ18</f>
        <v>51480</v>
      </c>
      <c r="AK286" s="141">
        <f>Route!AK18</f>
        <v>51480</v>
      </c>
      <c r="AL286" s="141">
        <f>Route!AL18</f>
        <v>51480</v>
      </c>
      <c r="AM286" s="141">
        <f>Route!AM18</f>
        <v>51480</v>
      </c>
      <c r="AN286" s="141">
        <f>Route!AN18</f>
        <v>51480</v>
      </c>
      <c r="AO286" s="141"/>
      <c r="AP286" s="17"/>
    </row>
    <row r="287" spans="1:42" x14ac:dyDescent="0.25">
      <c r="A287" s="12"/>
      <c r="B287" s="13"/>
      <c r="C287" s="136" t="s">
        <v>340</v>
      </c>
      <c r="D287" s="41"/>
      <c r="E287" s="15"/>
      <c r="F287" s="174">
        <v>0.02</v>
      </c>
      <c r="G287" s="14"/>
      <c r="H287" s="159"/>
      <c r="I287" s="159">
        <f>IF(COUNT($I$3:I$3)&gt;(Dashboard!$I$31),$F$287*1,0)</f>
        <v>0</v>
      </c>
      <c r="J287" s="159">
        <f>IF(COUNT($I$3:J$3)&gt;(Dashboard!$I$31),$F$287*1,0)</f>
        <v>0</v>
      </c>
      <c r="K287" s="159">
        <f>IF(COUNT($I$3:K$3)&gt;(Dashboard!$I$31),$F$287*1,0)</f>
        <v>0</v>
      </c>
      <c r="L287" s="159">
        <f>IF(COUNT($I$3:L$3)&gt;(Dashboard!$I$31),$F$287*1,0)</f>
        <v>0</v>
      </c>
      <c r="M287" s="159">
        <f>IF(COUNT($I$3:M$3)&gt;(Dashboard!$I$31),$F$287*1,0)</f>
        <v>0</v>
      </c>
      <c r="N287" s="159">
        <f>IF(COUNT($I$3:N$3)&gt;(Dashboard!$I$31),$F$287*1,0)</f>
        <v>0</v>
      </c>
      <c r="O287" s="159">
        <f>IF(COUNT($I$3:O$3)&gt;(Dashboard!$I$31),$F$287*1,0)</f>
        <v>0</v>
      </c>
      <c r="P287" s="159">
        <f>IF(COUNT($I$3:P$3)&gt;(Dashboard!$I$31),$F$287*1,0)</f>
        <v>0</v>
      </c>
      <c r="Q287" s="159">
        <f>IF(COUNT($I$3:Q$3)&gt;(Dashboard!$I$31),$F$287*1,0)</f>
        <v>0</v>
      </c>
      <c r="R287" s="159">
        <f>IF(COUNT($I$3:R$3)&gt;(Dashboard!$I$31),$F$287*1,0)</f>
        <v>0</v>
      </c>
      <c r="S287" s="159">
        <f>IF(COUNT($I$3:S$3)&gt;(Dashboard!$I$31),$F$287*1,0)</f>
        <v>0</v>
      </c>
      <c r="T287" s="159">
        <f>IF(COUNT($I$3:T$3)&gt;(Dashboard!$I$31),$F$287*1,0)</f>
        <v>0</v>
      </c>
      <c r="U287" s="159">
        <f>IF(COUNT($I$3:U$3)&gt;(Dashboard!$I$31),$F$287*1,0)</f>
        <v>0.02</v>
      </c>
      <c r="V287" s="159">
        <f>IF(COUNT($I$3:V$3)&gt;(Dashboard!$I$31),$F$287*1,0)</f>
        <v>0.02</v>
      </c>
      <c r="W287" s="159">
        <f>IF(COUNT($I$3:W$3)&gt;(Dashboard!$I$31),$F$287*1,0)</f>
        <v>0.02</v>
      </c>
      <c r="X287" s="159">
        <f>IF(COUNT($I$3:X$3)&gt;(Dashboard!$I$31),$F$287*1,0)</f>
        <v>0.02</v>
      </c>
      <c r="Y287" s="159">
        <f>IF(COUNT($I$3:Y$3)&gt;(Dashboard!$I$31),$F$287*1,0)</f>
        <v>0.02</v>
      </c>
      <c r="Z287" s="159">
        <f>IF(COUNT($I$3:Z$3)&gt;(Dashboard!$I$31),$F$287*1,0)</f>
        <v>0.02</v>
      </c>
      <c r="AA287" s="159">
        <f>IF(COUNT($I$3:AA$3)&gt;(Dashboard!$I$31),$F$287*1,0)</f>
        <v>0.02</v>
      </c>
      <c r="AB287" s="159">
        <f>IF(COUNT($I$3:AB$3)&gt;(Dashboard!$I$31),$F$287*1,0)</f>
        <v>0.02</v>
      </c>
      <c r="AC287" s="159">
        <f>IF(COUNT($I$3:AC$3)&gt;(Dashboard!$I$31),$F$287*1,0)</f>
        <v>0.02</v>
      </c>
      <c r="AD287" s="159">
        <f>IF(COUNT($I$3:AD$3)&gt;(Dashboard!$I$31),$F$287*1,0)</f>
        <v>0.02</v>
      </c>
      <c r="AE287" s="159">
        <f>IF(COUNT($I$3:AE$3)&gt;(Dashboard!$I$31),$F$287*1,0)</f>
        <v>0.02</v>
      </c>
      <c r="AF287" s="159">
        <f>IF(COUNT($I$3:AF$3)&gt;(Dashboard!$I$31),$F$287*1,0)</f>
        <v>0.02</v>
      </c>
      <c r="AG287" s="159">
        <f>IF(COUNT($I$3:AG$3)&gt;(Dashboard!$I$31),$F$287*1,0)</f>
        <v>0.02</v>
      </c>
      <c r="AH287" s="159">
        <f>IF(COUNT($I$3:AH$3)&gt;(Dashboard!$I$31),$F$287*1,0)</f>
        <v>0.02</v>
      </c>
      <c r="AI287" s="159">
        <f>IF(COUNT($I$3:AI$3)&gt;(Dashboard!$I$31),$F$287*1,0)</f>
        <v>0.02</v>
      </c>
      <c r="AJ287" s="159">
        <f>IF(COUNT($I$3:AJ$3)&gt;(Dashboard!$I$31),$F$287*1,0)</f>
        <v>0.02</v>
      </c>
      <c r="AK287" s="159">
        <f>IF(COUNT($I$3:AK$3)&gt;(Dashboard!$I$31),$F$287*1,0)</f>
        <v>0.02</v>
      </c>
      <c r="AL287" s="159">
        <f>IF(COUNT($I$3:AL$3)&gt;(Dashboard!$I$31),$F$287*1,0)</f>
        <v>0.02</v>
      </c>
      <c r="AM287" s="159">
        <f>IF(COUNT($I$3:AM$3)&gt;(Dashboard!$I$31),$F$287*1,0)</f>
        <v>0.02</v>
      </c>
      <c r="AN287" s="159">
        <f>IF(COUNT($I$3:AN$3)&gt;(Dashboard!$I$31),$F$287*1,0)</f>
        <v>0.02</v>
      </c>
      <c r="AO287" s="14"/>
      <c r="AP287" s="17"/>
    </row>
    <row r="288" spans="1:42" x14ac:dyDescent="0.25">
      <c r="A288" s="12"/>
      <c r="B288" s="13"/>
      <c r="C288" s="41"/>
      <c r="D288" s="41"/>
      <c r="E288" s="15"/>
      <c r="F288" s="190"/>
      <c r="G288" s="14"/>
      <c r="H288" s="159"/>
      <c r="I288" s="203"/>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4"/>
      <c r="AP288" s="17"/>
    </row>
    <row r="289" spans="1:42" x14ac:dyDescent="0.25">
      <c r="A289" s="12"/>
      <c r="B289" s="13"/>
      <c r="C289" s="41"/>
      <c r="D289" s="41"/>
      <c r="E289" s="15"/>
      <c r="F289" s="190"/>
      <c r="G289" s="14"/>
      <c r="H289" s="159"/>
      <c r="I289" s="56">
        <f>(1-SUM(I$287:$I$287))</f>
        <v>1</v>
      </c>
      <c r="J289" s="56">
        <f>(1-SUM($I$287:J$287))</f>
        <v>1</v>
      </c>
      <c r="K289" s="56">
        <f>(1-SUM($I$287:K$287))</f>
        <v>1</v>
      </c>
      <c r="L289" s="56">
        <f>(1-SUM($I$287:L$287))</f>
        <v>1</v>
      </c>
      <c r="M289" s="56">
        <f>(1-SUM($I$287:M$287))</f>
        <v>1</v>
      </c>
      <c r="N289" s="56">
        <f>(1-SUM($I$287:N$287))</f>
        <v>1</v>
      </c>
      <c r="O289" s="56">
        <f>(1-SUM($I$287:O$287))</f>
        <v>1</v>
      </c>
      <c r="P289" s="56">
        <f>(1-SUM($I$287:P$287))</f>
        <v>1</v>
      </c>
      <c r="Q289" s="56">
        <f>(1-SUM($I$287:Q$287))</f>
        <v>1</v>
      </c>
      <c r="R289" s="56">
        <f>(1-SUM($I$287:R$287))</f>
        <v>1</v>
      </c>
      <c r="S289" s="56">
        <f>(1-SUM($I$287:S$287))</f>
        <v>1</v>
      </c>
      <c r="T289" s="56">
        <f>(1-SUM($I$287:T$287))</f>
        <v>1</v>
      </c>
      <c r="U289" s="56">
        <f>(1-SUM($I$287:U$287))</f>
        <v>0.98</v>
      </c>
      <c r="V289" s="56">
        <f>(1-SUM($I$287:V$287))</f>
        <v>0.96</v>
      </c>
      <c r="W289" s="56">
        <f>(1-SUM($I$287:W$287))</f>
        <v>0.94</v>
      </c>
      <c r="X289" s="56">
        <f>(1-SUM($I$287:X$287))</f>
        <v>0.92</v>
      </c>
      <c r="Y289" s="56">
        <f>(1-SUM($I$287:Y$287))</f>
        <v>0.9</v>
      </c>
      <c r="Z289" s="56">
        <f>(1-SUM($I$287:Z$287))</f>
        <v>0.88</v>
      </c>
      <c r="AA289" s="56">
        <f>(1-SUM($I$287:AA$287))</f>
        <v>0.86</v>
      </c>
      <c r="AB289" s="56">
        <f>(1-SUM($I$287:AB$287))</f>
        <v>0.84</v>
      </c>
      <c r="AC289" s="56">
        <f>(1-SUM($I$287:AC$287))</f>
        <v>0.82000000000000006</v>
      </c>
      <c r="AD289" s="56">
        <f>(1-SUM($I$287:AD$287))</f>
        <v>0.8</v>
      </c>
      <c r="AE289" s="56">
        <f>(1-SUM($I$287:AE$287))</f>
        <v>0.78</v>
      </c>
      <c r="AF289" s="56">
        <f>(1-SUM($I$287:AF$287))</f>
        <v>0.76</v>
      </c>
      <c r="AG289" s="56">
        <f>(1-SUM($I$287:AG$287))</f>
        <v>0.74</v>
      </c>
      <c r="AH289" s="56">
        <f>(1-SUM($I$287:AH$287))</f>
        <v>0.72</v>
      </c>
      <c r="AI289" s="56">
        <f>(1-SUM($I$287:AI$287))</f>
        <v>0.7</v>
      </c>
      <c r="AJ289" s="56">
        <f>(1-SUM($I$287:AJ$287))</f>
        <v>0.67999999999999994</v>
      </c>
      <c r="AK289" s="56">
        <f>(1-SUM($I$287:AK$287))</f>
        <v>0.65999999999999992</v>
      </c>
      <c r="AL289" s="56">
        <f>(1-SUM($I$287:AL$287))</f>
        <v>0.6399999999999999</v>
      </c>
      <c r="AM289" s="56">
        <f>(1-SUM($I$287:AM$287))</f>
        <v>0.61999999999999988</v>
      </c>
      <c r="AN289" s="56">
        <f>(1-SUM($I$287:AN$287))</f>
        <v>0.59999999999999987</v>
      </c>
      <c r="AO289" s="14"/>
      <c r="AP289" s="17"/>
    </row>
    <row r="290" spans="1:42" x14ac:dyDescent="0.25">
      <c r="A290" s="12"/>
      <c r="B290" s="13"/>
      <c r="C290" s="195" t="str">
        <f>C300</f>
        <v>TCO 1: End-of-Life Diesel Bus Replacement with HFCB</v>
      </c>
      <c r="D290" s="195"/>
      <c r="E290" s="192"/>
      <c r="F290" s="16"/>
      <c r="G290" s="191"/>
      <c r="H290" s="196"/>
      <c r="I290" s="196"/>
      <c r="J290" s="196"/>
      <c r="K290" s="196"/>
      <c r="L290" s="196"/>
      <c r="M290" s="196"/>
      <c r="N290" s="196"/>
      <c r="O290" s="196"/>
      <c r="P290" s="196"/>
      <c r="Q290" s="196"/>
      <c r="R290" s="196"/>
      <c r="S290" s="196"/>
      <c r="T290" s="196"/>
      <c r="U290" s="196"/>
      <c r="V290" s="196"/>
      <c r="W290" s="196"/>
      <c r="X290" s="196"/>
      <c r="Y290" s="196"/>
      <c r="Z290" s="196"/>
      <c r="AA290" s="196"/>
      <c r="AB290" s="196"/>
      <c r="AC290" s="191"/>
      <c r="AD290" s="191"/>
      <c r="AE290" s="191"/>
      <c r="AF290" s="191"/>
      <c r="AG290" s="191"/>
      <c r="AH290" s="191"/>
      <c r="AI290" s="191"/>
      <c r="AJ290" s="191"/>
      <c r="AK290" s="191"/>
      <c r="AL290" s="191"/>
      <c r="AM290" s="191"/>
      <c r="AN290" s="191"/>
      <c r="AO290" s="191"/>
      <c r="AP290" s="197"/>
    </row>
    <row r="291" spans="1:42" x14ac:dyDescent="0.25">
      <c r="A291" s="12"/>
      <c r="B291" s="13"/>
      <c r="C291" s="136" t="s">
        <v>252</v>
      </c>
      <c r="D291" s="41"/>
      <c r="E291" s="15" t="s">
        <v>556</v>
      </c>
      <c r="F291" s="16"/>
      <c r="G291" s="14"/>
      <c r="H291" s="159"/>
      <c r="I291" s="159">
        <f>IF(COUNT($I$3:I$3)&lt;=Dashboard!$I$31,I286*1,0)</f>
        <v>51480</v>
      </c>
      <c r="J291" s="159">
        <f>IF(COUNT($I$3:J$3)&lt;=Dashboard!$I$31,J286*1,0)</f>
        <v>51480</v>
      </c>
      <c r="K291" s="159">
        <f>IF(COUNT($I$3:K$3)&lt;=Dashboard!$I$31,K286*1,0)</f>
        <v>51480</v>
      </c>
      <c r="L291" s="159">
        <f>IF(COUNT($I$3:L$3)&lt;=Dashboard!$I$31,L286*1,0)</f>
        <v>51480</v>
      </c>
      <c r="M291" s="159">
        <f>IF(COUNT($I$3:M$3)&lt;=Dashboard!$I$31,M286*1,0)</f>
        <v>51480</v>
      </c>
      <c r="N291" s="159">
        <f>IF(COUNT($I$3:N$3)&lt;=Dashboard!$I$31,N286*1,0)</f>
        <v>51480</v>
      </c>
      <c r="O291" s="159">
        <f>IF(COUNT($I$3:O$3)&lt;=Dashboard!$I$31,O286*1,0)</f>
        <v>51480</v>
      </c>
      <c r="P291" s="159">
        <f>IF(COUNT($I$3:P$3)&lt;=Dashboard!$I$31,P286*1,0)</f>
        <v>51480</v>
      </c>
      <c r="Q291" s="159">
        <f>IF(COUNT($I$3:Q$3)&lt;=Dashboard!$I$31,Q286*1,0)</f>
        <v>51480</v>
      </c>
      <c r="R291" s="159">
        <f>IF(COUNT($I$3:R$3)&lt;=Dashboard!$I$31,R286*1,0)</f>
        <v>51480</v>
      </c>
      <c r="S291" s="159">
        <f>IF(COUNT($I$3:S$3)&lt;=Dashboard!$I$31,S286*1,0)</f>
        <v>51480</v>
      </c>
      <c r="T291" s="159">
        <f>IF(COUNT($I$3:T$3)&lt;=Dashboard!$I$31,T286*1,0)</f>
        <v>51480</v>
      </c>
      <c r="U291" s="159">
        <f>IF(COUNT($I$3:U$3)&lt;=Dashboard!$I$31,U286*1,0)</f>
        <v>0</v>
      </c>
      <c r="V291" s="159">
        <f>IF(COUNT($I$3:V$3)&lt;=Dashboard!$I$31,V286*1,0)</f>
        <v>0</v>
      </c>
      <c r="W291" s="159">
        <f>IF(COUNT($I$3:W$3)&lt;=Dashboard!$I$31,W286*1,0)</f>
        <v>0</v>
      </c>
      <c r="X291" s="159">
        <f>IF(COUNT($I$3:X$3)&lt;=Dashboard!$I$31,X286*1,0)</f>
        <v>0</v>
      </c>
      <c r="Y291" s="159">
        <f>IF(COUNT($I$3:Y$3)&lt;=Dashboard!$I$31,Y286*1,0)</f>
        <v>0</v>
      </c>
      <c r="Z291" s="159">
        <f>IF(COUNT($I$3:Z$3)&lt;=Dashboard!$I$31,Z286*1,0)</f>
        <v>0</v>
      </c>
      <c r="AA291" s="159">
        <f>IF(COUNT($I$3:AA$3)&lt;=Dashboard!$I$31,AA286*1,0)</f>
        <v>0</v>
      </c>
      <c r="AB291" s="159">
        <f>IF(COUNT($I$3:AB$3)&lt;=Dashboard!$I$31,AB286*1,0)</f>
        <v>0</v>
      </c>
      <c r="AC291" s="159">
        <f>IF(COUNT($I$3:AC$3)&lt;=Dashboard!$I$31,AC286*1,0)</f>
        <v>0</v>
      </c>
      <c r="AD291" s="159">
        <f>IF(COUNT($I$3:AD$3)&lt;=Dashboard!$I$31,AD286*1,0)</f>
        <v>0</v>
      </c>
      <c r="AE291" s="159">
        <f>IF(COUNT($I$3:AE$3)&lt;=Dashboard!$I$31,AE286*1,0)</f>
        <v>0</v>
      </c>
      <c r="AF291" s="159">
        <f>IF(COUNT($I$3:AF$3)&lt;=Dashboard!$I$31,AF286*1,0)</f>
        <v>0</v>
      </c>
      <c r="AG291" s="159">
        <f>IF(COUNT($I$3:AG$3)&lt;=Dashboard!$I$31,AG286*1,0)</f>
        <v>0</v>
      </c>
      <c r="AH291" s="159">
        <f>IF(COUNT($I$3:AH$3)&lt;=Dashboard!$I$31,AH286*1,0)</f>
        <v>0</v>
      </c>
      <c r="AI291" s="159">
        <f>IF(COUNT($I$3:AI$3)&lt;=Dashboard!$I$31,AI286*1,0)</f>
        <v>0</v>
      </c>
      <c r="AJ291" s="159">
        <f>IF(COUNT($I$3:AJ$3)&lt;=Dashboard!$I$31,AJ286*1,0)</f>
        <v>0</v>
      </c>
      <c r="AK291" s="159">
        <f>IF(COUNT($I$3:AK$3)&lt;=Dashboard!$I$31,AK286*1,0)</f>
        <v>0</v>
      </c>
      <c r="AL291" s="159">
        <f>IF(COUNT($I$3:AL$3)&lt;=Dashboard!$I$31,AL286*1,0)</f>
        <v>0</v>
      </c>
      <c r="AM291" s="159">
        <f>IF(COUNT($I$3:AM$3)&lt;=Dashboard!$I$31,AM286*1,0)</f>
        <v>0</v>
      </c>
      <c r="AN291" s="159">
        <f>IF(COUNT($I$3:AN$3)&lt;=Dashboard!$I$31,AN286*1,0)</f>
        <v>0</v>
      </c>
      <c r="AO291" s="159"/>
      <c r="AP291" s="17"/>
    </row>
    <row r="292" spans="1:42" x14ac:dyDescent="0.25">
      <c r="A292" s="12"/>
      <c r="B292" s="13"/>
      <c r="C292" s="136" t="s">
        <v>30</v>
      </c>
      <c r="D292" s="41"/>
      <c r="E292" s="15" t="s">
        <v>556</v>
      </c>
      <c r="F292" s="16"/>
      <c r="G292" s="14"/>
      <c r="H292" s="159"/>
      <c r="I292" s="159">
        <f>IF(COUNT($I$3:I$3)&gt;Dashboard!$I$31,I286*1,0)</f>
        <v>0</v>
      </c>
      <c r="J292" s="159">
        <f>IF(COUNT($I$3:J$3)&gt;Dashboard!$I$31,J286*1,0)</f>
        <v>0</v>
      </c>
      <c r="K292" s="159">
        <f>IF(COUNT($I$3:K$3)&gt;Dashboard!$I$31,K286*1,0)</f>
        <v>0</v>
      </c>
      <c r="L292" s="159">
        <f>IF(COUNT($I$3:L$3)&gt;Dashboard!$I$31,L286*1,0)</f>
        <v>0</v>
      </c>
      <c r="M292" s="159">
        <f>IF(COUNT($I$3:M$3)&gt;Dashboard!$I$31,M286*1,0)</f>
        <v>0</v>
      </c>
      <c r="N292" s="159">
        <f>IF(COUNT($I$3:N$3)&gt;Dashboard!$I$31,N286*1,0)</f>
        <v>0</v>
      </c>
      <c r="O292" s="159">
        <f>IF(COUNT($I$3:O$3)&gt;Dashboard!$I$31,O286*1,0)</f>
        <v>0</v>
      </c>
      <c r="P292" s="159">
        <f>IF(COUNT($I$3:P$3)&gt;Dashboard!$I$31,P286*1,0)</f>
        <v>0</v>
      </c>
      <c r="Q292" s="159">
        <f>IF(COUNT($I$3:Q$3)&gt;Dashboard!$I$31,Q286*1,0)</f>
        <v>0</v>
      </c>
      <c r="R292" s="159">
        <f>IF(COUNT($I$3:R$3)&gt;Dashboard!$I$31,R286*1,0)</f>
        <v>0</v>
      </c>
      <c r="S292" s="159">
        <f>IF(COUNT($I$3:S$3)&gt;Dashboard!$I$31,S286*1,0)</f>
        <v>0</v>
      </c>
      <c r="T292" s="159">
        <f>IF(COUNT($I$3:T$3)&gt;Dashboard!$I$31,T286*1,0)</f>
        <v>0</v>
      </c>
      <c r="U292" s="159">
        <f>IF(COUNT($I$3:U$3)&gt;Dashboard!$I$31,U286*1,0)</f>
        <v>51480</v>
      </c>
      <c r="V292" s="159">
        <f>IF(COUNT($I$3:V$3)&gt;Dashboard!$I$31,V286*1,0)</f>
        <v>51480</v>
      </c>
      <c r="W292" s="159">
        <f>IF(COUNT($I$3:W$3)&gt;Dashboard!$I$31,W286*1,0)</f>
        <v>51480</v>
      </c>
      <c r="X292" s="159">
        <f>IF(COUNT($I$3:X$3)&gt;Dashboard!$I$31,X286*1,0)</f>
        <v>51480</v>
      </c>
      <c r="Y292" s="159">
        <f>IF(COUNT($I$3:Y$3)&gt;Dashboard!$I$31,Y286*1,0)</f>
        <v>51480</v>
      </c>
      <c r="Z292" s="159">
        <f>IF(COUNT($I$3:Z$3)&gt;Dashboard!$I$31,Z286*1,0)</f>
        <v>51480</v>
      </c>
      <c r="AA292" s="159">
        <f>IF(COUNT($I$3:AA$3)&gt;Dashboard!$I$31,AA286*1,0)</f>
        <v>51480</v>
      </c>
      <c r="AB292" s="159">
        <f>IF(COUNT($I$3:AB$3)&gt;Dashboard!$I$31,AB286*1,0)</f>
        <v>51480</v>
      </c>
      <c r="AC292" s="159">
        <f>IF(COUNT($I$3:AC$3)&gt;Dashboard!$I$31,AC286*1,0)</f>
        <v>51480</v>
      </c>
      <c r="AD292" s="159">
        <f>IF(COUNT($I$3:AD$3)&gt;Dashboard!$I$31,AD286*1,0)</f>
        <v>51480</v>
      </c>
      <c r="AE292" s="159">
        <f>IF(COUNT($I$3:AE$3)&gt;Dashboard!$I$31,AE286*1,0)</f>
        <v>51480</v>
      </c>
      <c r="AF292" s="159">
        <f>IF(COUNT($I$3:AF$3)&gt;Dashboard!$I$31,AF286*1,0)</f>
        <v>51480</v>
      </c>
      <c r="AG292" s="159">
        <f>IF(COUNT($I$3:AG$3)&gt;Dashboard!$I$31,AG286*1,0)</f>
        <v>51480</v>
      </c>
      <c r="AH292" s="159">
        <f>IF(COUNT($I$3:AH$3)&gt;Dashboard!$I$31,AH286*1,0)</f>
        <v>51480</v>
      </c>
      <c r="AI292" s="159">
        <f>IF(COUNT($I$3:AI$3)&gt;Dashboard!$I$31,AI286*1,0)</f>
        <v>51480</v>
      </c>
      <c r="AJ292" s="159">
        <f>IF(COUNT($I$3:AJ$3)&gt;Dashboard!$I$31,AJ286*1,0)</f>
        <v>51480</v>
      </c>
      <c r="AK292" s="159">
        <f>IF(COUNT($I$3:AK$3)&gt;Dashboard!$I$31,AK286*1,0)</f>
        <v>51480</v>
      </c>
      <c r="AL292" s="159">
        <f>IF(COUNT($I$3:AL$3)&gt;Dashboard!$I$31,AL286*1,0)</f>
        <v>51480</v>
      </c>
      <c r="AM292" s="159">
        <f>IF(COUNT($I$3:AM$3)&gt;Dashboard!$I$31,AM286*1,0)</f>
        <v>51480</v>
      </c>
      <c r="AN292" s="159">
        <f>IF(COUNT($I$3:AN$3)&gt;Dashboard!$I$31,AN286*1,0)</f>
        <v>51480</v>
      </c>
      <c r="AO292" s="159"/>
      <c r="AP292" s="17"/>
    </row>
    <row r="293" spans="1:42" x14ac:dyDescent="0.25">
      <c r="A293" s="12"/>
      <c r="B293" s="13"/>
      <c r="C293" s="136" t="s">
        <v>597</v>
      </c>
      <c r="D293" s="41"/>
      <c r="E293" s="15" t="s">
        <v>556</v>
      </c>
      <c r="F293" s="16"/>
      <c r="G293" s="14"/>
      <c r="H293" s="159"/>
      <c r="I293" s="159">
        <f>IF(I289&gt;(1-(Data!$E$337+1)*Data!$E$351),I292,0)</f>
        <v>0</v>
      </c>
      <c r="J293" s="159">
        <f>IF(J289&gt;(1-(Data!$E$337+1)*Data!$E$351),J292,0)</f>
        <v>0</v>
      </c>
      <c r="K293" s="159">
        <f>IF(K289&gt;(1-(Data!$E$337+1)*Data!$E$351),K292,0)</f>
        <v>0</v>
      </c>
      <c r="L293" s="159">
        <f>IF(L289&gt;(1-(Data!$E$337+1)*Data!$E$351),L292,0)</f>
        <v>0</v>
      </c>
      <c r="M293" s="159">
        <f>IF(M289&gt;(1-(Data!$E$337+1)*Data!$E$351),M292,0)</f>
        <v>0</v>
      </c>
      <c r="N293" s="159">
        <f>IF(N289&gt;(1-(Data!$E$337+1)*Data!$E$351),N292,0)</f>
        <v>0</v>
      </c>
      <c r="O293" s="159">
        <f>IF(O289&gt;(1-(Data!$E$337+1)*Data!$E$351),O292,0)</f>
        <v>0</v>
      </c>
      <c r="P293" s="159">
        <f>IF(P289&gt;(1-(Data!$E$337+1)*Data!$E$351),P292,0)</f>
        <v>0</v>
      </c>
      <c r="Q293" s="159">
        <f>IF(Q289&gt;(1-(Data!$E$337+1)*Data!$E$351),Q292,0)</f>
        <v>0</v>
      </c>
      <c r="R293" s="159">
        <f>IF(R289&gt;(1-(Data!$E$337+1)*Data!$E$351),R292,0)</f>
        <v>0</v>
      </c>
      <c r="S293" s="159">
        <f>IF(S289&gt;(1-(Data!$E$337+1)*Data!$E$351),S292,0)</f>
        <v>0</v>
      </c>
      <c r="T293" s="159">
        <f>IF(T289&gt;(1-(Data!$E$337+1)*Data!$E$351),T292,0)</f>
        <v>0</v>
      </c>
      <c r="U293" s="159">
        <f>IF(U289&gt;(1-(Data!$E$337+1)*Data!$E$351),U292,0)</f>
        <v>51480</v>
      </c>
      <c r="V293" s="159">
        <f>IF(V289&gt;(1-(Data!$E$337+1)*Data!$E$351),V292,0)</f>
        <v>51480</v>
      </c>
      <c r="W293" s="159">
        <f>IF(W289&gt;(1-(Data!$E$337+1)*Data!$E$351),W292,0)</f>
        <v>51480</v>
      </c>
      <c r="X293" s="159">
        <f>IF(X289&gt;(1-(Data!$E$337+1)*Data!$E$351),X292,0)</f>
        <v>51480</v>
      </c>
      <c r="Y293" s="159">
        <f>IF(Y289&gt;(1-(Data!$E$337+1)*Data!$E$351),Y292,0)</f>
        <v>51480</v>
      </c>
      <c r="Z293" s="159">
        <f>IF(Z289&gt;(1-(Data!$E$337+1)*Data!$E$351),Z292,0)</f>
        <v>51480</v>
      </c>
      <c r="AA293" s="159">
        <f>IF(AA289&gt;(1-(Data!$E$337+1)*Data!$E$351),AA292,0)</f>
        <v>51480</v>
      </c>
      <c r="AB293" s="159">
        <f>IF(AB289&gt;(1-(Data!$E$337+1)*Data!$E$351),AB292,0)</f>
        <v>51480</v>
      </c>
      <c r="AC293" s="159">
        <f>IF(AC289&gt;(1-(Data!$E$337+1)*Data!$E$351),AC292,0)</f>
        <v>51480</v>
      </c>
      <c r="AD293" s="159">
        <f>IF(AD289&gt;(1-(Data!$E$337+1)*Data!$E$351),AD292,0)</f>
        <v>51480</v>
      </c>
      <c r="AE293" s="159">
        <f>IF(AE289&gt;(1-(Data!$E$337+1)*Data!$E$351),AE292,0)</f>
        <v>51480</v>
      </c>
      <c r="AF293" s="159">
        <f>IF(AF289&gt;(1-(Data!$E$337+1)*Data!$E$351),AF292,0)</f>
        <v>51480</v>
      </c>
      <c r="AG293" s="159">
        <f>IF(AG289&gt;(1-(Data!$E$337+1)*Data!$E$351),AG292,0)</f>
        <v>51480</v>
      </c>
      <c r="AH293" s="159">
        <f>IF(AH289&gt;(1-(Data!$E$337+1)*Data!$E$351),AH292,0)</f>
        <v>51480</v>
      </c>
      <c r="AI293" s="159">
        <f>IF(AI289&gt;(1-(Data!$E$337+1)*Data!$E$351),AI292,0)</f>
        <v>51480</v>
      </c>
      <c r="AJ293" s="159">
        <f>IF(AJ289&gt;(1-(Data!$E$337+1)*Data!$E$351),AJ292,0)</f>
        <v>51480</v>
      </c>
      <c r="AK293" s="159">
        <f>IF(AK289&gt;(1-(Data!$E$337+1)*Data!$E$351),AK292,0)</f>
        <v>51480</v>
      </c>
      <c r="AL293" s="159">
        <f>IF(AL289&gt;(1-(Data!$E$337+1)*Data!$E$351),AL292,0)</f>
        <v>51480</v>
      </c>
      <c r="AM293" s="159">
        <f>IF(AM289&gt;(1-(Data!$E$337+1)*Data!$E$351),AM292,0)</f>
        <v>51480</v>
      </c>
      <c r="AN293" s="159">
        <f>IF(AN289&gt;(1-(Data!$E$337+1)*Data!$E$351),AN292,0)</f>
        <v>51480</v>
      </c>
      <c r="AO293" s="159"/>
      <c r="AP293" s="17"/>
    </row>
    <row r="294" spans="1:42" x14ac:dyDescent="0.25">
      <c r="A294" s="12"/>
      <c r="B294" s="13"/>
      <c r="C294" s="136"/>
      <c r="D294" s="41"/>
      <c r="E294" s="15"/>
      <c r="F294" s="16"/>
      <c r="G294" s="14"/>
      <c r="H294" s="141"/>
      <c r="I294" s="14"/>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7"/>
    </row>
    <row r="295" spans="1:42" x14ac:dyDescent="0.25">
      <c r="A295" s="12"/>
      <c r="B295" s="13"/>
      <c r="C295" s="195" t="str">
        <f>C418</f>
        <v>TCO 2: Immediate Diesel to HFCB Bus Replacement</v>
      </c>
      <c r="D295" s="195"/>
      <c r="E295" s="192"/>
      <c r="F295" s="16"/>
      <c r="G295" s="191"/>
      <c r="H295" s="196"/>
      <c r="I295" s="198"/>
      <c r="J295" s="198"/>
      <c r="K295" s="198"/>
      <c r="L295" s="198"/>
      <c r="M295" s="198"/>
      <c r="N295" s="198"/>
      <c r="O295" s="198"/>
      <c r="P295" s="198"/>
      <c r="Q295" s="198"/>
      <c r="R295" s="198"/>
      <c r="S295" s="198"/>
      <c r="T295" s="198"/>
      <c r="U295" s="198"/>
      <c r="V295" s="198"/>
      <c r="W295" s="198"/>
      <c r="X295" s="198"/>
      <c r="Y295" s="198"/>
      <c r="Z295" s="198"/>
      <c r="AA295" s="198"/>
      <c r="AB295" s="198"/>
      <c r="AC295" s="198"/>
      <c r="AD295" s="198"/>
      <c r="AE295" s="198"/>
      <c r="AF295" s="198"/>
      <c r="AG295" s="198"/>
      <c r="AH295" s="198"/>
      <c r="AI295" s="198"/>
      <c r="AJ295" s="198"/>
      <c r="AK295" s="198"/>
      <c r="AL295" s="198"/>
      <c r="AM295" s="198"/>
      <c r="AN295" s="198"/>
      <c r="AO295" s="198"/>
      <c r="AP295" s="197"/>
    </row>
    <row r="296" spans="1:42" x14ac:dyDescent="0.25">
      <c r="A296" s="12"/>
      <c r="B296" s="13"/>
      <c r="C296" t="s">
        <v>30</v>
      </c>
      <c r="D296" s="41"/>
      <c r="E296" s="15"/>
      <c r="F296" s="16"/>
      <c r="G296" s="14"/>
      <c r="H296" s="141"/>
      <c r="I296" s="159">
        <f>I286</f>
        <v>51480</v>
      </c>
      <c r="J296" s="159">
        <f t="shared" ref="J296:AB296" si="74">J286</f>
        <v>51480</v>
      </c>
      <c r="K296" s="159">
        <f t="shared" si="74"/>
        <v>51480</v>
      </c>
      <c r="L296" s="159">
        <f t="shared" si="74"/>
        <v>51480</v>
      </c>
      <c r="M296" s="159">
        <f t="shared" si="74"/>
        <v>51480</v>
      </c>
      <c r="N296" s="159">
        <f t="shared" si="74"/>
        <v>51480</v>
      </c>
      <c r="O296" s="159">
        <f t="shared" si="74"/>
        <v>51480</v>
      </c>
      <c r="P296" s="159">
        <f t="shared" si="74"/>
        <v>51480</v>
      </c>
      <c r="Q296" s="159">
        <f t="shared" si="74"/>
        <v>51480</v>
      </c>
      <c r="R296" s="159">
        <f t="shared" si="74"/>
        <v>51480</v>
      </c>
      <c r="S296" s="159">
        <f t="shared" si="74"/>
        <v>51480</v>
      </c>
      <c r="T296" s="159">
        <f t="shared" si="74"/>
        <v>51480</v>
      </c>
      <c r="U296" s="159">
        <f t="shared" si="74"/>
        <v>51480</v>
      </c>
      <c r="V296" s="159">
        <f t="shared" si="74"/>
        <v>51480</v>
      </c>
      <c r="W296" s="159">
        <f t="shared" si="74"/>
        <v>51480</v>
      </c>
      <c r="X296" s="159">
        <f t="shared" si="74"/>
        <v>51480</v>
      </c>
      <c r="Y296" s="159">
        <f t="shared" si="74"/>
        <v>51480</v>
      </c>
      <c r="Z296" s="159">
        <f t="shared" si="74"/>
        <v>51480</v>
      </c>
      <c r="AA296" s="159">
        <f t="shared" si="74"/>
        <v>51480</v>
      </c>
      <c r="AB296" s="159">
        <f t="shared" si="74"/>
        <v>51480</v>
      </c>
      <c r="AC296" s="14"/>
      <c r="AD296" s="14"/>
      <c r="AE296" s="14"/>
      <c r="AF296" s="14"/>
      <c r="AG296" s="14"/>
      <c r="AH296" s="14"/>
      <c r="AI296" s="14"/>
      <c r="AJ296" s="14"/>
      <c r="AK296" s="14"/>
      <c r="AL296" s="14"/>
      <c r="AM296" s="14"/>
      <c r="AN296" s="14"/>
      <c r="AO296" s="14"/>
      <c r="AP296" s="17"/>
    </row>
    <row r="297" spans="1:42" x14ac:dyDescent="0.25">
      <c r="A297" s="12"/>
      <c r="B297" s="13"/>
      <c r="C297" s="41"/>
      <c r="D297" s="41"/>
      <c r="E297" s="15"/>
      <c r="F297" s="16"/>
      <c r="G297" s="14"/>
      <c r="H297" s="141"/>
      <c r="I297" s="141"/>
      <c r="J297" s="151"/>
      <c r="K297" s="151"/>
      <c r="L297" s="151"/>
      <c r="M297" s="151"/>
      <c r="N297" s="151"/>
      <c r="O297" s="151"/>
      <c r="P297" s="151"/>
      <c r="Q297" s="151"/>
      <c r="R297" s="151"/>
      <c r="S297" s="151"/>
      <c r="T297" s="151"/>
      <c r="U297" s="141"/>
      <c r="V297" s="141"/>
      <c r="W297" s="141"/>
      <c r="X297" s="141"/>
      <c r="Y297" s="141"/>
      <c r="Z297" s="141"/>
      <c r="AA297" s="141"/>
      <c r="AB297" s="141"/>
      <c r="AC297" s="14"/>
      <c r="AD297" s="14"/>
      <c r="AE297" s="14"/>
      <c r="AF297" s="14"/>
      <c r="AG297" s="14"/>
      <c r="AH297" s="14"/>
      <c r="AI297" s="14"/>
      <c r="AJ297" s="14"/>
      <c r="AK297" s="14"/>
      <c r="AL297" s="14"/>
      <c r="AM297" s="14"/>
      <c r="AN297" s="14"/>
      <c r="AO297" s="14"/>
      <c r="AP297" s="17"/>
    </row>
    <row r="298" spans="1:42" x14ac:dyDescent="0.25">
      <c r="A298" s="12"/>
      <c r="B298" s="13"/>
      <c r="C298" s="41"/>
      <c r="D298" s="41"/>
      <c r="E298" s="15"/>
      <c r="F298" s="16"/>
      <c r="G298" s="14"/>
      <c r="H298" s="141"/>
      <c r="I298" s="141"/>
      <c r="J298" s="141"/>
      <c r="K298" s="141"/>
      <c r="L298" s="141"/>
      <c r="M298" s="141"/>
      <c r="N298" s="141"/>
      <c r="O298" s="141"/>
      <c r="P298" s="141"/>
      <c r="Q298" s="141"/>
      <c r="R298" s="141"/>
      <c r="S298" s="141"/>
      <c r="T298" s="141"/>
      <c r="U298" s="141"/>
      <c r="V298" s="141"/>
      <c r="W298" s="141"/>
      <c r="X298" s="141"/>
      <c r="Y298" s="141"/>
      <c r="Z298" s="141"/>
      <c r="AA298" s="141"/>
      <c r="AB298" s="141"/>
      <c r="AC298" s="14"/>
      <c r="AD298" s="14"/>
      <c r="AE298" s="14"/>
      <c r="AF298" s="14"/>
      <c r="AG298" s="14"/>
      <c r="AH298" s="14"/>
      <c r="AI298" s="14"/>
      <c r="AJ298" s="14"/>
      <c r="AK298" s="14"/>
      <c r="AL298" s="14"/>
      <c r="AM298" s="14"/>
      <c r="AN298" s="14"/>
      <c r="AO298" s="14"/>
      <c r="AP298" s="17"/>
    </row>
    <row r="299" spans="1:42" x14ac:dyDescent="0.25">
      <c r="A299" s="23"/>
      <c r="B299" s="23"/>
      <c r="C299" s="24" t="s">
        <v>505</v>
      </c>
      <c r="D299" s="24"/>
      <c r="E299" s="25"/>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7"/>
    </row>
    <row r="300" spans="1:42" x14ac:dyDescent="0.25">
      <c r="A300" s="261"/>
      <c r="B300" s="261"/>
      <c r="C300" s="261" t="s">
        <v>598</v>
      </c>
      <c r="D300" s="261"/>
      <c r="E300" s="262"/>
      <c r="F300" s="263"/>
      <c r="G300" s="263"/>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3"/>
      <c r="AD300" s="263"/>
      <c r="AE300" s="263"/>
      <c r="AF300" s="263"/>
      <c r="AG300" s="263"/>
      <c r="AH300" s="263"/>
      <c r="AI300" s="263"/>
      <c r="AJ300" s="263"/>
      <c r="AK300" s="263"/>
      <c r="AL300" s="263"/>
      <c r="AM300" s="263"/>
      <c r="AN300" s="263"/>
      <c r="AO300" s="263"/>
      <c r="AP300" s="265"/>
    </row>
    <row r="301" spans="1:42" hidden="1" outlineLevel="1" x14ac:dyDescent="0.25">
      <c r="A301" s="12"/>
      <c r="B301" s="13"/>
      <c r="C301" s="41"/>
      <c r="D301" s="41"/>
      <c r="E301" s="15"/>
      <c r="F301" s="16"/>
      <c r="G301" s="14"/>
      <c r="H301" s="141"/>
      <c r="I301" s="141"/>
      <c r="J301" s="141"/>
      <c r="K301" s="141"/>
      <c r="L301" s="141"/>
      <c r="M301" s="141"/>
      <c r="N301" s="141"/>
      <c r="O301" s="141"/>
      <c r="P301" s="141"/>
      <c r="Q301" s="141"/>
      <c r="R301" s="141"/>
      <c r="S301" s="141"/>
      <c r="T301" s="141"/>
      <c r="U301" s="141"/>
      <c r="V301" s="141"/>
      <c r="W301" s="141"/>
      <c r="X301" s="141"/>
      <c r="Y301" s="141"/>
      <c r="Z301" s="141"/>
      <c r="AA301" s="141"/>
      <c r="AB301" s="141"/>
      <c r="AC301" s="14"/>
      <c r="AD301" s="14"/>
      <c r="AE301" s="14"/>
      <c r="AF301" s="14"/>
      <c r="AG301" s="14"/>
      <c r="AH301" s="14"/>
      <c r="AI301" s="14"/>
      <c r="AJ301" s="14"/>
      <c r="AK301" s="14"/>
      <c r="AL301" s="14"/>
      <c r="AM301" s="14"/>
      <c r="AN301" s="14"/>
      <c r="AO301" s="14"/>
      <c r="AP301" s="17"/>
    </row>
    <row r="302" spans="1:42" hidden="1" outlineLevel="1" x14ac:dyDescent="0.25">
      <c r="A302" s="12"/>
      <c r="B302" s="13"/>
      <c r="C302" s="37" t="s">
        <v>508</v>
      </c>
      <c r="D302" s="37"/>
      <c r="E302" s="38"/>
      <c r="F302" s="39"/>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17"/>
    </row>
    <row r="303" spans="1:42" hidden="1" outlineLevel="1" x14ac:dyDescent="0.25">
      <c r="A303" s="12"/>
      <c r="B303" s="13"/>
      <c r="C303" s="95" t="s">
        <v>559</v>
      </c>
      <c r="D303" s="14"/>
      <c r="E303" s="15"/>
      <c r="F303" s="16"/>
      <c r="G303" s="14"/>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29"/>
    </row>
    <row r="304" spans="1:42" hidden="1" outlineLevel="1" x14ac:dyDescent="0.25">
      <c r="A304" s="12"/>
      <c r="B304" s="13"/>
      <c r="C304" s="96" t="s">
        <v>120</v>
      </c>
      <c r="D304" s="14"/>
      <c r="E304" s="15" t="s">
        <v>142</v>
      </c>
      <c r="F304" s="158" t="str">
        <f>Dashboard!$I$53</f>
        <v>3 Axle rigid</v>
      </c>
      <c r="G304" s="14"/>
      <c r="H304" s="151">
        <f>IF(COUNT($I$3:I$3)=(Dashboard!$I$31+1),IF($F$304=$C$304,Data!$E$371,0),0)</f>
        <v>0</v>
      </c>
      <c r="I304" s="151">
        <f>IF(COUNT($I$3:J$3)=(Dashboard!$I$31+1),IF($F$304=$C$304,Data!$E$371,0),0)</f>
        <v>0</v>
      </c>
      <c r="J304" s="151">
        <f>IF(COUNT($I$3:K$3)=(Dashboard!$I$31+1),IF($F$304=$C$304,Data!$E$371,0),0)</f>
        <v>0</v>
      </c>
      <c r="K304" s="151">
        <f>IF(COUNT($I$3:L$3)=(Dashboard!$I$31+1),IF($F$304=$C$304,Data!$E$371,0),0)</f>
        <v>0</v>
      </c>
      <c r="L304" s="151">
        <f>IF(COUNT($I$3:M$3)=(Dashboard!$I$31+1),IF($F$304=$C$304,Data!$E$371,0),0)</f>
        <v>0</v>
      </c>
      <c r="M304" s="151">
        <f>IF(COUNT($I$3:N$3)=(Dashboard!$I$31+1),IF($F$304=$C$304,Data!$E$371,0),0)</f>
        <v>0</v>
      </c>
      <c r="N304" s="151">
        <f>IF(COUNT($I$3:O$3)=(Dashboard!$I$31+1),IF($F$304=$C$304,Data!$E$371,0),0)</f>
        <v>0</v>
      </c>
      <c r="O304" s="151">
        <f>IF(COUNT($I$3:P$3)=(Dashboard!$I$31+1),IF($F$304=$C$304,Data!$E$371,0),0)</f>
        <v>0</v>
      </c>
      <c r="P304" s="151">
        <f>IF(COUNT($I$3:Q$3)=(Dashboard!$I$31+1),IF($F$304=$C$304,Data!$E$371,0),0)</f>
        <v>0</v>
      </c>
      <c r="Q304" s="151">
        <f>IF(COUNT($I$3:R$3)=(Dashboard!$I$31+1),IF($F$304=$C$304,Data!$E$371,0),0)</f>
        <v>0</v>
      </c>
      <c r="R304" s="151">
        <f>IF(COUNT($I$3:S$3)=(Dashboard!$I$31+1),IF($F$304=$C$304,Data!$E$371,0),0)</f>
        <v>0</v>
      </c>
      <c r="S304" s="151">
        <f>IF(COUNT($I$3:T$3)=(Dashboard!$I$31+1),IF($F$304=$C$304,Data!$E$371,0),0)</f>
        <v>0</v>
      </c>
      <c r="T304" s="151">
        <f>IF(COUNT($I$3:U$3)=(Dashboard!$I$31+1),IF($F$304=$C$304,Data!$E$371,0),0)</f>
        <v>0</v>
      </c>
      <c r="U304" s="151">
        <f>IF(COUNT($I$3:V$3)=(Dashboard!$I$31+1),IF($F$304=$C$304,Data!$E$371,0),0)</f>
        <v>0</v>
      </c>
      <c r="V304" s="151">
        <f>IF(COUNT($I$3:W$3)=(Dashboard!$I$31+1),IF($F$304=$C$304,Data!$E$371,0),0)</f>
        <v>0</v>
      </c>
      <c r="W304" s="151">
        <f>IF(COUNT($I$3:X$3)=(Dashboard!$I$31+1),IF($F$304=$C$304,Data!$E$371,0),0)</f>
        <v>0</v>
      </c>
      <c r="X304" s="151">
        <f>IF(COUNT($I$3:Y$3)=(Dashboard!$I$31+1),IF($F$304=$C$304,Data!$E$371,0),0)</f>
        <v>0</v>
      </c>
      <c r="Y304" s="151">
        <f>IF(COUNT($I$3:Z$3)=(Dashboard!$I$31+1),IF($F$304=$C$304,Data!$E$371,0),0)</f>
        <v>0</v>
      </c>
      <c r="Z304" s="151">
        <f>IF(COUNT($I$3:AA$3)=(Dashboard!$I$31+1),IF($F$304=$C$304,Data!$E$371,0),0)</f>
        <v>0</v>
      </c>
      <c r="AA304" s="151">
        <f>IF(COUNT($I$3:AB$3)=(Dashboard!$I$31+1),IF($F$304=$C$304,Data!$E$371,0),0)</f>
        <v>0</v>
      </c>
      <c r="AB304" s="151">
        <f>IF(COUNT($I$3:AC$3)=(Dashboard!$I$31+1),IF($F$304=$C$304,Data!$E$371,0),0)</f>
        <v>0</v>
      </c>
      <c r="AC304" s="151">
        <f>IF(COUNT($I$3:AD$3)=(Dashboard!$I$31+1),IF($F$304=$C$304,Data!$E$371,0),0)</f>
        <v>0</v>
      </c>
      <c r="AD304" s="151">
        <f>IF(COUNT($I$3:AE$3)=(Dashboard!$I$31+1),IF($F$304=$C$304,Data!$E$371,0),0)</f>
        <v>0</v>
      </c>
      <c r="AE304" s="151">
        <f>IF(COUNT($I$3:AF$3)=(Dashboard!$I$31+1),IF($F$304=$C$304,Data!$E$371,0),0)</f>
        <v>0</v>
      </c>
      <c r="AF304" s="151">
        <f>IF(COUNT($I$3:AG$3)=(Dashboard!$I$31+1),IF($F$304=$C$304,Data!$E$371,0),0)</f>
        <v>0</v>
      </c>
      <c r="AG304" s="151">
        <f>IF(COUNT($I$3:AH$3)=(Dashboard!$I$31+1),IF($F$304=$C$304,Data!$E$371,0),0)</f>
        <v>0</v>
      </c>
      <c r="AH304" s="151">
        <f>IF(COUNT($I$3:AI$3)=(Dashboard!$I$31+1),IF($F$304=$C$304,Data!$E$371,0),0)</f>
        <v>0</v>
      </c>
      <c r="AI304" s="151">
        <f>IF(COUNT($I$3:AJ$3)=(Dashboard!$I$31+1),IF($F$304=$C$304,Data!$E$371,0),0)</f>
        <v>0</v>
      </c>
      <c r="AJ304" s="151">
        <f>IF(COUNT($I$3:AK$3)=(Dashboard!$I$31+1),IF($F$304=$C$304,Data!$E$371,0),0)</f>
        <v>0</v>
      </c>
      <c r="AK304" s="151">
        <f>IF(COUNT($I$3:AL$3)=(Dashboard!$I$31+1),IF($F$304=$C$304,Data!$E$371,0),0)</f>
        <v>0</v>
      </c>
      <c r="AL304" s="151">
        <f>IF(COUNT($I$3:AM$3)=(Dashboard!$I$31+1),IF($F$304=$C$304,Data!$E$371,0),0)</f>
        <v>0</v>
      </c>
      <c r="AM304" s="151">
        <f>IF(COUNT($I$3:AN$3)=(Dashboard!$I$31+1),IF($F$304=$C$304,Data!$E$371,0),0)</f>
        <v>0</v>
      </c>
      <c r="AN304" s="151">
        <f>IF(COUNT($I$3:AO$3)=(Dashboard!$I$31+1),IF($F$304=$C$304,Data!$E$371,0),0)</f>
        <v>0</v>
      </c>
      <c r="AO304" s="151">
        <f>IF(COUNT($I$3:AP$3)=(Dashboard!$I$31+1),IF($F$304=$C$304,Data!$E$371,0),0)</f>
        <v>0</v>
      </c>
      <c r="AP304" s="29"/>
    </row>
    <row r="305" spans="1:42" hidden="1" outlineLevel="1" x14ac:dyDescent="0.25">
      <c r="A305" s="12"/>
      <c r="B305" s="13"/>
      <c r="C305" s="96" t="s">
        <v>124</v>
      </c>
      <c r="D305" s="14"/>
      <c r="E305" s="15" t="s">
        <v>142</v>
      </c>
      <c r="F305" s="158" t="str">
        <f>Dashboard!$I$53</f>
        <v>3 Axle rigid</v>
      </c>
      <c r="G305" s="14"/>
      <c r="H305" s="151">
        <f>IF(COUNT($I$3:I$3)=(Dashboard!$I$31+1),IF($F$305=$C$305,Data!$E$372,0),0)</f>
        <v>0</v>
      </c>
      <c r="I305" s="151">
        <f>IF(COUNT($I$3:J$3)=(Dashboard!$I$31+1),IF($F$305=$C$305,Data!$E$372,0),0)</f>
        <v>0</v>
      </c>
      <c r="J305" s="151">
        <f>IF(COUNT($I$3:K$3)=(Dashboard!$I$31+1),IF($F$305=$C$305,Data!$E$372,0),0)</f>
        <v>0</v>
      </c>
      <c r="K305" s="151">
        <f>IF(COUNT($I$3:L$3)=(Dashboard!$I$31+1),IF($F$305=$C$305,Data!$E$372,0),0)</f>
        <v>0</v>
      </c>
      <c r="L305" s="151">
        <f>IF(COUNT($I$3:M$3)=(Dashboard!$I$31+1),IF($F$305=$C$305,Data!$E$372,0),0)</f>
        <v>0</v>
      </c>
      <c r="M305" s="151">
        <f>IF(COUNT($I$3:N$3)=(Dashboard!$I$31+1),IF($F$305=$C$305,Data!$E$372,0),0)</f>
        <v>0</v>
      </c>
      <c r="N305" s="151">
        <f>IF(COUNT($I$3:O$3)=(Dashboard!$I$31+1),IF($F$305=$C$305,Data!$E$372,0),0)</f>
        <v>0</v>
      </c>
      <c r="O305" s="151">
        <f>IF(COUNT($I$3:P$3)=(Dashboard!$I$31+1),IF($F$305=$C$305,Data!$E$372,0),0)</f>
        <v>0</v>
      </c>
      <c r="P305" s="151">
        <f>IF(COUNT($I$3:Q$3)=(Dashboard!$I$31+1),IF($F$305=$C$305,Data!$E$372,0),0)</f>
        <v>0</v>
      </c>
      <c r="Q305" s="151">
        <f>IF(COUNT($I$3:R$3)=(Dashboard!$I$31+1),IF($F$305=$C$305,Data!$E$372,0),0)</f>
        <v>0</v>
      </c>
      <c r="R305" s="151">
        <f>IF(COUNT($I$3:S$3)=(Dashboard!$I$31+1),IF($F$305=$C$305,Data!$E$372,0),0)</f>
        <v>0</v>
      </c>
      <c r="S305" s="151">
        <f>IF(COUNT($I$3:T$3)=(Dashboard!$I$31+1),IF($F$305=$C$305,Data!$E$372,0),0)</f>
        <v>0</v>
      </c>
      <c r="T305" s="151">
        <f>IF(COUNT($I$3:U$3)=(Dashboard!$I$31+1),IF($F$305=$C$305,Data!$E$372,0),0)</f>
        <v>890000</v>
      </c>
      <c r="U305" s="151">
        <f>IF(COUNT($I$3:V$3)=(Dashboard!$I$31+1),IF($F$305=$C$305,Data!$E$372,0),0)</f>
        <v>0</v>
      </c>
      <c r="V305" s="151">
        <f>IF(COUNT($I$3:W$3)=(Dashboard!$I$31+1),IF($F$305=$C$305,Data!$E$372,0),0)</f>
        <v>0</v>
      </c>
      <c r="W305" s="151">
        <f>IF(COUNT($I$3:X$3)=(Dashboard!$I$31+1),IF($F$305=$C$305,Data!$E$372,0),0)</f>
        <v>0</v>
      </c>
      <c r="X305" s="151">
        <f>IF(COUNT($I$3:Y$3)=(Dashboard!$I$31+1),IF($F$305=$C$305,Data!$E$372,0),0)</f>
        <v>0</v>
      </c>
      <c r="Y305" s="151">
        <f>IF(COUNT($I$3:Z$3)=(Dashboard!$I$31+1),IF($F$305=$C$305,Data!$E$372,0),0)</f>
        <v>0</v>
      </c>
      <c r="Z305" s="151">
        <f>IF(COUNT($I$3:AA$3)=(Dashboard!$I$31+1),IF($F$305=$C$305,Data!$E$372,0),0)</f>
        <v>0</v>
      </c>
      <c r="AA305" s="151">
        <f>IF(COUNT($I$3:AB$3)=(Dashboard!$I$31+1),IF($F$305=$C$305,Data!$E$372,0),0)</f>
        <v>0</v>
      </c>
      <c r="AB305" s="151">
        <f>IF(COUNT($I$3:AC$3)=(Dashboard!$I$31+1),IF($F$305=$C$305,Data!$E$372,0),0)</f>
        <v>0</v>
      </c>
      <c r="AC305" s="151">
        <f>IF(COUNT($I$3:AD$3)=(Dashboard!$I$31+1),IF($F$305=$C$305,Data!$E$372,0),0)</f>
        <v>0</v>
      </c>
      <c r="AD305" s="151">
        <f>IF(COUNT($I$3:AE$3)=(Dashboard!$I$31+1),IF($F$305=$C$305,Data!$E$372,0),0)</f>
        <v>0</v>
      </c>
      <c r="AE305" s="151">
        <f>IF(COUNT($I$3:AF$3)=(Dashboard!$I$31+1),IF($F$305=$C$305,Data!$E$372,0),0)</f>
        <v>0</v>
      </c>
      <c r="AF305" s="151">
        <f>IF(COUNT($I$3:AG$3)=(Dashboard!$I$31+1),IF($F$305=$C$305,Data!$E$372,0),0)</f>
        <v>0</v>
      </c>
      <c r="AG305" s="151">
        <f>IF(COUNT($I$3:AH$3)=(Dashboard!$I$31+1),IF($F$305=$C$305,Data!$E$372,0),0)</f>
        <v>0</v>
      </c>
      <c r="AH305" s="151">
        <f>IF(COUNT($I$3:AI$3)=(Dashboard!$I$31+1),IF($F$305=$C$305,Data!$E$372,0),0)</f>
        <v>0</v>
      </c>
      <c r="AI305" s="151">
        <f>IF(COUNT($I$3:AJ$3)=(Dashboard!$I$31+1),IF($F$305=$C$305,Data!$E$372,0),0)</f>
        <v>0</v>
      </c>
      <c r="AJ305" s="151">
        <f>IF(COUNT($I$3:AK$3)=(Dashboard!$I$31+1),IF($F$305=$C$305,Data!$E$372,0),0)</f>
        <v>0</v>
      </c>
      <c r="AK305" s="151">
        <f>IF(COUNT($I$3:AL$3)=(Dashboard!$I$31+1),IF($F$305=$C$305,Data!$E$372,0),0)</f>
        <v>0</v>
      </c>
      <c r="AL305" s="151">
        <f>IF(COUNT($I$3:AM$3)=(Dashboard!$I$31+1),IF($F$305=$C$305,Data!$E$372,0),0)</f>
        <v>0</v>
      </c>
      <c r="AM305" s="151">
        <f>IF(COUNT($I$3:AN$3)=(Dashboard!$I$31+1),IF($F$305=$C$305,Data!$E$372,0),0)</f>
        <v>0</v>
      </c>
      <c r="AN305" s="151">
        <f>IF(COUNT($I$3:AO$3)=(Dashboard!$I$31+1),IF($F$305=$C$305,Data!$E$372,0),0)</f>
        <v>0</v>
      </c>
      <c r="AO305" s="151">
        <f>IF(COUNT($I$3:AP$3)=(Dashboard!$I$31+1),IF($F$305=$C$305,Data!$E$372,0),0)</f>
        <v>0</v>
      </c>
      <c r="AP305" s="29"/>
    </row>
    <row r="306" spans="1:42" hidden="1" outlineLevel="1" x14ac:dyDescent="0.25">
      <c r="A306" s="12"/>
      <c r="B306" s="13"/>
      <c r="C306" s="96" t="s">
        <v>126</v>
      </c>
      <c r="D306" s="14"/>
      <c r="E306" s="15" t="s">
        <v>142</v>
      </c>
      <c r="F306" s="158" t="str">
        <f>Dashboard!$I$53</f>
        <v>3 Axle rigid</v>
      </c>
      <c r="G306" s="14"/>
      <c r="H306" s="151">
        <f>IF(COUNT($I$3:I$3)=(Dashboard!$I$31+1),IF($F$306=$C$306,Data!$E$373,0),0)</f>
        <v>0</v>
      </c>
      <c r="I306" s="151">
        <f>IF(COUNT($I$3:J$3)=(Dashboard!$I$31+1),IF($F$306=$C$306,Data!$E$373,0),0)</f>
        <v>0</v>
      </c>
      <c r="J306" s="151">
        <f>IF(COUNT($I$3:K$3)=(Dashboard!$I$31+1),IF($F$306=$C$306,Data!$E$373,0),0)</f>
        <v>0</v>
      </c>
      <c r="K306" s="151">
        <f>IF(COUNT($I$3:L$3)=(Dashboard!$I$31+1),IF($F$306=$C$306,Data!$E$373,0),0)</f>
        <v>0</v>
      </c>
      <c r="L306" s="151">
        <f>IF(COUNT($I$3:M$3)=(Dashboard!$I$31+1),IF($F$306=$C$306,Data!$E$373,0),0)</f>
        <v>0</v>
      </c>
      <c r="M306" s="151">
        <f>IF(COUNT($I$3:N$3)=(Dashboard!$I$31+1),IF($F$306=$C$306,Data!$E$373,0),0)</f>
        <v>0</v>
      </c>
      <c r="N306" s="151">
        <f>IF(COUNT($I$3:O$3)=(Dashboard!$I$31+1),IF($F$306=$C$306,Data!$E$373,0),0)</f>
        <v>0</v>
      </c>
      <c r="O306" s="151">
        <f>IF(COUNT($I$3:P$3)=(Dashboard!$I$31+1),IF($F$306=$C$306,Data!$E$373,0),0)</f>
        <v>0</v>
      </c>
      <c r="P306" s="151">
        <f>IF(COUNT($I$3:Q$3)=(Dashboard!$I$31+1),IF($F$306=$C$306,Data!$E$373,0),0)</f>
        <v>0</v>
      </c>
      <c r="Q306" s="151">
        <f>IF(COUNT($I$3:R$3)=(Dashboard!$I$31+1),IF($F$306=$C$306,Data!$E$373,0),0)</f>
        <v>0</v>
      </c>
      <c r="R306" s="151">
        <f>IF(COUNT($I$3:S$3)=(Dashboard!$I$31+1),IF($F$306=$C$306,Data!$E$373,0),0)</f>
        <v>0</v>
      </c>
      <c r="S306" s="151">
        <f>IF(COUNT($I$3:T$3)=(Dashboard!$I$31+1),IF($F$306=$C$306,Data!$E$373,0),0)</f>
        <v>0</v>
      </c>
      <c r="T306" s="151">
        <f>IF(COUNT($I$3:U$3)=(Dashboard!$I$31+1),IF($F$306=$C$306,Data!$E$373,0),0)</f>
        <v>0</v>
      </c>
      <c r="U306" s="151">
        <f>IF(COUNT($I$3:V$3)=(Dashboard!$I$31+1),IF($F$306=$C$306,Data!$E$373,0),0)</f>
        <v>0</v>
      </c>
      <c r="V306" s="151">
        <f>IF(COUNT($I$3:W$3)=(Dashboard!$I$31+1),IF($F$306=$C$306,Data!$E$373,0),0)</f>
        <v>0</v>
      </c>
      <c r="W306" s="151">
        <f>IF(COUNT($I$3:X$3)=(Dashboard!$I$31+1),IF($F$306=$C$306,Data!$E$373,0),0)</f>
        <v>0</v>
      </c>
      <c r="X306" s="151">
        <f>IF(COUNT($I$3:Y$3)=(Dashboard!$I$31+1),IF($F$306=$C$306,Data!$E$373,0),0)</f>
        <v>0</v>
      </c>
      <c r="Y306" s="151">
        <f>IF(COUNT($I$3:Z$3)=(Dashboard!$I$31+1),IF($F$306=$C$306,Data!$E$373,0),0)</f>
        <v>0</v>
      </c>
      <c r="Z306" s="151">
        <f>IF(COUNT($I$3:AA$3)=(Dashboard!$I$31+1),IF($F$306=$C$306,Data!$E$373,0),0)</f>
        <v>0</v>
      </c>
      <c r="AA306" s="151">
        <f>IF(COUNT($I$3:AB$3)=(Dashboard!$I$31+1),IF($F$306=$C$306,Data!$E$373,0),0)</f>
        <v>0</v>
      </c>
      <c r="AB306" s="151">
        <f>IF(COUNT($I$3:AC$3)=(Dashboard!$I$31+1),IF($F$306=$C$306,Data!$E$373,0),0)</f>
        <v>0</v>
      </c>
      <c r="AC306" s="151">
        <f>IF(COUNT($I$3:AD$3)=(Dashboard!$I$31+1),IF($F$306=$C$306,Data!$E$373,0),0)</f>
        <v>0</v>
      </c>
      <c r="AD306" s="151">
        <f>IF(COUNT($I$3:AE$3)=(Dashboard!$I$31+1),IF($F$306=$C$306,Data!$E$373,0),0)</f>
        <v>0</v>
      </c>
      <c r="AE306" s="151">
        <f>IF(COUNT($I$3:AF$3)=(Dashboard!$I$31+1),IF($F$306=$C$306,Data!$E$373,0),0)</f>
        <v>0</v>
      </c>
      <c r="AF306" s="151">
        <f>IF(COUNT($I$3:AG$3)=(Dashboard!$I$31+1),IF($F$306=$C$306,Data!$E$373,0),0)</f>
        <v>0</v>
      </c>
      <c r="AG306" s="151">
        <f>IF(COUNT($I$3:AH$3)=(Dashboard!$I$31+1),IF($F$306=$C$306,Data!$E$373,0),0)</f>
        <v>0</v>
      </c>
      <c r="AH306" s="151">
        <f>IF(COUNT($I$3:AI$3)=(Dashboard!$I$31+1),IF($F$306=$C$306,Data!$E$373,0),0)</f>
        <v>0</v>
      </c>
      <c r="AI306" s="151">
        <f>IF(COUNT($I$3:AJ$3)=(Dashboard!$I$31+1),IF($F$306=$C$306,Data!$E$373,0),0)</f>
        <v>0</v>
      </c>
      <c r="AJ306" s="151">
        <f>IF(COUNT($I$3:AK$3)=(Dashboard!$I$31+1),IF($F$306=$C$306,Data!$E$373,0),0)</f>
        <v>0</v>
      </c>
      <c r="AK306" s="151">
        <f>IF(COUNT($I$3:AL$3)=(Dashboard!$I$31+1),IF($F$306=$C$306,Data!$E$373,0),0)</f>
        <v>0</v>
      </c>
      <c r="AL306" s="151">
        <f>IF(COUNT($I$3:AM$3)=(Dashboard!$I$31+1),IF($F$306=$C$306,Data!$E$373,0),0)</f>
        <v>0</v>
      </c>
      <c r="AM306" s="151">
        <f>IF(COUNT($I$3:AN$3)=(Dashboard!$I$31+1),IF($F$306=$C$306,Data!$E$373,0),0)</f>
        <v>0</v>
      </c>
      <c r="AN306" s="151">
        <f>IF(COUNT($I$3:AO$3)=(Dashboard!$I$31+1),IF($F$306=$C$306,Data!$E$373,0),0)</f>
        <v>0</v>
      </c>
      <c r="AO306" s="151">
        <f>IF(COUNT($I$3:AP$3)=(Dashboard!$I$31+1),IF($F$306=$C$306,Data!$E$373,0),0)</f>
        <v>0</v>
      </c>
      <c r="AP306" s="29"/>
    </row>
    <row r="307" spans="1:42" hidden="1" outlineLevel="1" x14ac:dyDescent="0.25">
      <c r="A307" s="12"/>
      <c r="B307" s="13"/>
      <c r="C307" s="14"/>
      <c r="D307" s="14"/>
      <c r="E307" s="15"/>
      <c r="F307" s="16"/>
      <c r="G307" s="14"/>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7"/>
    </row>
    <row r="308" spans="1:42" hidden="1" outlineLevel="1" x14ac:dyDescent="0.25">
      <c r="A308" s="12"/>
      <c r="B308" s="13"/>
      <c r="C308" s="19" t="s">
        <v>510</v>
      </c>
      <c r="D308" s="45"/>
      <c r="E308" s="15"/>
      <c r="F308" s="158"/>
      <c r="G308" s="14"/>
      <c r="H308" s="182">
        <f t="shared" ref="H308:AO308" si="75">SUM(H304:H306)</f>
        <v>0</v>
      </c>
      <c r="I308" s="182">
        <f t="shared" si="75"/>
        <v>0</v>
      </c>
      <c r="J308" s="182">
        <f t="shared" si="75"/>
        <v>0</v>
      </c>
      <c r="K308" s="182">
        <f t="shared" si="75"/>
        <v>0</v>
      </c>
      <c r="L308" s="182">
        <f t="shared" si="75"/>
        <v>0</v>
      </c>
      <c r="M308" s="182">
        <f t="shared" si="75"/>
        <v>0</v>
      </c>
      <c r="N308" s="182">
        <f t="shared" si="75"/>
        <v>0</v>
      </c>
      <c r="O308" s="182">
        <f t="shared" si="75"/>
        <v>0</v>
      </c>
      <c r="P308" s="182">
        <f t="shared" si="75"/>
        <v>0</v>
      </c>
      <c r="Q308" s="182">
        <f t="shared" si="75"/>
        <v>0</v>
      </c>
      <c r="R308" s="182">
        <f t="shared" si="75"/>
        <v>0</v>
      </c>
      <c r="S308" s="182">
        <f t="shared" si="75"/>
        <v>0</v>
      </c>
      <c r="T308" s="182">
        <f t="shared" si="75"/>
        <v>890000</v>
      </c>
      <c r="U308" s="182">
        <f t="shared" si="75"/>
        <v>0</v>
      </c>
      <c r="V308" s="182">
        <f t="shared" si="75"/>
        <v>0</v>
      </c>
      <c r="W308" s="182">
        <f t="shared" si="75"/>
        <v>0</v>
      </c>
      <c r="X308" s="182">
        <f t="shared" si="75"/>
        <v>0</v>
      </c>
      <c r="Y308" s="182">
        <f t="shared" si="75"/>
        <v>0</v>
      </c>
      <c r="Z308" s="182">
        <f t="shared" si="75"/>
        <v>0</v>
      </c>
      <c r="AA308" s="182">
        <f t="shared" si="75"/>
        <v>0</v>
      </c>
      <c r="AB308" s="182">
        <f t="shared" si="75"/>
        <v>0</v>
      </c>
      <c r="AC308" s="182">
        <f t="shared" si="75"/>
        <v>0</v>
      </c>
      <c r="AD308" s="182">
        <f t="shared" si="75"/>
        <v>0</v>
      </c>
      <c r="AE308" s="182">
        <f t="shared" si="75"/>
        <v>0</v>
      </c>
      <c r="AF308" s="182">
        <f t="shared" si="75"/>
        <v>0</v>
      </c>
      <c r="AG308" s="182">
        <f t="shared" si="75"/>
        <v>0</v>
      </c>
      <c r="AH308" s="182">
        <f t="shared" si="75"/>
        <v>0</v>
      </c>
      <c r="AI308" s="182">
        <f t="shared" si="75"/>
        <v>0</v>
      </c>
      <c r="AJ308" s="182">
        <f t="shared" si="75"/>
        <v>0</v>
      </c>
      <c r="AK308" s="182">
        <f t="shared" si="75"/>
        <v>0</v>
      </c>
      <c r="AL308" s="182">
        <f t="shared" si="75"/>
        <v>0</v>
      </c>
      <c r="AM308" s="182">
        <f t="shared" si="75"/>
        <v>0</v>
      </c>
      <c r="AN308" s="182">
        <f t="shared" si="75"/>
        <v>0</v>
      </c>
      <c r="AO308" s="182">
        <f t="shared" si="75"/>
        <v>0</v>
      </c>
      <c r="AP308" s="29"/>
    </row>
    <row r="309" spans="1:42" hidden="1" outlineLevel="1" x14ac:dyDescent="0.25">
      <c r="A309" s="78"/>
      <c r="B309" s="19"/>
      <c r="C309" s="95" t="s">
        <v>560</v>
      </c>
      <c r="D309" s="20"/>
      <c r="E309" s="21" t="s">
        <v>142</v>
      </c>
      <c r="F309" s="158"/>
      <c r="G309" s="20"/>
      <c r="H309" s="20"/>
      <c r="I309" s="185">
        <f>SUM(I313:I313)</f>
        <v>0</v>
      </c>
      <c r="J309" s="244">
        <f t="shared" ref="J309:AO309" si="76">SUM(J313:J313)</f>
        <v>0</v>
      </c>
      <c r="K309" s="244">
        <f t="shared" si="76"/>
        <v>0</v>
      </c>
      <c r="L309" s="244">
        <f t="shared" si="76"/>
        <v>0</v>
      </c>
      <c r="M309" s="244">
        <f t="shared" si="76"/>
        <v>0</v>
      </c>
      <c r="N309" s="244">
        <f t="shared" si="76"/>
        <v>0</v>
      </c>
      <c r="O309" s="244">
        <f t="shared" si="76"/>
        <v>0</v>
      </c>
      <c r="P309" s="244">
        <f t="shared" si="76"/>
        <v>0</v>
      </c>
      <c r="Q309" s="244">
        <f t="shared" si="76"/>
        <v>0</v>
      </c>
      <c r="R309" s="244">
        <f t="shared" si="76"/>
        <v>0</v>
      </c>
      <c r="S309" s="185">
        <f>SUM(S313:S313)</f>
        <v>0</v>
      </c>
      <c r="T309" s="185">
        <f>SUM(T313:T313)</f>
        <v>65487.757792479715</v>
      </c>
      <c r="U309" s="244">
        <f t="shared" si="76"/>
        <v>65487.757792479715</v>
      </c>
      <c r="V309" s="244">
        <f t="shared" si="76"/>
        <v>65487.757792479715</v>
      </c>
      <c r="W309" s="244">
        <f t="shared" si="76"/>
        <v>65487.757792479715</v>
      </c>
      <c r="X309" s="244">
        <f t="shared" si="76"/>
        <v>65487.757792479715</v>
      </c>
      <c r="Y309" s="244">
        <f t="shared" si="76"/>
        <v>65487.757792479715</v>
      </c>
      <c r="Z309" s="244">
        <f t="shared" si="76"/>
        <v>65487.757792479715</v>
      </c>
      <c r="AA309" s="244">
        <f t="shared" si="76"/>
        <v>65487.757792479715</v>
      </c>
      <c r="AB309" s="244">
        <f t="shared" si="76"/>
        <v>65487.757792479715</v>
      </c>
      <c r="AC309" s="244">
        <f t="shared" si="76"/>
        <v>65487.757792479715</v>
      </c>
      <c r="AD309" s="244">
        <f t="shared" si="76"/>
        <v>65487.757792479715</v>
      </c>
      <c r="AE309" s="244">
        <f t="shared" si="76"/>
        <v>65487.757792479715</v>
      </c>
      <c r="AF309" s="244">
        <f t="shared" si="76"/>
        <v>65487.757792479715</v>
      </c>
      <c r="AG309" s="244">
        <f t="shared" si="76"/>
        <v>65487.757792479715</v>
      </c>
      <c r="AH309" s="244">
        <f t="shared" si="76"/>
        <v>65487.757792479715</v>
      </c>
      <c r="AI309" s="244">
        <f t="shared" si="76"/>
        <v>65487.757792479715</v>
      </c>
      <c r="AJ309" s="244">
        <f t="shared" si="76"/>
        <v>65487.757792479715</v>
      </c>
      <c r="AK309" s="244">
        <f t="shared" si="76"/>
        <v>65487.757792479715</v>
      </c>
      <c r="AL309" s="244">
        <f t="shared" si="76"/>
        <v>65487.757792479715</v>
      </c>
      <c r="AM309" s="244">
        <f t="shared" si="76"/>
        <v>65487.757792479715</v>
      </c>
      <c r="AN309" s="244">
        <f t="shared" si="76"/>
        <v>0</v>
      </c>
      <c r="AO309" s="244">
        <f t="shared" si="76"/>
        <v>0</v>
      </c>
      <c r="AP309" s="370"/>
    </row>
    <row r="310" spans="1:42" hidden="1" outlineLevel="1" x14ac:dyDescent="0.25">
      <c r="A310" s="78"/>
      <c r="B310" s="19"/>
      <c r="C310" s="95" t="s">
        <v>561</v>
      </c>
      <c r="D310" s="20"/>
      <c r="E310" s="21" t="s">
        <v>142</v>
      </c>
      <c r="F310" s="158"/>
      <c r="G310" s="20"/>
      <c r="H310" s="20"/>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4"/>
      <c r="AJ310" s="244"/>
      <c r="AK310" s="244"/>
      <c r="AL310" s="244"/>
      <c r="AM310" s="244"/>
      <c r="AN310" s="244"/>
      <c r="AO310" s="244"/>
      <c r="AP310" s="370"/>
    </row>
    <row r="311" spans="1:42" hidden="1" outlineLevel="1" x14ac:dyDescent="0.25">
      <c r="A311" s="12"/>
      <c r="B311" s="13"/>
      <c r="C311" s="19"/>
      <c r="D311" s="45"/>
      <c r="E311" s="15"/>
      <c r="F311" s="16"/>
      <c r="G311" s="14"/>
      <c r="H311" s="382">
        <f>(H308&gt;0)*1</f>
        <v>0</v>
      </c>
      <c r="I311" s="382">
        <f t="shared" ref="I311:AO311" si="77">(I308&gt;0)*1</f>
        <v>0</v>
      </c>
      <c r="J311" s="382">
        <f t="shared" si="77"/>
        <v>0</v>
      </c>
      <c r="K311" s="382">
        <f t="shared" si="77"/>
        <v>0</v>
      </c>
      <c r="L311" s="382">
        <f t="shared" si="77"/>
        <v>0</v>
      </c>
      <c r="M311" s="382">
        <f t="shared" si="77"/>
        <v>0</v>
      </c>
      <c r="N311" s="382">
        <f t="shared" si="77"/>
        <v>0</v>
      </c>
      <c r="O311" s="382">
        <f t="shared" si="77"/>
        <v>0</v>
      </c>
      <c r="P311" s="382">
        <f t="shared" si="77"/>
        <v>0</v>
      </c>
      <c r="Q311" s="382">
        <f t="shared" si="77"/>
        <v>0</v>
      </c>
      <c r="R311" s="382">
        <f t="shared" si="77"/>
        <v>0</v>
      </c>
      <c r="S311" s="382">
        <f>(S308&gt;0)*1</f>
        <v>0</v>
      </c>
      <c r="T311" s="382">
        <f t="shared" si="77"/>
        <v>1</v>
      </c>
      <c r="U311" s="382">
        <f t="shared" si="77"/>
        <v>0</v>
      </c>
      <c r="V311" s="382">
        <f t="shared" si="77"/>
        <v>0</v>
      </c>
      <c r="W311" s="382">
        <f t="shared" si="77"/>
        <v>0</v>
      </c>
      <c r="X311" s="382">
        <f t="shared" si="77"/>
        <v>0</v>
      </c>
      <c r="Y311" s="382">
        <f t="shared" si="77"/>
        <v>0</v>
      </c>
      <c r="Z311" s="382">
        <f t="shared" si="77"/>
        <v>0</v>
      </c>
      <c r="AA311" s="382">
        <f t="shared" si="77"/>
        <v>0</v>
      </c>
      <c r="AB311" s="382">
        <f t="shared" si="77"/>
        <v>0</v>
      </c>
      <c r="AC311" s="382">
        <f t="shared" si="77"/>
        <v>0</v>
      </c>
      <c r="AD311" s="382">
        <f t="shared" si="77"/>
        <v>0</v>
      </c>
      <c r="AE311" s="382">
        <f t="shared" si="77"/>
        <v>0</v>
      </c>
      <c r="AF311" s="382">
        <f t="shared" si="77"/>
        <v>0</v>
      </c>
      <c r="AG311" s="382">
        <f t="shared" si="77"/>
        <v>0</v>
      </c>
      <c r="AH311" s="382">
        <f t="shared" si="77"/>
        <v>0</v>
      </c>
      <c r="AI311" s="382">
        <f t="shared" si="77"/>
        <v>0</v>
      </c>
      <c r="AJ311" s="382">
        <f t="shared" si="77"/>
        <v>0</v>
      </c>
      <c r="AK311" s="382">
        <f t="shared" si="77"/>
        <v>0</v>
      </c>
      <c r="AL311" s="382">
        <f t="shared" si="77"/>
        <v>0</v>
      </c>
      <c r="AM311" s="382">
        <f t="shared" si="77"/>
        <v>0</v>
      </c>
      <c r="AN311" s="382">
        <f t="shared" si="77"/>
        <v>0</v>
      </c>
      <c r="AO311" s="382">
        <f t="shared" si="77"/>
        <v>0</v>
      </c>
      <c r="AP311" s="29"/>
    </row>
    <row r="312" spans="1:42" hidden="1" outlineLevel="1" x14ac:dyDescent="0.25">
      <c r="A312" s="12"/>
      <c r="B312" s="13"/>
      <c r="C312" s="14"/>
      <c r="D312" s="379" t="s">
        <v>564</v>
      </c>
      <c r="E312" s="380" t="s">
        <v>565</v>
      </c>
      <c r="F312" s="16"/>
      <c r="G312" s="14"/>
      <c r="H312" s="382">
        <f>SUM($H311:H311)*(H311&gt;0)</f>
        <v>0</v>
      </c>
      <c r="I312" s="382">
        <f>SUM($H311:I311)*(I311&gt;0)</f>
        <v>0</v>
      </c>
      <c r="J312" s="382">
        <f>SUM($H311:J311)*(J311&gt;0)</f>
        <v>0</v>
      </c>
      <c r="K312" s="382">
        <f>SUM($H311:K311)*(K311&gt;0)</f>
        <v>0</v>
      </c>
      <c r="L312" s="382">
        <f>SUM($H311:L311)*(L311&gt;0)</f>
        <v>0</v>
      </c>
      <c r="M312" s="382">
        <f>SUM($H311:M311)*(M311&gt;0)</f>
        <v>0</v>
      </c>
      <c r="N312" s="382">
        <f>SUM($H311:N311)*(N311&gt;0)</f>
        <v>0</v>
      </c>
      <c r="O312" s="382">
        <f>SUM($H311:O311)*(O311&gt;0)</f>
        <v>0</v>
      </c>
      <c r="P312" s="382">
        <f>SUM($H311:P311)*(P311&gt;0)</f>
        <v>0</v>
      </c>
      <c r="Q312" s="382">
        <f>SUM($H311:Q311)*(Q311&gt;0)</f>
        <v>0</v>
      </c>
      <c r="R312" s="382">
        <f>SUM($H311:R311)*(R311&gt;0)</f>
        <v>0</v>
      </c>
      <c r="S312" s="382">
        <f>SUM($H311:S311)*(S311&gt;0)</f>
        <v>0</v>
      </c>
      <c r="T312" s="382">
        <f>SUM($H311:T311)*(T311&gt;0)</f>
        <v>1</v>
      </c>
      <c r="U312" s="382">
        <f>SUM($H311:U311)*(U311&gt;0)</f>
        <v>0</v>
      </c>
      <c r="V312" s="382">
        <f>SUM($H311:V311)*(V311&gt;0)</f>
        <v>0</v>
      </c>
      <c r="W312" s="382">
        <f>SUM($H311:W311)*(W311&gt;0)</f>
        <v>0</v>
      </c>
      <c r="X312" s="382">
        <f>SUM($H311:X311)*(X311&gt;0)</f>
        <v>0</v>
      </c>
      <c r="Y312" s="382">
        <f>SUM($H311:Y311)*(Y311&gt;0)</f>
        <v>0</v>
      </c>
      <c r="Z312" s="382">
        <f>SUM($H311:Z311)*(Z311&gt;0)</f>
        <v>0</v>
      </c>
      <c r="AA312" s="382">
        <f>SUM($H311:AA311)*(AA311&gt;0)</f>
        <v>0</v>
      </c>
      <c r="AB312" s="382">
        <f>SUM($H311:AB311)*(AB311&gt;0)</f>
        <v>0</v>
      </c>
      <c r="AC312" s="382">
        <f>SUM($H311:AC311)*(AC311&gt;0)</f>
        <v>0</v>
      </c>
      <c r="AD312" s="382">
        <f>SUM($H311:AD311)*(AD311&gt;0)</f>
        <v>0</v>
      </c>
      <c r="AE312" s="382">
        <f>SUM($H311:AE311)*(AE311&gt;0)</f>
        <v>0</v>
      </c>
      <c r="AF312" s="382">
        <f>SUM($H311:AF311)*(AF311&gt;0)</f>
        <v>0</v>
      </c>
      <c r="AG312" s="382">
        <f>SUM($H311:AG311)*(AG311&gt;0)</f>
        <v>0</v>
      </c>
      <c r="AH312" s="382">
        <f>SUM($H311:AH311)*(AH311&gt;0)</f>
        <v>0</v>
      </c>
      <c r="AI312" s="382">
        <f>SUM($H311:AI311)*(AI311&gt;0)</f>
        <v>0</v>
      </c>
      <c r="AJ312" s="382">
        <f>SUM($H311:AJ311)*(AJ311&gt;0)</f>
        <v>0</v>
      </c>
      <c r="AK312" s="382">
        <f>SUM($H311:AK311)*(AK311&gt;0)</f>
        <v>0</v>
      </c>
      <c r="AL312" s="382">
        <f>SUM($H311:AL311)*(AL311&gt;0)</f>
        <v>0</v>
      </c>
      <c r="AM312" s="382">
        <f>SUM($H311:AM311)*(AM311&gt;0)</f>
        <v>0</v>
      </c>
      <c r="AN312" s="382">
        <f>SUM($H311:AN311)*(AN311&gt;0)</f>
        <v>0</v>
      </c>
      <c r="AO312" s="382">
        <f>SUM($H311:AO311)*(AO311&gt;0)</f>
        <v>0</v>
      </c>
      <c r="AP312" s="29"/>
    </row>
    <row r="313" spans="1:42" hidden="1" outlineLevel="1" x14ac:dyDescent="0.25">
      <c r="A313" s="12"/>
      <c r="B313" s="13"/>
      <c r="C313" s="95" t="s">
        <v>549</v>
      </c>
      <c r="D313" s="381">
        <f>IFERROR(INDEX($H$308:$AO$308,1,MATCH(1,$H$312:$AO$312,0)),0)</f>
        <v>890000</v>
      </c>
      <c r="E313" s="380">
        <f>IFERROR(INDEX($H$3:$AO$3,1,MATCH(1,$H$312:$AO$312,0)),0)</f>
        <v>12</v>
      </c>
      <c r="F313" s="16"/>
      <c r="G313" s="14"/>
      <c r="H313" s="182">
        <f>-PMT(Data!$E$10,$D$315,$D313,0,0)*(H$3&gt;=$E313)*(H$3&lt;=$E313+$D$315-1)</f>
        <v>0</v>
      </c>
      <c r="I313" s="182">
        <f>-PMT(Data!$E$10,$D$315,$D313,0,0)*(I$3&gt;=$E313)*(I$3&lt;=$E313+$D$315-1)</f>
        <v>0</v>
      </c>
      <c r="J313" s="182">
        <f>-PMT(Data!$E$10,$D$315,$D313,0,0)*(J$3&gt;=$E313)*(J$3&lt;=$E313+$D$315-1)</f>
        <v>0</v>
      </c>
      <c r="K313" s="182">
        <f>-PMT(Data!$E$10,$D$315,$D313,0,0)*(K$3&gt;=$E313)*(K$3&lt;=$E313+$D$315-1)</f>
        <v>0</v>
      </c>
      <c r="L313" s="182">
        <f>-PMT(Data!$E$10,$D$315,$D313,0,0)*(L$3&gt;=$E313)*(L$3&lt;=$E313+$D$315-1)</f>
        <v>0</v>
      </c>
      <c r="M313" s="182">
        <f>-PMT(Data!$E$10,$D$315,$D313,0,0)*(M$3&gt;=$E313)*(M$3&lt;=$E313+$D$315-1)</f>
        <v>0</v>
      </c>
      <c r="N313" s="182">
        <f>-PMT(Data!$E$10,$D$315,$D313,0,0)*(N$3&gt;=$E313)*(N$3&lt;=$E313+$D$315-1)</f>
        <v>0</v>
      </c>
      <c r="O313" s="182">
        <f>-PMT(Data!$E$10,$D$315,$D313,0,0)*(O$3&gt;=$E313)*(O$3&lt;=$E313+$D$315-1)</f>
        <v>0</v>
      </c>
      <c r="P313" s="182">
        <f>-PMT(Data!$E$10,$D$315,$D313,0,0)*(P$3&gt;=$E313)*(P$3&lt;=$E313+$D$315-1)</f>
        <v>0</v>
      </c>
      <c r="Q313" s="182">
        <f>-PMT(Data!$E$10,$D$315,$D313,0,0)*(Q$3&gt;=$E313)*(Q$3&lt;=$E313+$D$315-1)</f>
        <v>0</v>
      </c>
      <c r="R313" s="182">
        <f>-PMT(Data!$E$10,$D$315,$D313,0,0)*(R$3&gt;=$E313)*(R$3&lt;=$E313+$D$315-1)</f>
        <v>0</v>
      </c>
      <c r="S313" s="182">
        <f>-PMT(Data!$E$10,$D$315,$D313,0,0)*(S$3&gt;=$E313)*(S$3&lt;=$E313+$D$315-1)</f>
        <v>0</v>
      </c>
      <c r="T313" s="182">
        <f>-PMT(Data!$E$10,$D$315,$D313,0,0)*(T$3&gt;=$E313)*(T$3&lt;=$E313+$D$315-1)</f>
        <v>65487.757792479715</v>
      </c>
      <c r="U313" s="182">
        <f>-PMT(Data!$E$10,$D$315,$D313,0,0)*(U$3&gt;=$E313)*(U$3&lt;=$E313+$D$315-1)</f>
        <v>65487.757792479715</v>
      </c>
      <c r="V313" s="182">
        <f>-PMT(Data!$E$10,$D$315,$D313,0,0)*(V$3&gt;=$E313)*(V$3&lt;=$E313+$D$315-1)</f>
        <v>65487.757792479715</v>
      </c>
      <c r="W313" s="182">
        <f>-PMT(Data!$E$10,$D$315,$D313,0,0)*(W$3&gt;=$E313)*(W$3&lt;=$E313+$D$315-1)</f>
        <v>65487.757792479715</v>
      </c>
      <c r="X313" s="182">
        <f>-PMT(Data!$E$10,$D$315,$D313,0,0)*(X$3&gt;=$E313)*(X$3&lt;=$E313+$D$315-1)</f>
        <v>65487.757792479715</v>
      </c>
      <c r="Y313" s="182">
        <f>-PMT(Data!$E$10,$D$315,$D313,0,0)*(Y$3&gt;=$E313)*(Y$3&lt;=$E313+$D$315-1)</f>
        <v>65487.757792479715</v>
      </c>
      <c r="Z313" s="182">
        <f>-PMT(Data!$E$10,$D$315,$D313,0,0)*(Z$3&gt;=$E313)*(Z$3&lt;=$E313+$D$315-1)</f>
        <v>65487.757792479715</v>
      </c>
      <c r="AA313" s="182">
        <f>-PMT(Data!$E$10,$D$315,$D313,0,0)*(AA$3&gt;=$E313)*(AA$3&lt;=$E313+$D$315-1)</f>
        <v>65487.757792479715</v>
      </c>
      <c r="AB313" s="182">
        <f>-PMT(Data!$E$10,$D$315,$D313,0,0)*(AB$3&gt;=$E313)*(AB$3&lt;=$E313+$D$315-1)</f>
        <v>65487.757792479715</v>
      </c>
      <c r="AC313" s="182">
        <f>-PMT(Data!$E$10,$D$315,$D313,0,0)*(AC$3&gt;=$E313)*(AC$3&lt;=$E313+$D$315-1)</f>
        <v>65487.757792479715</v>
      </c>
      <c r="AD313" s="182">
        <f>-PMT(Data!$E$10,$D$315,$D313,0,0)*(AD$3&gt;=$E313)*(AD$3&lt;=$E313+$D$315-1)</f>
        <v>65487.757792479715</v>
      </c>
      <c r="AE313" s="182">
        <f>-PMT(Data!$E$10,$D$315,$D313,0,0)*(AE$3&gt;=$E313)*(AE$3&lt;=$E313+$D$315-1)</f>
        <v>65487.757792479715</v>
      </c>
      <c r="AF313" s="182">
        <f>-PMT(Data!$E$10,$D$315,$D313,0,0)*(AF$3&gt;=$E313)*(AF$3&lt;=$E313+$D$315-1)</f>
        <v>65487.757792479715</v>
      </c>
      <c r="AG313" s="182">
        <f>-PMT(Data!$E$10,$D$315,$D313,0,0)*(AG$3&gt;=$E313)*(AG$3&lt;=$E313+$D$315-1)</f>
        <v>65487.757792479715</v>
      </c>
      <c r="AH313" s="182">
        <f>-PMT(Data!$E$10,$D$315,$D313,0,0)*(AH$3&gt;=$E313)*(AH$3&lt;=$E313+$D$315-1)</f>
        <v>65487.757792479715</v>
      </c>
      <c r="AI313" s="182">
        <f>-PMT(Data!$E$10,$D$315,$D313,0,0)*(AI$3&gt;=$E313)*(AI$3&lt;=$E313+$D$315-1)</f>
        <v>65487.757792479715</v>
      </c>
      <c r="AJ313" s="182">
        <f>-PMT(Data!$E$10,$D$315,$D313,0,0)*(AJ$3&gt;=$E313)*(AJ$3&lt;=$E313+$D$315-1)</f>
        <v>65487.757792479715</v>
      </c>
      <c r="AK313" s="182">
        <f>-PMT(Data!$E$10,$D$315,$D313,0,0)*(AK$3&gt;=$E313)*(AK$3&lt;=$E313+$D$315-1)</f>
        <v>65487.757792479715</v>
      </c>
      <c r="AL313" s="182">
        <f>-PMT(Data!$E$10,$D$315,$D313,0,0)*(AL$3&gt;=$E313)*(AL$3&lt;=$E313+$D$315-1)</f>
        <v>65487.757792479715</v>
      </c>
      <c r="AM313" s="182">
        <f>-PMT(Data!$E$10,$D$315,$D313,0,0)*(AM$3&gt;=$E313)*(AM$3&lt;=$E313+$D$315-1)</f>
        <v>65487.757792479715</v>
      </c>
      <c r="AN313" s="182">
        <f>-PMT(Data!$E$10,$D$315,$D313,0,0)*(AN$3&gt;=$E313)*(AN$3&lt;=$E313+$D$315-1)</f>
        <v>0</v>
      </c>
      <c r="AO313" s="182">
        <f>-PMT(Data!$E$10,$D$315,$D313,0,0)*(AO$3&gt;=$E313)*(AO$3&lt;=$E313+$D$315-1)</f>
        <v>0</v>
      </c>
      <c r="AP313" s="29"/>
    </row>
    <row r="314" spans="1:42" hidden="1" outlineLevel="1" x14ac:dyDescent="0.25">
      <c r="A314" s="12"/>
      <c r="B314" s="13"/>
      <c r="C314" s="19"/>
      <c r="D314" s="45"/>
      <c r="E314" s="15"/>
      <c r="F314" s="16"/>
      <c r="G314" s="14"/>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29"/>
    </row>
    <row r="315" spans="1:42" hidden="1" outlineLevel="1" x14ac:dyDescent="0.25">
      <c r="A315" s="12"/>
      <c r="B315" s="13"/>
      <c r="C315" s="95" t="s">
        <v>334</v>
      </c>
      <c r="D315" s="380">
        <f>Data!$E$386</f>
        <v>20</v>
      </c>
      <c r="E315" s="15"/>
      <c r="F315" s="16"/>
      <c r="G315" s="14"/>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29"/>
    </row>
    <row r="316" spans="1:42" hidden="1" outlineLevel="1" x14ac:dyDescent="0.25">
      <c r="A316" s="12"/>
      <c r="B316" s="13"/>
      <c r="C316" s="19" t="s">
        <v>510</v>
      </c>
      <c r="D316" s="45"/>
      <c r="E316" s="15"/>
      <c r="F316" s="158"/>
      <c r="G316" s="14"/>
      <c r="H316" s="182">
        <f>SUM(H313)</f>
        <v>0</v>
      </c>
      <c r="I316" s="182">
        <f t="shared" ref="I316:AO316" si="78">SUM(I313)</f>
        <v>0</v>
      </c>
      <c r="J316" s="182">
        <f t="shared" si="78"/>
        <v>0</v>
      </c>
      <c r="K316" s="182">
        <f t="shared" si="78"/>
        <v>0</v>
      </c>
      <c r="L316" s="182">
        <f t="shared" si="78"/>
        <v>0</v>
      </c>
      <c r="M316" s="182">
        <f>SUM(M313)</f>
        <v>0</v>
      </c>
      <c r="N316" s="182">
        <f t="shared" si="78"/>
        <v>0</v>
      </c>
      <c r="O316" s="182">
        <f t="shared" si="78"/>
        <v>0</v>
      </c>
      <c r="P316" s="182">
        <f t="shared" si="78"/>
        <v>0</v>
      </c>
      <c r="Q316" s="182">
        <f t="shared" si="78"/>
        <v>0</v>
      </c>
      <c r="R316" s="182">
        <f t="shared" si="78"/>
        <v>0</v>
      </c>
      <c r="S316" s="182">
        <f t="shared" si="78"/>
        <v>0</v>
      </c>
      <c r="T316" s="182">
        <f t="shared" si="78"/>
        <v>65487.757792479715</v>
      </c>
      <c r="U316" s="182">
        <f t="shared" si="78"/>
        <v>65487.757792479715</v>
      </c>
      <c r="V316" s="182">
        <f t="shared" si="78"/>
        <v>65487.757792479715</v>
      </c>
      <c r="W316" s="182">
        <f t="shared" si="78"/>
        <v>65487.757792479715</v>
      </c>
      <c r="X316" s="182">
        <f t="shared" si="78"/>
        <v>65487.757792479715</v>
      </c>
      <c r="Y316" s="182">
        <f t="shared" si="78"/>
        <v>65487.757792479715</v>
      </c>
      <c r="Z316" s="182">
        <f t="shared" si="78"/>
        <v>65487.757792479715</v>
      </c>
      <c r="AA316" s="182">
        <f t="shared" si="78"/>
        <v>65487.757792479715</v>
      </c>
      <c r="AB316" s="182">
        <f t="shared" si="78"/>
        <v>65487.757792479715</v>
      </c>
      <c r="AC316" s="182">
        <f t="shared" si="78"/>
        <v>65487.757792479715</v>
      </c>
      <c r="AD316" s="182">
        <f t="shared" si="78"/>
        <v>65487.757792479715</v>
      </c>
      <c r="AE316" s="182">
        <f t="shared" si="78"/>
        <v>65487.757792479715</v>
      </c>
      <c r="AF316" s="182">
        <f t="shared" si="78"/>
        <v>65487.757792479715</v>
      </c>
      <c r="AG316" s="182">
        <f t="shared" si="78"/>
        <v>65487.757792479715</v>
      </c>
      <c r="AH316" s="182">
        <f t="shared" si="78"/>
        <v>65487.757792479715</v>
      </c>
      <c r="AI316" s="182">
        <f t="shared" si="78"/>
        <v>65487.757792479715</v>
      </c>
      <c r="AJ316" s="182">
        <f t="shared" si="78"/>
        <v>65487.757792479715</v>
      </c>
      <c r="AK316" s="182">
        <f t="shared" si="78"/>
        <v>65487.757792479715</v>
      </c>
      <c r="AL316" s="182">
        <f t="shared" si="78"/>
        <v>65487.757792479715</v>
      </c>
      <c r="AM316" s="182">
        <f t="shared" si="78"/>
        <v>65487.757792479715</v>
      </c>
      <c r="AN316" s="182">
        <f t="shared" si="78"/>
        <v>0</v>
      </c>
      <c r="AO316" s="182">
        <f t="shared" si="78"/>
        <v>0</v>
      </c>
      <c r="AP316" s="29"/>
    </row>
    <row r="317" spans="1:42" hidden="1" outlineLevel="1" x14ac:dyDescent="0.25">
      <c r="A317" s="12"/>
      <c r="B317" s="13"/>
      <c r="C317" s="19"/>
      <c r="D317" s="45"/>
      <c r="E317" s="15"/>
      <c r="F317" s="16"/>
      <c r="G317" s="14"/>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29"/>
    </row>
    <row r="318" spans="1:42" hidden="1" outlineLevel="1" x14ac:dyDescent="0.25">
      <c r="A318" s="12"/>
      <c r="B318" s="13"/>
      <c r="C318" s="37" t="s">
        <v>472</v>
      </c>
      <c r="D318" s="37"/>
      <c r="E318" s="38"/>
      <c r="F318" s="39"/>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17"/>
    </row>
    <row r="319" spans="1:42" hidden="1" outlineLevel="1" x14ac:dyDescent="0.25">
      <c r="A319" s="12"/>
      <c r="B319" s="13"/>
      <c r="C319" s="19" t="s">
        <v>599</v>
      </c>
      <c r="D319" s="19"/>
      <c r="E319" s="15"/>
      <c r="F319" s="16"/>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7"/>
    </row>
    <row r="320" spans="1:42" hidden="1" outlineLevel="1" x14ac:dyDescent="0.25">
      <c r="A320" s="12"/>
      <c r="B320" s="13"/>
      <c r="C320" s="20" t="s">
        <v>258</v>
      </c>
      <c r="D320" s="44"/>
      <c r="E320" s="15"/>
      <c r="F320" s="16"/>
      <c r="G320" s="14"/>
      <c r="H320" s="14"/>
      <c r="I320" s="159"/>
      <c r="J320" s="14"/>
      <c r="K320" s="14"/>
      <c r="L320" s="14"/>
      <c r="M320" s="14"/>
      <c r="O320" s="14"/>
      <c r="P320" s="14"/>
      <c r="Q320" s="14"/>
      <c r="R320" s="14"/>
      <c r="S320" s="14"/>
      <c r="T320" s="14"/>
      <c r="U320" s="14"/>
      <c r="V320" s="14"/>
      <c r="X320" s="14"/>
      <c r="Y320" s="14"/>
      <c r="Z320" s="14"/>
      <c r="AA320" s="14"/>
      <c r="AB320" s="14"/>
      <c r="AC320" s="14"/>
      <c r="AD320" s="14"/>
      <c r="AE320" s="14"/>
      <c r="AF320" s="14"/>
      <c r="AG320" s="14"/>
      <c r="AH320" s="14"/>
      <c r="AI320" s="14"/>
      <c r="AJ320" s="14"/>
      <c r="AK320" s="14"/>
      <c r="AL320" s="14"/>
      <c r="AM320" s="14"/>
      <c r="AN320" s="14"/>
      <c r="AO320" s="14"/>
      <c r="AP320" s="17"/>
    </row>
    <row r="321" spans="1:42" hidden="1" outlineLevel="1" x14ac:dyDescent="0.25">
      <c r="A321" s="12"/>
      <c r="B321" s="13"/>
      <c r="C321" s="96" t="s">
        <v>120</v>
      </c>
      <c r="D321" s="45"/>
      <c r="E321" s="15" t="s">
        <v>474</v>
      </c>
      <c r="F321" s="158" t="str">
        <f>Dashboard!$I$53</f>
        <v>3 Axle rigid</v>
      </c>
      <c r="G321" s="14"/>
      <c r="H321" s="150"/>
      <c r="I321" s="177">
        <f>IF($F$321=$C$321,Data!$E$377*I$293,0)</f>
        <v>0</v>
      </c>
      <c r="J321" s="177">
        <f>IF($F$321=$C$321,Data!$E$377*J$293,0)</f>
        <v>0</v>
      </c>
      <c r="K321" s="177">
        <f>IF($F$321=$C$321,Data!$E$377*K$293,0)</f>
        <v>0</v>
      </c>
      <c r="L321" s="177">
        <f>IF($F$321=$C$321,Data!$E$377*L$293,0)</f>
        <v>0</v>
      </c>
      <c r="M321" s="177">
        <f>IF($F$321=$C$321,Data!$E$377*M$293,0)</f>
        <v>0</v>
      </c>
      <c r="N321" s="177">
        <f>IF($F$321=$C$321,Data!$E$377*N$293,0)</f>
        <v>0</v>
      </c>
      <c r="O321" s="177">
        <f>IF($F$321=$C$321,Data!$E$377*O$293,0)</f>
        <v>0</v>
      </c>
      <c r="P321" s="177">
        <f>IF($F$321=$C$321,Data!$E$377*P$293,0)</f>
        <v>0</v>
      </c>
      <c r="Q321" s="177">
        <f>IF($F$321=$C$321,Data!$E$377*Q$293,0)</f>
        <v>0</v>
      </c>
      <c r="R321" s="177">
        <f>IF($F$321=$C$321,Data!$E$377*R$293,0)</f>
        <v>0</v>
      </c>
      <c r="S321" s="177">
        <f>IF($F$321=$C$321,Data!$E$377*S$293,0)</f>
        <v>0</v>
      </c>
      <c r="T321" s="177">
        <f>IF($F$321=$C$321,Data!$E$377*T$293,0)</f>
        <v>0</v>
      </c>
      <c r="U321" s="177">
        <f>IF($F$321=$C$321,Data!$E$377*U$293,0)</f>
        <v>0</v>
      </c>
      <c r="V321" s="177">
        <f>IF($F$321=$C$321,Data!$E$377*V$293,0)</f>
        <v>0</v>
      </c>
      <c r="W321" s="177">
        <f>IF($F$321=$C$321,Data!$E$377*W$293,0)</f>
        <v>0</v>
      </c>
      <c r="X321" s="177">
        <f>IF($F$321=$C$321,Data!$E$377*X$293,0)</f>
        <v>0</v>
      </c>
      <c r="Y321" s="177">
        <f>IF($F$321=$C$321,Data!$E$377*Y$293,0)</f>
        <v>0</v>
      </c>
      <c r="Z321" s="177">
        <f>IF($F$321=$C$321,Data!$E$377*Z$293,0)</f>
        <v>0</v>
      </c>
      <c r="AA321" s="177">
        <f>IF($F$321=$C$321,Data!$E$377*AA$293,0)</f>
        <v>0</v>
      </c>
      <c r="AB321" s="177">
        <f>IF($F$321=$C$321,Data!$E$377*AB$293,0)</f>
        <v>0</v>
      </c>
      <c r="AC321" s="177">
        <f>IF($F$321=$C$321,Data!$E$377*AC$293,0)</f>
        <v>0</v>
      </c>
      <c r="AD321" s="177">
        <f>IF($F$321=$C$321,Data!$E$377*AD$293,0)</f>
        <v>0</v>
      </c>
      <c r="AE321" s="177">
        <f>IF($F$321=$C$321,Data!$E$377*AE$293,0)</f>
        <v>0</v>
      </c>
      <c r="AF321" s="177">
        <f>IF($F$321=$C$321,Data!$E$377*AF$293,0)</f>
        <v>0</v>
      </c>
      <c r="AG321" s="177">
        <f>IF($F$321=$C$321,Data!$E$377*AG$293,0)</f>
        <v>0</v>
      </c>
      <c r="AH321" s="177">
        <f>IF($F$321=$C$321,Data!$E$377*AH$293,0)</f>
        <v>0</v>
      </c>
      <c r="AI321" s="177">
        <f>IF($F$321=$C$321,Data!$E$377*AI$293,0)</f>
        <v>0</v>
      </c>
      <c r="AJ321" s="177">
        <f>IF($F$321=$C$321,Data!$E$377*AJ$293,0)</f>
        <v>0</v>
      </c>
      <c r="AK321" s="177">
        <f>IF($F$321=$C$321,Data!$E$377*AK$293,0)</f>
        <v>0</v>
      </c>
      <c r="AL321" s="177">
        <f>IF($F$321=$C$321,Data!$E$377*AL$293,0)</f>
        <v>0</v>
      </c>
      <c r="AM321" s="177">
        <f>IF($F$321=$C$321,Data!$E$377*AM$293,0)</f>
        <v>0</v>
      </c>
      <c r="AN321" s="177">
        <f>IF($F$321=$C$321,Data!$E$377*AN$293,0)</f>
        <v>0</v>
      </c>
      <c r="AO321" s="177">
        <f>IF($F$321=$C$321,Data!$E$377*AO$293,0)</f>
        <v>0</v>
      </c>
      <c r="AP321" s="29"/>
    </row>
    <row r="322" spans="1:42" hidden="1" outlineLevel="1" x14ac:dyDescent="0.25">
      <c r="A322" s="12"/>
      <c r="B322" s="13"/>
      <c r="C322" s="96" t="s">
        <v>124</v>
      </c>
      <c r="D322" s="45"/>
      <c r="E322" s="15" t="s">
        <v>474</v>
      </c>
      <c r="F322" s="158" t="str">
        <f>Dashboard!$I$53</f>
        <v>3 Axle rigid</v>
      </c>
      <c r="G322" s="14"/>
      <c r="H322" s="150"/>
      <c r="I322" s="177">
        <f>IF($F$322=$C$322,Data!$E$378*I$18,0)</f>
        <v>0</v>
      </c>
      <c r="J322" s="177">
        <f>IF($F$322=$C$322,Data!$E$378*J$18,0)</f>
        <v>0</v>
      </c>
      <c r="K322" s="177">
        <f>IF($F$322=$C$322,Data!$E$378*K$18,0)</f>
        <v>0</v>
      </c>
      <c r="L322" s="177">
        <f>IF($F$322=$C$322,Data!$E$378*L$18,0)</f>
        <v>0</v>
      </c>
      <c r="M322" s="177">
        <f>IF($F$322=$C$322,Data!$E$378*M$18,0)</f>
        <v>0</v>
      </c>
      <c r="N322" s="177">
        <f>IF($F$322=$C$322,Data!$E$378*N$18,0)</f>
        <v>0</v>
      </c>
      <c r="O322" s="177">
        <f>IF($F$322=$C$322,Data!$E$378*O$18,0)</f>
        <v>0</v>
      </c>
      <c r="P322" s="177">
        <f>IF($F$322=$C$322,Data!$E$378*P$18,0)</f>
        <v>0</v>
      </c>
      <c r="Q322" s="177">
        <f>IF($F$322=$C$322,Data!$E$378*Q$18,0)</f>
        <v>0</v>
      </c>
      <c r="R322" s="177">
        <f>IF($F$322=$C$322,Data!$E$378*R$18,0)</f>
        <v>0</v>
      </c>
      <c r="S322" s="177">
        <f>IF($F$322=$C$322,Data!$E$378*S$18,0)</f>
        <v>0</v>
      </c>
      <c r="T322" s="177">
        <f>IF($F$322=$C$322,Data!$E$378*T$18,0)</f>
        <v>0</v>
      </c>
      <c r="U322" s="177">
        <f>IF($F$322=$C$322,Data!$E$378*U$18,0)</f>
        <v>53504.989199999996</v>
      </c>
      <c r="V322" s="177">
        <f>IF($F$322=$C$322,Data!$E$378*V$18,0)</f>
        <v>53504.989199999996</v>
      </c>
      <c r="W322" s="177">
        <f>IF($F$322=$C$322,Data!$E$378*W$18,0)</f>
        <v>53504.989199999996</v>
      </c>
      <c r="X322" s="177">
        <f>IF($F$322=$C$322,Data!$E$378*X$18,0)</f>
        <v>53504.989199999996</v>
      </c>
      <c r="Y322" s="177">
        <f>IF($F$322=$C$322,Data!$E$378*Y$18,0)</f>
        <v>53504.989199999996</v>
      </c>
      <c r="Z322" s="177">
        <f>IF($F$322=$C$322,Data!$E$378*Z$18,0)</f>
        <v>53504.989199999996</v>
      </c>
      <c r="AA322" s="177">
        <f>IF($F$322=$C$322,Data!$E$378*AA$18,0)</f>
        <v>53504.989199999996</v>
      </c>
      <c r="AB322" s="177">
        <f>IF($F$322=$C$322,Data!$E$378*AB$18,0)</f>
        <v>53504.989199999996</v>
      </c>
      <c r="AC322" s="177">
        <f>IF($F$322=$C$322,Data!$E$378*AC$18,0)</f>
        <v>53504.989199999996</v>
      </c>
      <c r="AD322" s="177">
        <f>IF($F$322=$C$322,Data!$E$378*AD$18,0)</f>
        <v>53504.989199999996</v>
      </c>
      <c r="AE322" s="177">
        <f>IF($F$322=$C$322,Data!$E$378*AE$18,0)</f>
        <v>53504.989199999996</v>
      </c>
      <c r="AF322" s="177">
        <f>IF($F$322=$C$322,Data!$E$378*AF$18,0)</f>
        <v>53504.989199999996</v>
      </c>
      <c r="AG322" s="177">
        <f>IF($F$322=$C$322,Data!$E$378*AG$18,0)</f>
        <v>53504.989199999996</v>
      </c>
      <c r="AH322" s="177">
        <f>IF($F$322=$C$322,Data!$E$378*AH$18,0)</f>
        <v>53504.989199999996</v>
      </c>
      <c r="AI322" s="177">
        <f>IF($F$322=$C$322,Data!$E$378*AI$18,0)</f>
        <v>53504.989199999996</v>
      </c>
      <c r="AJ322" s="177">
        <f>IF($F$322=$C$322,Data!$E$378*AJ$18,0)</f>
        <v>53504.989199999996</v>
      </c>
      <c r="AK322" s="177">
        <f>IF($F$322=$C$322,Data!$E$378*AK$18,0)</f>
        <v>53504.989199999996</v>
      </c>
      <c r="AL322" s="177">
        <f>IF($F$322=$C$322,Data!$E$378*AL$18,0)</f>
        <v>53504.989199999996</v>
      </c>
      <c r="AM322" s="177">
        <f>IF($F$322=$C$322,Data!$E$378*AM$18,0)</f>
        <v>53504.989199999996</v>
      </c>
      <c r="AN322" s="177">
        <f>IF($F$322=$C$322,Data!$E$378*AN$18,0)</f>
        <v>53504.989199999996</v>
      </c>
      <c r="AO322" s="177">
        <f>IF($F$322=$C$322,Data!$E$378*AO$18,0)</f>
        <v>0</v>
      </c>
      <c r="AP322" s="29"/>
    </row>
    <row r="323" spans="1:42" hidden="1" outlineLevel="1" x14ac:dyDescent="0.25">
      <c r="A323" s="12"/>
      <c r="B323" s="13"/>
      <c r="C323" s="96" t="s">
        <v>126</v>
      </c>
      <c r="D323" s="45"/>
      <c r="E323" s="15" t="s">
        <v>474</v>
      </c>
      <c r="F323" s="158" t="str">
        <f>Dashboard!$I$53</f>
        <v>3 Axle rigid</v>
      </c>
      <c r="G323" s="14"/>
      <c r="H323" s="150"/>
      <c r="I323" s="177">
        <f>IF($F$323=$C$323,Data!$E$379*I$18,0)</f>
        <v>0</v>
      </c>
      <c r="J323" s="177">
        <f>IF($F$323=$C$323,Data!$E$379*J$18,0)</f>
        <v>0</v>
      </c>
      <c r="K323" s="177">
        <f>IF($F$323=$C$323,Data!$E$379*K$18,0)</f>
        <v>0</v>
      </c>
      <c r="L323" s="177">
        <f>IF($F$323=$C$323,Data!$E$379*L$18,0)</f>
        <v>0</v>
      </c>
      <c r="M323" s="177">
        <f>IF($F$323=$C$323,Data!$E$379*M$18,0)</f>
        <v>0</v>
      </c>
      <c r="N323" s="177">
        <f>IF($F$323=$C$323,Data!$E$379*N$18,0)</f>
        <v>0</v>
      </c>
      <c r="O323" s="177">
        <f>IF($F$323=$C$323,Data!$E$379*O$18,0)</f>
        <v>0</v>
      </c>
      <c r="P323" s="177">
        <f>IF($F$323=$C$323,Data!$E$379*P$18,0)</f>
        <v>0</v>
      </c>
      <c r="Q323" s="177">
        <f>IF($F$323=$C$323,Data!$E$379*Q$18,0)</f>
        <v>0</v>
      </c>
      <c r="R323" s="177">
        <f>IF($F$323=$C$323,Data!$E$379*R$18,0)</f>
        <v>0</v>
      </c>
      <c r="S323" s="177">
        <f>IF($F$323=$C$323,Data!$E$379*S$18,0)</f>
        <v>0</v>
      </c>
      <c r="T323" s="177">
        <f>IF($F$323=$C$323,Data!$E$379*T$18,0)</f>
        <v>0</v>
      </c>
      <c r="U323" s="177">
        <f>IF($F$323=$C$323,Data!$E$379*U$18,0)</f>
        <v>0</v>
      </c>
      <c r="V323" s="177">
        <f>IF($F$323=$C$323,Data!$E$379*V$18,0)</f>
        <v>0</v>
      </c>
      <c r="W323" s="177">
        <f>IF($F$323=$C$323,Data!$E$379*W$18,0)</f>
        <v>0</v>
      </c>
      <c r="X323" s="177">
        <f>IF($F$323=$C$323,Data!$E$379*X$18,0)</f>
        <v>0</v>
      </c>
      <c r="Y323" s="177">
        <f>IF($F$323=$C$323,Data!$E$379*Y$18,0)</f>
        <v>0</v>
      </c>
      <c r="Z323" s="177">
        <f>IF($F$323=$C$323,Data!$E$379*Z$18,0)</f>
        <v>0</v>
      </c>
      <c r="AA323" s="177">
        <f>IF($F$323=$C$323,Data!$E$379*AA$18,0)</f>
        <v>0</v>
      </c>
      <c r="AB323" s="177">
        <f>IF($F$323=$C$323,Data!$E$379*AB$18,0)</f>
        <v>0</v>
      </c>
      <c r="AC323" s="177">
        <f>IF($F$323=$C$323,Data!$E$379*AC$18,0)</f>
        <v>0</v>
      </c>
      <c r="AD323" s="177">
        <f>IF($F$323=$C$323,Data!$E$379*AD$18,0)</f>
        <v>0</v>
      </c>
      <c r="AE323" s="177">
        <f>IF($F$323=$C$323,Data!$E$379*AE$18,0)</f>
        <v>0</v>
      </c>
      <c r="AF323" s="177">
        <f>IF($F$323=$C$323,Data!$E$379*AF$18,0)</f>
        <v>0</v>
      </c>
      <c r="AG323" s="177">
        <f>IF($F$323=$C$323,Data!$E$379*AG$18,0)</f>
        <v>0</v>
      </c>
      <c r="AH323" s="177">
        <f>IF($F$323=$C$323,Data!$E$379*AH$18,0)</f>
        <v>0</v>
      </c>
      <c r="AI323" s="177">
        <f>IF($F$323=$C$323,Data!$E$379*AI$18,0)</f>
        <v>0</v>
      </c>
      <c r="AJ323" s="177">
        <f>IF($F$323=$C$323,Data!$E$379*AJ$18,0)</f>
        <v>0</v>
      </c>
      <c r="AK323" s="177">
        <f>IF($F$323=$C$323,Data!$E$379*AK$18,0)</f>
        <v>0</v>
      </c>
      <c r="AL323" s="177">
        <f>IF($F$323=$C$323,Data!$E$379*AL$18,0)</f>
        <v>0</v>
      </c>
      <c r="AM323" s="177">
        <f>IF($F$323=$C$323,Data!$E$379*AM$18,0)</f>
        <v>0</v>
      </c>
      <c r="AN323" s="177">
        <f>IF($F$323=$C$323,Data!$E$379*AN$18,0)</f>
        <v>0</v>
      </c>
      <c r="AO323" s="177">
        <f>IF($F$323=$C$323,Data!$E$379*AO$18,0)</f>
        <v>0</v>
      </c>
      <c r="AP323" s="29"/>
    </row>
    <row r="324" spans="1:42" hidden="1" outlineLevel="1" x14ac:dyDescent="0.25">
      <c r="A324" s="12"/>
      <c r="B324" s="13"/>
      <c r="C324" s="95"/>
      <c r="D324" s="45"/>
      <c r="E324" s="15"/>
      <c r="F324" s="16"/>
      <c r="G324" s="14"/>
      <c r="H324" s="28"/>
      <c r="I324" s="177"/>
      <c r="J324" s="177"/>
      <c r="K324" s="177"/>
      <c r="L324" s="177"/>
      <c r="M324" s="177"/>
      <c r="N324" s="177"/>
      <c r="O324" s="177"/>
      <c r="P324" s="177"/>
      <c r="Q324" s="177"/>
      <c r="R324" s="177"/>
      <c r="S324" s="177"/>
      <c r="T324" s="177"/>
      <c r="U324" s="177"/>
      <c r="V324" s="177"/>
      <c r="W324" s="177"/>
      <c r="X324" s="177"/>
      <c r="Y324" s="177"/>
      <c r="Z324" s="177"/>
      <c r="AA324" s="177"/>
      <c r="AB324" s="177"/>
      <c r="AC324" s="177"/>
      <c r="AD324" s="28"/>
      <c r="AE324" s="28"/>
      <c r="AF324" s="28"/>
      <c r="AG324" s="28"/>
      <c r="AH324" s="28"/>
      <c r="AI324" s="28"/>
      <c r="AJ324" s="28"/>
      <c r="AK324" s="28"/>
      <c r="AL324" s="28"/>
      <c r="AM324" s="28"/>
      <c r="AN324" s="28"/>
      <c r="AO324" s="28"/>
      <c r="AP324" s="29"/>
    </row>
    <row r="325" spans="1:42" hidden="1" outlineLevel="1" x14ac:dyDescent="0.25">
      <c r="A325" s="12"/>
      <c r="B325" s="13"/>
      <c r="C325" s="44" t="s">
        <v>260</v>
      </c>
      <c r="D325" s="14"/>
      <c r="E325" s="15" t="s">
        <v>318</v>
      </c>
      <c r="F325" s="16"/>
      <c r="G325" s="14"/>
      <c r="H325" s="151"/>
      <c r="I325" s="151">
        <f>Data!$E$382*I$293</f>
        <v>0</v>
      </c>
      <c r="J325" s="151">
        <f>Data!$E$382*J$293</f>
        <v>0</v>
      </c>
      <c r="K325" s="151">
        <f>Data!$E$382*K$293</f>
        <v>0</v>
      </c>
      <c r="L325" s="151">
        <f>Data!$E$382*L$293</f>
        <v>0</v>
      </c>
      <c r="M325" s="151">
        <f>Data!$E$382*M$293</f>
        <v>0</v>
      </c>
      <c r="N325" s="151">
        <f>Data!$E$382*N$293</f>
        <v>0</v>
      </c>
      <c r="O325" s="151">
        <f>Data!$E$382*O$293</f>
        <v>0</v>
      </c>
      <c r="P325" s="151">
        <f>Data!$E$382*P$293</f>
        <v>0</v>
      </c>
      <c r="Q325" s="151">
        <f>Data!$E$382*Q$293</f>
        <v>0</v>
      </c>
      <c r="R325" s="151">
        <f>Data!$E$382*R$293</f>
        <v>0</v>
      </c>
      <c r="S325" s="151">
        <f>Data!$E$382*S$293</f>
        <v>0</v>
      </c>
      <c r="T325" s="151">
        <f>Data!$E$382*T$293</f>
        <v>0</v>
      </c>
      <c r="U325" s="151">
        <f>Data!$E$382*U$293</f>
        <v>18553.392</v>
      </c>
      <c r="V325" s="151">
        <f>Data!$E$382*V$293</f>
        <v>18553.392</v>
      </c>
      <c r="W325" s="151">
        <f>Data!$E$382*W$293</f>
        <v>18553.392</v>
      </c>
      <c r="X325" s="151">
        <f>Data!$E$382*X$293</f>
        <v>18553.392</v>
      </c>
      <c r="Y325" s="151">
        <f>Data!$E$382*Y$293</f>
        <v>18553.392</v>
      </c>
      <c r="Z325" s="151">
        <f>Data!$E$382*Z$293</f>
        <v>18553.392</v>
      </c>
      <c r="AA325" s="151">
        <f>Data!$E$382*AA$293</f>
        <v>18553.392</v>
      </c>
      <c r="AB325" s="151">
        <f>Data!$E$382*AB$293</f>
        <v>18553.392</v>
      </c>
      <c r="AC325" s="151">
        <f>Data!$E$382*AC$293</f>
        <v>18553.392</v>
      </c>
      <c r="AD325" s="151">
        <f>Data!$E$382*AD$293</f>
        <v>18553.392</v>
      </c>
      <c r="AE325" s="151">
        <f>Data!$E$382*AE$293</f>
        <v>18553.392</v>
      </c>
      <c r="AF325" s="151">
        <f>Data!$E$382*AF$293</f>
        <v>18553.392</v>
      </c>
      <c r="AG325" s="151">
        <f>Data!$E$382*AG$293</f>
        <v>18553.392</v>
      </c>
      <c r="AH325" s="151">
        <f>Data!$E$382*AH$293</f>
        <v>18553.392</v>
      </c>
      <c r="AI325" s="151">
        <f>Data!$E$382*AI$293</f>
        <v>18553.392</v>
      </c>
      <c r="AJ325" s="151">
        <f>Data!$E$382*AJ$293</f>
        <v>18553.392</v>
      </c>
      <c r="AK325" s="151">
        <f>Data!$E$382*AK$293</f>
        <v>18553.392</v>
      </c>
      <c r="AL325" s="151">
        <f>Data!$E$382*AL$293</f>
        <v>18553.392</v>
      </c>
      <c r="AM325" s="151">
        <f>Data!$E$382*AM$293</f>
        <v>18553.392</v>
      </c>
      <c r="AN325" s="151">
        <f>Data!$E$382*AN$293</f>
        <v>18553.392</v>
      </c>
      <c r="AO325" s="151">
        <f>Data!$E$382*AO$293</f>
        <v>0</v>
      </c>
      <c r="AP325" s="17"/>
    </row>
    <row r="326" spans="1:42" hidden="1" outlineLevel="1" x14ac:dyDescent="0.25">
      <c r="A326" s="12"/>
      <c r="B326" s="13"/>
      <c r="C326" s="95" t="s">
        <v>570</v>
      </c>
      <c r="D326" s="45"/>
      <c r="E326" s="15"/>
      <c r="F326" s="16"/>
      <c r="G326" s="14"/>
      <c r="H326" s="28"/>
      <c r="I326" s="56"/>
      <c r="J326" s="56"/>
      <c r="K326" s="56"/>
      <c r="L326" s="56"/>
      <c r="M326" s="56"/>
      <c r="N326" s="56"/>
      <c r="O326" s="56"/>
      <c r="P326" s="56"/>
      <c r="Q326" s="56"/>
      <c r="R326" s="56"/>
      <c r="S326" s="56"/>
      <c r="T326" s="56"/>
      <c r="U326" s="56"/>
      <c r="V326" s="56"/>
      <c r="W326" s="56"/>
      <c r="X326" s="56"/>
      <c r="Y326" s="56"/>
      <c r="Z326" s="56"/>
      <c r="AA326" s="56"/>
      <c r="AB326" s="56"/>
      <c r="AC326" s="28"/>
      <c r="AD326" s="28"/>
      <c r="AE326" s="28"/>
      <c r="AF326" s="28"/>
      <c r="AG326" s="28"/>
      <c r="AH326" s="28"/>
      <c r="AI326" s="28"/>
      <c r="AJ326" s="28"/>
      <c r="AK326" s="28"/>
      <c r="AL326" s="28"/>
      <c r="AM326" s="28"/>
      <c r="AN326" s="28"/>
      <c r="AO326" s="28"/>
      <c r="AP326" s="29"/>
    </row>
    <row r="327" spans="1:42" hidden="1" outlineLevel="1" x14ac:dyDescent="0.25">
      <c r="A327" s="12"/>
      <c r="B327" s="13"/>
      <c r="C327" s="96" t="s">
        <v>127</v>
      </c>
      <c r="D327" s="45"/>
      <c r="E327" s="15" t="s">
        <v>475</v>
      </c>
      <c r="F327" s="158" t="str">
        <f>Dashboard!$I$52</f>
        <v>Hilly (Gradient  6%)</v>
      </c>
      <c r="G327" s="14"/>
      <c r="H327" s="28"/>
      <c r="I327" s="178" cm="1">
        <f t="array" ref="I327">INDEX('Control panel'!$F$17:$F$19,MATCH($F327,'Control panel'!$C$17:$C$19,0),0)</f>
        <v>0.15</v>
      </c>
      <c r="J327" s="178" cm="1">
        <f t="array" ref="J327">INDEX('Control panel'!$F$17:$F$19,MATCH($F327,'Control panel'!$C$17:$C$19,0),0)</f>
        <v>0.15</v>
      </c>
      <c r="K327" s="178" cm="1">
        <f t="array" ref="K327">INDEX('Control panel'!$F$17:$F$19,MATCH($F327,'Control panel'!$C$17:$C$19,0),0)</f>
        <v>0.15</v>
      </c>
      <c r="L327" s="178" cm="1">
        <f t="array" ref="L327">INDEX('Control panel'!$F$17:$F$19,MATCH($F327,'Control panel'!$C$17:$C$19,0),0)</f>
        <v>0.15</v>
      </c>
      <c r="M327" s="178" cm="1">
        <f t="array" ref="M327">INDEX('Control panel'!$F$17:$F$19,MATCH($F327,'Control panel'!$C$17:$C$19,0),0)</f>
        <v>0.15</v>
      </c>
      <c r="N327" s="178" cm="1">
        <f t="array" ref="N327">INDEX('Control panel'!$F$17:$F$19,MATCH($F327,'Control panel'!$C$17:$C$19,0),0)</f>
        <v>0.15</v>
      </c>
      <c r="O327" s="178" cm="1">
        <f t="array" ref="O327">INDEX('Control panel'!$F$17:$F$19,MATCH($F327,'Control panel'!$C$17:$C$19,0),0)</f>
        <v>0.15</v>
      </c>
      <c r="P327" s="178" cm="1">
        <f t="array" ref="P327">INDEX('Control panel'!$F$17:$F$19,MATCH($F327,'Control panel'!$C$17:$C$19,0),0)</f>
        <v>0.15</v>
      </c>
      <c r="Q327" s="178" cm="1">
        <f t="array" ref="Q327">INDEX('Control panel'!$F$17:$F$19,MATCH($F327,'Control panel'!$C$17:$C$19,0),0)</f>
        <v>0.15</v>
      </c>
      <c r="R327" s="178" cm="1">
        <f t="array" ref="R327">INDEX('Control panel'!$F$17:$F$19,MATCH($F327,'Control panel'!$C$17:$C$19,0),0)</f>
        <v>0.15</v>
      </c>
      <c r="S327" s="178" cm="1">
        <f t="array" ref="S327">INDEX('Control panel'!$F$17:$F$19,MATCH($F327,'Control panel'!$C$17:$C$19,0),0)</f>
        <v>0.15</v>
      </c>
      <c r="T327" s="178" cm="1">
        <f t="array" ref="T327">INDEX('Control panel'!$F$17:$F$19,MATCH($F327,'Control panel'!$C$17:$C$19,0),0)</f>
        <v>0.15</v>
      </c>
      <c r="U327" s="178" cm="1">
        <f t="array" ref="U327">INDEX('Control panel'!$F$17:$F$19,MATCH($F327,'Control panel'!$C$17:$C$19,0),0)</f>
        <v>0.15</v>
      </c>
      <c r="V327" s="178" cm="1">
        <f t="array" ref="V327">INDEX('Control panel'!$F$17:$F$19,MATCH($F327,'Control panel'!$C$17:$C$19,0),0)</f>
        <v>0.15</v>
      </c>
      <c r="W327" s="178" cm="1">
        <f t="array" ref="W327">INDEX('Control panel'!$F$17:$F$19,MATCH($F327,'Control panel'!$C$17:$C$19,0),0)</f>
        <v>0.15</v>
      </c>
      <c r="X327" s="178" cm="1">
        <f t="array" ref="X327">INDEX('Control panel'!$F$17:$F$19,MATCH($F327,'Control panel'!$C$17:$C$19,0),0)</f>
        <v>0.15</v>
      </c>
      <c r="Y327" s="178" cm="1">
        <f t="array" ref="Y327">INDEX('Control panel'!$F$17:$F$19,MATCH($F327,'Control panel'!$C$17:$C$19,0),0)</f>
        <v>0.15</v>
      </c>
      <c r="Z327" s="178" cm="1">
        <f t="array" ref="Z327">INDEX('Control panel'!$F$17:$F$19,MATCH($F327,'Control panel'!$C$17:$C$19,0),0)</f>
        <v>0.15</v>
      </c>
      <c r="AA327" s="178" cm="1">
        <f t="array" ref="AA327">INDEX('Control panel'!$F$17:$F$19,MATCH($F327,'Control panel'!$C$17:$C$19,0),0)</f>
        <v>0.15</v>
      </c>
      <c r="AB327" s="178" cm="1">
        <f t="array" ref="AB327">INDEX('Control panel'!$F$17:$F$19,MATCH($F327,'Control panel'!$C$17:$C$19,0),0)</f>
        <v>0.15</v>
      </c>
      <c r="AC327" s="178" cm="1">
        <f t="array" ref="AC327">INDEX('Control panel'!$F$17:$F$19,MATCH($F327,'Control panel'!$C$17:$C$19,0),0)</f>
        <v>0.15</v>
      </c>
      <c r="AD327" s="178" cm="1">
        <f t="array" ref="AD327">INDEX('Control panel'!$F$17:$F$19,MATCH($F327,'Control panel'!$C$17:$C$19,0),0)</f>
        <v>0.15</v>
      </c>
      <c r="AE327" s="178" cm="1">
        <f t="array" ref="AE327">INDEX('Control panel'!$F$17:$F$19,MATCH($F327,'Control panel'!$C$17:$C$19,0),0)</f>
        <v>0.15</v>
      </c>
      <c r="AF327" s="178" cm="1">
        <f t="array" ref="AF327">INDEX('Control panel'!$F$17:$F$19,MATCH($F327,'Control panel'!$C$17:$C$19,0),0)</f>
        <v>0.15</v>
      </c>
      <c r="AG327" s="178" cm="1">
        <f t="array" ref="AG327">INDEX('Control panel'!$F$17:$F$19,MATCH($F327,'Control panel'!$C$17:$C$19,0),0)</f>
        <v>0.15</v>
      </c>
      <c r="AH327" s="178" cm="1">
        <f t="array" ref="AH327">INDEX('Control panel'!$F$17:$F$19,MATCH($F327,'Control panel'!$C$17:$C$19,0),0)</f>
        <v>0.15</v>
      </c>
      <c r="AI327" s="178" cm="1">
        <f t="array" ref="AI327">INDEX('Control panel'!$F$17:$F$19,MATCH($F327,'Control panel'!$C$17:$C$19,0),0)</f>
        <v>0.15</v>
      </c>
      <c r="AJ327" s="178" cm="1">
        <f t="array" ref="AJ327">INDEX('Control panel'!$F$17:$F$19,MATCH($F327,'Control panel'!$C$17:$C$19,0),0)</f>
        <v>0.15</v>
      </c>
      <c r="AK327" s="178" cm="1">
        <f t="array" ref="AK327">INDEX('Control panel'!$F$17:$F$19,MATCH($F327,'Control panel'!$C$17:$C$19,0),0)</f>
        <v>0.15</v>
      </c>
      <c r="AL327" s="178" cm="1">
        <f t="array" ref="AL327">INDEX('Control panel'!$F$17:$F$19,MATCH($F327,'Control panel'!$C$17:$C$19,0),0)</f>
        <v>0.15</v>
      </c>
      <c r="AM327" s="178" cm="1">
        <f t="array" ref="AM327">INDEX('Control panel'!$F$17:$F$19,MATCH($F327,'Control panel'!$C$17:$C$19,0),0)</f>
        <v>0.15</v>
      </c>
      <c r="AN327" s="178" cm="1">
        <f t="array" ref="AN327">INDEX('Control panel'!$F$17:$F$19,MATCH($F327,'Control panel'!$C$17:$C$19,0),0)</f>
        <v>0.15</v>
      </c>
      <c r="AO327" s="178" cm="1">
        <f t="array" ref="AO327">INDEX('Control panel'!$F$17:$F$19,MATCH($F327,'Control panel'!$C$17:$C$19,0),0)</f>
        <v>0.15</v>
      </c>
      <c r="AP327" s="29"/>
    </row>
    <row r="328" spans="1:42" ht="15.75" hidden="1" customHeight="1" outlineLevel="1" x14ac:dyDescent="0.25">
      <c r="A328" s="12"/>
      <c r="B328" s="13"/>
      <c r="C328" s="96" t="s">
        <v>120</v>
      </c>
      <c r="D328" s="45"/>
      <c r="E328" s="15"/>
      <c r="F328" s="158" t="str">
        <f>Dashboard!$I$53</f>
        <v>3 Axle rigid</v>
      </c>
      <c r="G328" s="14"/>
      <c r="H328" s="28"/>
      <c r="I328" s="56">
        <f>IF($C$328=$F$328,I$293*Data!$E$389*Data!H$66,0)*(1+I$327)*(1+Data!$E$92)</f>
        <v>0</v>
      </c>
      <c r="J328" s="56">
        <f>IF($C$328=$F$328,J$293*Data!$E$389*Data!I$66,0)*(1+J$327)*(1+Data!$E$92)</f>
        <v>0</v>
      </c>
      <c r="K328" s="56">
        <f>IF($C$328=$F$328,K$293*Data!$E$389*Data!J$66,0)*(1+K$327)*(1+Data!$E$92)</f>
        <v>0</v>
      </c>
      <c r="L328" s="56">
        <f>IF($C$328=$F$328,L$293*Data!$E$389*Data!K$66,0)*(1+L$327)*(1+Data!$E$92)</f>
        <v>0</v>
      </c>
      <c r="M328" s="56">
        <f>IF($C$328=$F$328,M$293*Data!$E$389*Data!L$66,0)*(1+M$327)*(1+Data!$E$92)</f>
        <v>0</v>
      </c>
      <c r="N328" s="56">
        <f>IF($C$328=$F$328,N$293*Data!$E$389*Data!M$66,0)*(1+N$327)*(1+Data!$E$92)</f>
        <v>0</v>
      </c>
      <c r="O328" s="56">
        <f>IF($C$328=$F$328,O$293*Data!$E$389*Data!N$66,0)*(1+O$327)*(1+Data!$E$92)</f>
        <v>0</v>
      </c>
      <c r="P328" s="56">
        <f>IF($C$328=$F$328,P$293*Data!$E$389*Data!O$66,0)*(1+P$327)*(1+Data!$E$92)</f>
        <v>0</v>
      </c>
      <c r="Q328" s="56">
        <f>IF($C$328=$F$328,Q$293*Data!$E$389*Data!P$66,0)*(1+Q$327)*(1+Data!$E$92)</f>
        <v>0</v>
      </c>
      <c r="R328" s="56">
        <f>IF($C$328=$F$328,R$293*Data!$E$389*Data!Q$66,0)*(1+R$327)*(1+Data!$E$92)</f>
        <v>0</v>
      </c>
      <c r="S328" s="56">
        <f>IF($C$328=$F$328,S$293*Data!$E$389*Data!R$66,0)*(1+S$327)*(1+Data!$E$92)</f>
        <v>0</v>
      </c>
      <c r="T328" s="56">
        <f>IF($C$328=$F$328,T$293*Data!$E$389*Data!S$66,0)*(1+T$327)*(1+Data!$E$92)</f>
        <v>0</v>
      </c>
      <c r="U328" s="56">
        <f>IF($C$328=$F$328,U$293*Data!$E$389*Data!T$66,0)*(1+U$327)*(1+Data!$E$92)</f>
        <v>0</v>
      </c>
      <c r="V328" s="56">
        <f>IF($C$328=$F$328,V$293*Data!$E$389*Data!U$66,0)*(1+V$327)*(1+Data!$E$92)</f>
        <v>0</v>
      </c>
      <c r="W328" s="56">
        <f>IF($C$328=$F$328,W$293*Data!$E$389*Data!V$66,0)*(1+W$327)*(1+Data!$E$92)</f>
        <v>0</v>
      </c>
      <c r="X328" s="56">
        <f>IF($C$328=$F$328,X$293*Data!$E$389*Data!W$66,0)*(1+X$327)*(1+Data!$E$92)</f>
        <v>0</v>
      </c>
      <c r="Y328" s="56">
        <f>IF($C$328=$F$328,Y$293*Data!$E$389*Data!X$66,0)*(1+Y$327)*(1+Data!$E$92)</f>
        <v>0</v>
      </c>
      <c r="Z328" s="56">
        <f>IF($C$328=$F$328,Z$293*Data!$E$389*Data!Y$66,0)*(1+Z$327)*(1+Data!$E$92)</f>
        <v>0</v>
      </c>
      <c r="AA328" s="56">
        <f>IF($C$328=$F$328,AA$293*Data!$E$389*Data!Z$66,0)*(1+AA$327)*(1+Data!$E$92)</f>
        <v>0</v>
      </c>
      <c r="AB328" s="56">
        <f>IF($C$328=$F$328,AB$293*Data!$E$389*Data!AA$66,0)*(1+AB$327)*(1+Data!$E$92)</f>
        <v>0</v>
      </c>
      <c r="AC328" s="56">
        <f>IF($C$328=$F$328,AC$293*Data!$E$389*Data!AB$66,0)*(1+AC$327)*(1+Data!$E$92)</f>
        <v>0</v>
      </c>
      <c r="AD328" s="56">
        <f>IF($C$328=$F$328,AD$293*Data!$E$389*Data!AC$66,0)*(1+AD$327)*(1+Data!$E$92)</f>
        <v>0</v>
      </c>
      <c r="AE328" s="56">
        <f>IF($C$328=$F$328,AE$293*Data!$E$389*Data!AD$66,0)*(1+AE$327)*(1+Data!$E$92)</f>
        <v>0</v>
      </c>
      <c r="AF328" s="56">
        <f>IF($C$328=$F$328,AF$293*Data!$E$389*Data!AE$66,0)*(1+AF$327)*(1+Data!$E$92)</f>
        <v>0</v>
      </c>
      <c r="AG328" s="56">
        <f>IF($C$328=$F$328,AG$293*Data!$E$389*Data!AF$66,0)*(1+AG$327)*(1+Data!$E$92)</f>
        <v>0</v>
      </c>
      <c r="AH328" s="56">
        <f>IF($C$328=$F$328,AH$293*Data!$E$389*Data!AG$66,0)*(1+AH$327)*(1+Data!$E$92)</f>
        <v>0</v>
      </c>
      <c r="AI328" s="56">
        <f>IF($C$328=$F$328,AI$293*Data!$E$389*Data!AH$66,0)*(1+AI$327)*(1+Data!$E$92)</f>
        <v>0</v>
      </c>
      <c r="AJ328" s="56">
        <f>IF($C$328=$F$328,AJ$293*Data!$E$389*Data!AI$66,0)*(1+AJ$327)*(1+Data!$E$92)</f>
        <v>0</v>
      </c>
      <c r="AK328" s="56">
        <f>IF($C$328=$F$328,AK$293*Data!$E$389*Data!AJ$66,0)*(1+AK$327)*(1+Data!$E$92)</f>
        <v>0</v>
      </c>
      <c r="AL328" s="56">
        <f>IF($C$328=$F$328,AL$293*Data!$E$389*Data!AK$66,0)*(1+AL$327)*(1+Data!$E$92)</f>
        <v>0</v>
      </c>
      <c r="AM328" s="56">
        <f>IF($C$328=$F$328,AM$293*Data!$E$389*Data!AL$66,0)*(1+AM$327)*(1+Data!$E$92)</f>
        <v>0</v>
      </c>
      <c r="AN328" s="56">
        <f>IF($C$328=$F$328,AN$293*Data!$E$389*Data!AM$66,0)*(1+AN$327)*(1+Data!$E$92)</f>
        <v>0</v>
      </c>
      <c r="AO328" s="56">
        <f>IF($C$328=$F$328,AO$293*Data!$E$389*Data!AN$66,0)*(1+AO$327)*(1+Data!$E$92)</f>
        <v>0</v>
      </c>
      <c r="AP328" s="29"/>
    </row>
    <row r="329" spans="1:42" hidden="1" outlineLevel="1" x14ac:dyDescent="0.25">
      <c r="A329" s="12"/>
      <c r="B329" s="13"/>
      <c r="C329" s="96" t="s">
        <v>124</v>
      </c>
      <c r="D329" s="45"/>
      <c r="E329" s="15"/>
      <c r="F329" s="158" t="str">
        <f>Dashboard!$I$53</f>
        <v>3 Axle rigid</v>
      </c>
      <c r="G329" s="14"/>
      <c r="H329" s="28"/>
      <c r="I329" s="56">
        <f>IF($C$329=$F$329,I$293*Data!$E$390*Data!H$66,0)*(1+I$327)*(1+Data!$E$92)</f>
        <v>0</v>
      </c>
      <c r="J329" s="56">
        <f>IF($C$329=$F$329,J$293*Data!$E$390*Data!I$66,0)*(1+J$327)*(1+Data!$E$92)</f>
        <v>0</v>
      </c>
      <c r="K329" s="56">
        <f>IF($C$329=$F$329,K$293*Data!$E$390*Data!J$66,0)*(1+K$327)*(1+Data!$E$92)</f>
        <v>0</v>
      </c>
      <c r="L329" s="56">
        <f>IF($C$329=$F$329,L$293*Data!$E$390*Data!K$66,0)*(1+L$327)*(1+Data!$E$92)</f>
        <v>0</v>
      </c>
      <c r="M329" s="56">
        <f>IF($C$329=$F$329,M$293*Data!$E$390*Data!L$66,0)*(1+M$327)*(1+Data!$E$92)</f>
        <v>0</v>
      </c>
      <c r="N329" s="56">
        <f>IF($C$329=$F$329,N$293*Data!$E$390*Data!M$66,0)*(1+N$327)*(1+Data!$E$92)</f>
        <v>0</v>
      </c>
      <c r="O329" s="56">
        <f>IF($C$329=$F$329,O$293*Data!$E$390*Data!N$66,0)*(1+O$327)*(1+Data!$E$92)</f>
        <v>0</v>
      </c>
      <c r="P329" s="56">
        <f>IF($C$329=$F$329,P$293*Data!$E$390*Data!O$66,0)*(1+P$327)*(1+Data!$E$92)</f>
        <v>0</v>
      </c>
      <c r="Q329" s="56">
        <f>IF($C$329=$F$329,Q$293*Data!$E$390*Data!P$66,0)*(1+Q$327)*(1+Data!$E$92)</f>
        <v>0</v>
      </c>
      <c r="R329" s="56">
        <f>IF($C$329=$F$329,R$293*Data!$E$390*Data!Q$66,0)*(1+R$327)*(1+Data!$E$92)</f>
        <v>0</v>
      </c>
      <c r="S329" s="56">
        <f>IF($C$329=$F$329,S$293*Data!$E$390*Data!R$66,0)*(1+S$327)*(1+Data!$E$92)</f>
        <v>0</v>
      </c>
      <c r="T329" s="56">
        <f>IF($C$329=$F$329,T$293*Data!$E$390*Data!S$66,0)*(1+T$327)*(1+Data!$E$92)</f>
        <v>0</v>
      </c>
      <c r="U329" s="56">
        <f>IF($C$329=$F$329,U$293*Data!$E$390*Data!T$66,0)*(1+U$327)*(1+Data!$E$92)</f>
        <v>26505.27213966379</v>
      </c>
      <c r="V329" s="56">
        <f>IF($C$329=$F$329,V$293*Data!$E$390*Data!U$66,0)*(1+V$327)*(1+Data!$E$92)</f>
        <v>26032.334537595256</v>
      </c>
      <c r="W329" s="56">
        <f>IF($C$329=$F$329,W$293*Data!$E$390*Data!V$66,0)*(1+W$327)*(1+Data!$E$92)</f>
        <v>25570.383498833333</v>
      </c>
      <c r="X329" s="56">
        <f>IF($C$329=$F$329,X$293*Data!$E$390*Data!W$66,0)*(1+X$327)*(1+Data!$E$92)</f>
        <v>25119.119481120848</v>
      </c>
      <c r="Y329" s="56">
        <f>IF($C$329=$F$329,Y$293*Data!$E$390*Data!X$66,0)*(1+Y$327)*(1+Data!$E$92)</f>
        <v>24678.252058850681</v>
      </c>
      <c r="Z329" s="56">
        <f>IF($C$329=$F$329,Z$293*Data!$E$390*Data!Y$66,0)*(1+Z$327)*(1+Data!$E$92)</f>
        <v>24247.499628580536</v>
      </c>
      <c r="AA329" s="56">
        <f>IF($C$329=$F$329,AA$293*Data!$E$390*Data!Z$66,0)*(1+AA$327)*(1+Data!$E$92)</f>
        <v>23826.58912433665</v>
      </c>
      <c r="AB329" s="56">
        <f>IF($C$329=$F$329,AB$293*Data!$E$390*Data!AA$66,0)*(1+AB$327)*(1+Data!$E$92)</f>
        <v>23415.255742376565</v>
      </c>
      <c r="AC329" s="56">
        <f>IF($C$329=$F$329,AC$293*Data!$E$390*Data!AB$66,0)*(1+AC$327)*(1+Data!$E$92)</f>
        <v>23013.242675092799</v>
      </c>
      <c r="AD329" s="56">
        <f>IF($C$329=$F$329,AD$293*Data!$E$390*Data!AC$66,0)*(1+AD$327)*(1+Data!$E$92)</f>
        <v>22620.300853749548</v>
      </c>
      <c r="AE329" s="56">
        <f>IF($C$329=$F$329,AE$293*Data!$E$390*Data!AD$66,0)*(1+AE$327)*(1+Data!$E$92)</f>
        <v>22236.188699755425</v>
      </c>
      <c r="AF329" s="56">
        <f>IF($C$329=$F$329,AF$293*Data!$E$390*Data!AE$66,0)*(1+AF$327)*(1+Data!$E$92)</f>
        <v>21860.671884184889</v>
      </c>
      <c r="AG329" s="56">
        <f>IF($C$329=$F$329,AG$293*Data!$E$390*Data!AF$66,0)*(1+AG$327)*(1+Data!$E$92)</f>
        <v>21493.523095271023</v>
      </c>
      <c r="AH329" s="56">
        <f>IF($C$329=$F$329,AH$293*Data!$E$390*Data!AG$66,0)*(1+AH$327)*(1+Data!$E$92)</f>
        <v>21134.521813601539</v>
      </c>
      <c r="AI329" s="56">
        <f>IF($C$329=$F$329,AI$293*Data!$E$390*Data!AH$66,0)*(1+AI$327)*(1+Data!$E$92)</f>
        <v>20783.454094759072</v>
      </c>
      <c r="AJ329" s="56">
        <f>IF($C$329=$F$329,AJ$293*Data!$E$390*Data!AI$66,0)*(1+AJ$327)*(1+Data!$E$92)</f>
        <v>20440.112359155526</v>
      </c>
      <c r="AK329" s="56">
        <f>IF($C$329=$F$329,AK$293*Data!$E$390*Data!AJ$66,0)*(1+AK$327)*(1+Data!$E$92)</f>
        <v>20440.112359155526</v>
      </c>
      <c r="AL329" s="56">
        <f>IF($C$329=$F$329,AL$293*Data!$E$390*Data!AK$66,0)*(1+AL$327)*(1+Data!$E$92)</f>
        <v>20440.112359155526</v>
      </c>
      <c r="AM329" s="56">
        <f>IF($C$329=$F$329,AM$293*Data!$E$390*Data!AL$66,0)*(1+AM$327)*(1+Data!$E$92)</f>
        <v>20440.112359155526</v>
      </c>
      <c r="AN329" s="56">
        <f>IF($C$329=$F$329,AN$293*Data!$E$390*Data!AM$66,0)*(1+AN$327)*(1+Data!$E$92)</f>
        <v>20440.112359155526</v>
      </c>
      <c r="AO329" s="56">
        <f>IF($C$329=$F$329,AO$293*Data!$E$390*Data!AN$66,0)*(1+AO$327)*(1+Data!$E$92)</f>
        <v>0</v>
      </c>
      <c r="AP329" s="29"/>
    </row>
    <row r="330" spans="1:42" hidden="1" outlineLevel="1" x14ac:dyDescent="0.25">
      <c r="A330" s="12"/>
      <c r="B330" s="13"/>
      <c r="C330" s="96" t="s">
        <v>126</v>
      </c>
      <c r="D330" s="45"/>
      <c r="E330" s="15"/>
      <c r="F330" s="158" t="str">
        <f>Dashboard!$I$53</f>
        <v>3 Axle rigid</v>
      </c>
      <c r="G330" s="14"/>
      <c r="H330" s="28"/>
      <c r="I330" s="56">
        <f>IF($C$330=$F$330,I$293*Data!$E$391*Data!H$66,0)*(1+I$327)*(1+Data!$E$92)</f>
        <v>0</v>
      </c>
      <c r="J330" s="56">
        <f>IF($C$330=$F$330,J$293*Data!$E$391*Data!I$66,0)*(1+J$327)*(1+Data!$E$92)</f>
        <v>0</v>
      </c>
      <c r="K330" s="56">
        <f>IF($C$330=$F$330,K$293*Data!$E$391*Data!J$66,0)*(1+K$327)*(1+Data!$E$92)</f>
        <v>0</v>
      </c>
      <c r="L330" s="56">
        <f>IF($C$330=$F$330,L$293*Data!$E$391*Data!K$66,0)*(1+L$327)*(1+Data!$E$92)</f>
        <v>0</v>
      </c>
      <c r="M330" s="56">
        <f>IF($C$330=$F$330,M$293*Data!$E$391*Data!L$66,0)*(1+M$327)*(1+Data!$E$92)</f>
        <v>0</v>
      </c>
      <c r="N330" s="56">
        <f>IF($C$330=$F$330,N$293*Data!$E$391*Data!M$66,0)*(1+N$327)*(1+Data!$E$92)</f>
        <v>0</v>
      </c>
      <c r="O330" s="56">
        <f>IF($C$330=$F$330,O$293*Data!$E$391*Data!N$66,0)*(1+O$327)*(1+Data!$E$92)</f>
        <v>0</v>
      </c>
      <c r="P330" s="56">
        <f>IF($C$330=$F$330,P$293*Data!$E$391*Data!O$66,0)*(1+P$327)*(1+Data!$E$92)</f>
        <v>0</v>
      </c>
      <c r="Q330" s="56">
        <f>IF($C$330=$F$330,Q$293*Data!$E$391*Data!P$66,0)*(1+Q$327)*(1+Data!$E$92)</f>
        <v>0</v>
      </c>
      <c r="R330" s="56">
        <f>IF($C$330=$F$330,R$293*Data!$E$391*Data!Q$66,0)*(1+R$327)*(1+Data!$E$92)</f>
        <v>0</v>
      </c>
      <c r="S330" s="56">
        <f>IF($C$330=$F$330,S$293*Data!$E$391*Data!R$66,0)*(1+S$327)*(1+Data!$E$92)</f>
        <v>0</v>
      </c>
      <c r="T330" s="56">
        <f>IF($C$330=$F$330,T$293*Data!$E$391*Data!S$66,0)*(1+T$327)*(1+Data!$E$92)</f>
        <v>0</v>
      </c>
      <c r="U330" s="56">
        <f>IF($C$330=$F$330,U$293*Data!$E$391*Data!T$66,0)*(1+U$327)*(1+Data!$E$92)</f>
        <v>0</v>
      </c>
      <c r="V330" s="56">
        <f>IF($C$330=$F$330,V$293*Data!$E$391*Data!U$66,0)*(1+V$327)*(1+Data!$E$92)</f>
        <v>0</v>
      </c>
      <c r="W330" s="56">
        <f>IF($C$330=$F$330,W$293*Data!$E$391*Data!V$66,0)*(1+W$327)*(1+Data!$E$92)</f>
        <v>0</v>
      </c>
      <c r="X330" s="56">
        <f>IF($C$330=$F$330,X$293*Data!$E$391*Data!W$66,0)*(1+X$327)*(1+Data!$E$92)</f>
        <v>0</v>
      </c>
      <c r="Y330" s="56">
        <f>IF($C$330=$F$330,Y$293*Data!$E$391*Data!X$66,0)*(1+Y$327)*(1+Data!$E$92)</f>
        <v>0</v>
      </c>
      <c r="Z330" s="56">
        <f>IF($C$330=$F$330,Z$293*Data!$E$391*Data!Y$66,0)*(1+Z$327)*(1+Data!$E$92)</f>
        <v>0</v>
      </c>
      <c r="AA330" s="56">
        <f>IF($C$330=$F$330,AA$293*Data!$E$391*Data!Z$66,0)*(1+AA$327)*(1+Data!$E$92)</f>
        <v>0</v>
      </c>
      <c r="AB330" s="56">
        <f>IF($C$330=$F$330,AB$293*Data!$E$391*Data!AA$66,0)*(1+AB$327)*(1+Data!$E$92)</f>
        <v>0</v>
      </c>
      <c r="AC330" s="56">
        <f>IF($C$330=$F$330,AC$293*Data!$E$391*Data!AB$66,0)*(1+AC$327)*(1+Data!$E$92)</f>
        <v>0</v>
      </c>
      <c r="AD330" s="56">
        <f>IF($C$330=$F$330,AD$293*Data!$E$391*Data!AC$66,0)*(1+AD$327)*(1+Data!$E$92)</f>
        <v>0</v>
      </c>
      <c r="AE330" s="56">
        <f>IF($C$330=$F$330,AE$293*Data!$E$391*Data!AD$66,0)*(1+AE$327)*(1+Data!$E$92)</f>
        <v>0</v>
      </c>
      <c r="AF330" s="56">
        <f>IF($C$330=$F$330,AF$293*Data!$E$391*Data!AE$66,0)*(1+AF$327)*(1+Data!$E$92)</f>
        <v>0</v>
      </c>
      <c r="AG330" s="56">
        <f>IF($C$330=$F$330,AG$293*Data!$E$391*Data!AF$66,0)*(1+AG$327)*(1+Data!$E$92)</f>
        <v>0</v>
      </c>
      <c r="AH330" s="56">
        <f>IF($C$330=$F$330,AH$293*Data!$E$391*Data!AG$66,0)*(1+AH$327)*(1+Data!$E$92)</f>
        <v>0</v>
      </c>
      <c r="AI330" s="56">
        <f>IF($C$330=$F$330,AI$293*Data!$E$391*Data!AH$66,0)*(1+AI$327)*(1+Data!$E$92)</f>
        <v>0</v>
      </c>
      <c r="AJ330" s="56">
        <f>IF($C$330=$F$330,AJ$293*Data!$E$391*Data!AI$66,0)*(1+AJ$327)*(1+Data!$E$92)</f>
        <v>0</v>
      </c>
      <c r="AK330" s="56">
        <f>IF($C$330=$F$330,AK$293*Data!$E$391*Data!AJ$66,0)*(1+AK$327)*(1+Data!$E$92)</f>
        <v>0</v>
      </c>
      <c r="AL330" s="56">
        <f>IF($C$330=$F$330,AL$293*Data!$E$391*Data!AK$66,0)*(1+AL$327)*(1+Data!$E$92)</f>
        <v>0</v>
      </c>
      <c r="AM330" s="56">
        <f>IF($C$330=$F$330,AM$293*Data!$E$391*Data!AL$66,0)*(1+AM$327)*(1+Data!$E$92)</f>
        <v>0</v>
      </c>
      <c r="AN330" s="56">
        <f>IF($C$330=$F$330,AN$293*Data!$E$391*Data!AM$66,0)*(1+AN$327)*(1+Data!$E$92)</f>
        <v>0</v>
      </c>
      <c r="AO330" s="56">
        <f>IF($C$330=$F$330,AO$293*Data!$E$391*Data!AN$66,0)*(1+AO$327)*(1+Data!$E$92)</f>
        <v>0</v>
      </c>
      <c r="AP330" s="29"/>
    </row>
    <row r="331" spans="1:42" hidden="1" outlineLevel="1" x14ac:dyDescent="0.25">
      <c r="A331" s="12"/>
      <c r="B331" s="13"/>
      <c r="C331" s="19" t="s">
        <v>600</v>
      </c>
      <c r="D331" s="45"/>
      <c r="E331" s="15"/>
      <c r="F331" s="158"/>
      <c r="G331" s="14"/>
      <c r="H331" s="28"/>
      <c r="I331" s="182">
        <f>SUM(I321:I323)+SUM(I328:I330) +I325</f>
        <v>0</v>
      </c>
      <c r="J331" s="182">
        <f t="shared" ref="J331:AO331" si="79">SUM(J321:J323)+SUM(J328:J330) +J325</f>
        <v>0</v>
      </c>
      <c r="K331" s="182">
        <f t="shared" si="79"/>
        <v>0</v>
      </c>
      <c r="L331" s="182">
        <f t="shared" si="79"/>
        <v>0</v>
      </c>
      <c r="M331" s="182">
        <f t="shared" si="79"/>
        <v>0</v>
      </c>
      <c r="N331" s="182">
        <f t="shared" si="79"/>
        <v>0</v>
      </c>
      <c r="O331" s="182">
        <f t="shared" si="79"/>
        <v>0</v>
      </c>
      <c r="P331" s="182">
        <f t="shared" si="79"/>
        <v>0</v>
      </c>
      <c r="Q331" s="182">
        <f t="shared" si="79"/>
        <v>0</v>
      </c>
      <c r="R331" s="182">
        <f t="shared" si="79"/>
        <v>0</v>
      </c>
      <c r="S331" s="182">
        <f t="shared" si="79"/>
        <v>0</v>
      </c>
      <c r="T331" s="182">
        <f t="shared" si="79"/>
        <v>0</v>
      </c>
      <c r="U331" s="182">
        <f t="shared" si="79"/>
        <v>98563.653339663782</v>
      </c>
      <c r="V331" s="182">
        <f t="shared" si="79"/>
        <v>98090.715737595252</v>
      </c>
      <c r="W331" s="182">
        <f t="shared" si="79"/>
        <v>97628.764698833314</v>
      </c>
      <c r="X331" s="182">
        <f t="shared" si="79"/>
        <v>97177.500681120844</v>
      </c>
      <c r="Y331" s="182">
        <f t="shared" si="79"/>
        <v>96736.633258850663</v>
      </c>
      <c r="Z331" s="182">
        <f t="shared" si="79"/>
        <v>96305.880828580528</v>
      </c>
      <c r="AA331" s="182">
        <f t="shared" si="79"/>
        <v>95884.970324336638</v>
      </c>
      <c r="AB331" s="182">
        <f t="shared" si="79"/>
        <v>95473.636942376557</v>
      </c>
      <c r="AC331" s="182">
        <f t="shared" si="79"/>
        <v>95071.623875092802</v>
      </c>
      <c r="AD331" s="182">
        <f t="shared" si="79"/>
        <v>94678.682053749537</v>
      </c>
      <c r="AE331" s="182">
        <f t="shared" si="79"/>
        <v>94294.569899755414</v>
      </c>
      <c r="AF331" s="182">
        <f t="shared" si="79"/>
        <v>93919.053084184881</v>
      </c>
      <c r="AG331" s="182">
        <f t="shared" si="79"/>
        <v>93551.90429527103</v>
      </c>
      <c r="AH331" s="182">
        <f t="shared" si="79"/>
        <v>93192.903013601521</v>
      </c>
      <c r="AI331" s="182">
        <f t="shared" si="79"/>
        <v>92841.835294759076</v>
      </c>
      <c r="AJ331" s="182">
        <f t="shared" si="79"/>
        <v>92498.493559155526</v>
      </c>
      <c r="AK331" s="182">
        <f t="shared" si="79"/>
        <v>92498.493559155526</v>
      </c>
      <c r="AL331" s="182">
        <f t="shared" si="79"/>
        <v>92498.493559155526</v>
      </c>
      <c r="AM331" s="182">
        <f t="shared" si="79"/>
        <v>92498.493559155526</v>
      </c>
      <c r="AN331" s="182">
        <f t="shared" si="79"/>
        <v>92498.493559155526</v>
      </c>
      <c r="AO331" s="182">
        <f t="shared" si="79"/>
        <v>0</v>
      </c>
      <c r="AP331" s="29"/>
    </row>
    <row r="332" spans="1:42" hidden="1" outlineLevel="1" x14ac:dyDescent="0.25">
      <c r="A332" s="12"/>
      <c r="B332" s="13"/>
      <c r="C332" s="19"/>
      <c r="D332" s="45"/>
      <c r="E332" s="15"/>
      <c r="F332" s="158"/>
      <c r="G332" s="14"/>
      <c r="H332" s="28"/>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29"/>
    </row>
    <row r="333" spans="1:42" hidden="1" outlineLevel="1" x14ac:dyDescent="0.25">
      <c r="A333" s="12"/>
      <c r="B333" s="13"/>
      <c r="C333" s="37" t="s">
        <v>601</v>
      </c>
      <c r="D333" s="37"/>
      <c r="E333" s="38"/>
      <c r="F333" s="39"/>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17"/>
    </row>
    <row r="334" spans="1:42" s="140" customFormat="1" hidden="1" outlineLevel="1" x14ac:dyDescent="0.25">
      <c r="A334" s="78"/>
      <c r="B334" s="19"/>
      <c r="C334" s="95" t="s">
        <v>249</v>
      </c>
      <c r="D334" s="44"/>
      <c r="E334" s="21" t="s">
        <v>142</v>
      </c>
      <c r="F334" s="48"/>
      <c r="G334" s="95"/>
      <c r="H334" s="182"/>
      <c r="I334" s="182">
        <f>IF(COUNT($I$3:I$3)=(Dashboard!$I$31+Data!$E$386+1),SUM($H$304:$AO$306)*Data!$E$359,0)</f>
        <v>0</v>
      </c>
      <c r="J334" s="182">
        <f>IF(COUNT($I$3:J$3)=(Dashboard!$I$31+Data!$E$386+1),SUM($H$304:$AO$306)*Data!$E$359,0)</f>
        <v>0</v>
      </c>
      <c r="K334" s="182">
        <f>IF(COUNT($I$3:K$3)=(Dashboard!$I$31+Data!$E$386+1),SUM($H$304:$AO$306)*Data!$E$359,0)</f>
        <v>0</v>
      </c>
      <c r="L334" s="182">
        <f>IF(COUNT($I$3:L$3)=(Dashboard!$I$31+Data!$E$386+1),SUM($H$304:$AO$306)*Data!$E$359,0)</f>
        <v>0</v>
      </c>
      <c r="M334" s="182">
        <f>IF(COUNT($I$3:M$3)=(Dashboard!$I$31+Data!$E$386+1),SUM($H$304:$AO$306)*Data!$E$359,0)</f>
        <v>0</v>
      </c>
      <c r="N334" s="182">
        <f>IF(COUNT($I$3:N$3)=(Dashboard!$I$31+Data!$E$386+1),SUM($H$304:$AO$306)*Data!$E$359,0)</f>
        <v>0</v>
      </c>
      <c r="O334" s="182">
        <f>IF(COUNT($I$3:O$3)=(Dashboard!$I$31+Data!$E$386+1),SUM($H$304:$AO$306)*Data!$E$359,0)</f>
        <v>0</v>
      </c>
      <c r="P334" s="182">
        <f>IF(COUNT($I$3:P$3)=(Dashboard!$I$31+Data!$E$386+1),SUM($H$304:$AO$306)*Data!$E$359,0)</f>
        <v>0</v>
      </c>
      <c r="Q334" s="182">
        <f>IF(COUNT($I$3:Q$3)=(Dashboard!$I$31+Data!$E$386+1),SUM($H$304:$AO$306)*Data!$E$359,0)</f>
        <v>0</v>
      </c>
      <c r="R334" s="182">
        <f>IF(COUNT($I$3:R$3)=(Dashboard!$I$31+Data!$E$386+1),SUM($H$304:$AO$306)*Data!$E$359,0)</f>
        <v>0</v>
      </c>
      <c r="S334" s="182">
        <f>IF(COUNT($I$3:S$3)=(Dashboard!$I$31+Data!$E$386+1),SUM($H$304:$AO$306)*Data!$E$359,0)</f>
        <v>0</v>
      </c>
      <c r="T334" s="182">
        <f>IF(COUNT($I$3:T$3)=(Dashboard!$I$31+Data!$E$386+1),SUM($H$304:$AO$306)*Data!$E$359,0)</f>
        <v>0</v>
      </c>
      <c r="U334" s="182">
        <f>IF(COUNT($I$3:U$3)=(Dashboard!$I$31+Data!$E$386+1),SUM($H$304:$AO$306)*Data!$E$359,0)</f>
        <v>0</v>
      </c>
      <c r="V334" s="182">
        <f>IF(COUNT($I$3:V$3)=(Dashboard!$I$31+Data!$E$386+1),SUM($H$304:$AO$306)*Data!$E$359,0)</f>
        <v>0</v>
      </c>
      <c r="W334" s="182">
        <f>IF(COUNT($I$3:W$3)=(Dashboard!$I$31+Data!$E$386+1),SUM($H$304:$AO$306)*Data!$E$359,0)</f>
        <v>0</v>
      </c>
      <c r="X334" s="182">
        <f>IF(COUNT($I$3:X$3)=(Dashboard!$I$31+Data!$E$386+1),SUM($H$304:$AO$306)*Data!$E$359,0)</f>
        <v>0</v>
      </c>
      <c r="Y334" s="182">
        <f>IF(COUNT($I$3:Y$3)=(Dashboard!$I$31+Data!$E$386+1),SUM($H$304:$AO$306)*Data!$E$359,0)</f>
        <v>0</v>
      </c>
      <c r="Z334" s="182">
        <f>IF(COUNT($I$3:Z$3)=(Dashboard!$I$31+Data!$E$386+1),SUM($H$304:$AO$306)*Data!$E$359,0)</f>
        <v>0</v>
      </c>
      <c r="AA334" s="182">
        <f>IF(COUNT($I$3:AA$3)=(Dashboard!$I$31+Data!$E$386+1),SUM($H$304:$AO$306)*Data!$E$359,0)</f>
        <v>0</v>
      </c>
      <c r="AB334" s="182">
        <f>IF(COUNT($I$3:AB$3)=(Dashboard!$I$31+Data!$E$386+1),SUM($H$304:$AO$306)*Data!$E$359,0)</f>
        <v>0</v>
      </c>
      <c r="AC334" s="182">
        <f>IF(COUNT($I$3:AC$3)=(Dashboard!$I$31+Data!$E$386+1),SUM($H$304:$AO$306)*Data!$E$359,0)</f>
        <v>0</v>
      </c>
      <c r="AD334" s="182">
        <f>IF(COUNT($I$3:AD$3)=(Dashboard!$I$31+Data!$E$386+1),SUM($H$304:$AO$306)*Data!$E$359,0)</f>
        <v>0</v>
      </c>
      <c r="AE334" s="182">
        <f>IF(COUNT($I$3:AE$3)=(Dashboard!$I$31+Data!$E$386+1),SUM($H$304:$AO$306)*Data!$E$359,0)</f>
        <v>0</v>
      </c>
      <c r="AF334" s="182">
        <f>IF(COUNT($I$3:AF$3)=(Dashboard!$I$31+Data!$E$386+1),SUM($H$304:$AO$306)*Data!$E$359,0)</f>
        <v>0</v>
      </c>
      <c r="AG334" s="182">
        <f>IF(COUNT($I$3:AG$3)=(Dashboard!$I$31+Data!$E$386+1),SUM($H$304:$AO$306)*Data!$E$359,0)</f>
        <v>0</v>
      </c>
      <c r="AH334" s="182">
        <f>IF(COUNT($I$3:AH$3)=(Dashboard!$I$31+Data!$E$386+1),SUM($H$304:$AO$306)*Data!$E$359,0)</f>
        <v>0</v>
      </c>
      <c r="AI334" s="182">
        <f>IF(COUNT($I$3:AI$3)=(Dashboard!$I$31+Data!$E$386+1),SUM($H$304:$AO$306)*Data!$E$359,0)</f>
        <v>0</v>
      </c>
      <c r="AJ334" s="182">
        <f>IF(COUNT($I$3:AJ$3)=(Dashboard!$I$31+Data!$E$386+1),SUM($H$304:$AO$306)*Data!$E$359,0)</f>
        <v>0</v>
      </c>
      <c r="AK334" s="182">
        <f>IF(COUNT($I$3:AK$3)=(Dashboard!$I$31+Data!$E$386+1),SUM($H$304:$AO$306)*Data!$E$359,0)</f>
        <v>0</v>
      </c>
      <c r="AL334" s="182">
        <f>IF(COUNT($I$3:AL$3)=(Dashboard!$I$31+Data!$E$386+1),SUM($H$304:$AO$306)*Data!$E$359,0)</f>
        <v>0</v>
      </c>
      <c r="AM334" s="182">
        <f>IF(COUNT($I$3:AM$3)=(Dashboard!$I$31+Data!$E$386+1),SUM($H$304:$AO$306)*Data!$E$359,0)</f>
        <v>0</v>
      </c>
      <c r="AN334" s="182">
        <f>IF(COUNT($I$3:AN$3)=(Dashboard!$I$31+Data!$E$386+1),SUM($H$304:$AO$306)*Data!$E$359,0)</f>
        <v>0</v>
      </c>
      <c r="AO334" s="182">
        <f>IF(COUNT($I$3:AO$3)=(Dashboard!$I$31+Data!$E$386+1),SUM($H$304:$AO$306)*Data!$E$359,0)</f>
        <v>133500</v>
      </c>
      <c r="AP334" s="50"/>
    </row>
    <row r="335" spans="1:42" hidden="1" outlineLevel="1" x14ac:dyDescent="0.25">
      <c r="A335" s="12"/>
      <c r="B335" s="13"/>
      <c r="C335" s="96"/>
      <c r="D335" s="45"/>
      <c r="E335" s="15"/>
      <c r="F335" s="158"/>
      <c r="G335" s="96"/>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5"/>
      <c r="AN335" s="165"/>
      <c r="AO335" s="165"/>
      <c r="AP335" s="29"/>
    </row>
    <row r="336" spans="1:42" hidden="1" outlineLevel="1" x14ac:dyDescent="0.25">
      <c r="A336" s="12"/>
      <c r="B336" s="13"/>
      <c r="C336" s="19" t="s">
        <v>252</v>
      </c>
      <c r="D336" s="45"/>
      <c r="E336" s="15"/>
      <c r="F336" s="158"/>
      <c r="G336" s="14"/>
      <c r="H336" s="28"/>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29"/>
    </row>
    <row r="337" spans="1:42" hidden="1" outlineLevel="1" x14ac:dyDescent="0.25">
      <c r="A337" s="12"/>
      <c r="B337" s="13"/>
      <c r="C337" s="44" t="s">
        <v>258</v>
      </c>
      <c r="D337" s="44"/>
      <c r="E337" s="15"/>
      <c r="F337" s="16"/>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7"/>
    </row>
    <row r="338" spans="1:42" hidden="1" outlineLevel="1" x14ac:dyDescent="0.25">
      <c r="A338" s="12"/>
      <c r="B338" s="13"/>
      <c r="C338" s="45" t="s">
        <v>120</v>
      </c>
      <c r="D338" s="45"/>
      <c r="E338" s="15" t="s">
        <v>474</v>
      </c>
      <c r="F338" s="158" t="str">
        <f>Dashboard!$I$53</f>
        <v>3 Axle rigid</v>
      </c>
      <c r="G338" s="14"/>
      <c r="H338" s="14"/>
      <c r="I338" s="177">
        <f>IF($C$338=$F$338,Data!$E$118*I291,0)</f>
        <v>0</v>
      </c>
      <c r="J338" s="177">
        <f>IF($C$338=$F$338,Data!$E$118*J291,0)</f>
        <v>0</v>
      </c>
      <c r="K338" s="177">
        <f>IF($C$338=$F$338,Data!$E$118*K291,0)</f>
        <v>0</v>
      </c>
      <c r="L338" s="177">
        <f>IF($C$338=$F$338,Data!$E$118*L291,0)</f>
        <v>0</v>
      </c>
      <c r="M338" s="177">
        <f>IF($C$338=$F$338,Data!$E$118*M291,0)</f>
        <v>0</v>
      </c>
      <c r="N338" s="177">
        <f>IF($C$338=$F$338,Data!$E$118*N291,0)</f>
        <v>0</v>
      </c>
      <c r="O338" s="177">
        <f>IF($C$338=$F$338,Data!$E$118*O291,0)</f>
        <v>0</v>
      </c>
      <c r="P338" s="177">
        <f>IF($C$338=$F$338,Data!$E$118*P291,0)</f>
        <v>0</v>
      </c>
      <c r="Q338" s="177">
        <f>IF($C$338=$F$338,Data!$E$118*Q291,0)</f>
        <v>0</v>
      </c>
      <c r="R338" s="177">
        <f>IF($C$338=$F$338,Data!$E$118*R291,0)</f>
        <v>0</v>
      </c>
      <c r="S338" s="177">
        <f>IF($C$338=$F$338,Data!$E$118*S291,0)</f>
        <v>0</v>
      </c>
      <c r="T338" s="177">
        <f>IF($C$338=$F$338,Data!$E$118*T291,0)</f>
        <v>0</v>
      </c>
      <c r="U338" s="177">
        <f>IF($C$338=$F$338,Data!$E$118*U291,0)</f>
        <v>0</v>
      </c>
      <c r="V338" s="177">
        <f>IF($C$338=$F$338,Data!$E$118*V291,0)</f>
        <v>0</v>
      </c>
      <c r="W338" s="177">
        <f>IF($C$338=$F$338,Data!$E$118*W291,0)</f>
        <v>0</v>
      </c>
      <c r="X338" s="177">
        <f>IF($C$338=$F$338,Data!$E$118*X291,0)</f>
        <v>0</v>
      </c>
      <c r="Y338" s="177">
        <f>IF($C$338=$F$338,Data!$E$118*Y291,0)</f>
        <v>0</v>
      </c>
      <c r="Z338" s="177">
        <f>IF($C$338=$F$338,Data!$E$118*Z291,0)</f>
        <v>0</v>
      </c>
      <c r="AA338" s="177">
        <f>IF($C$338=$F$338,Data!$E$118*AA291,0)</f>
        <v>0</v>
      </c>
      <c r="AB338" s="177">
        <f>IF($C$338=$F$338,Data!$E$118*AB291,0)</f>
        <v>0</v>
      </c>
      <c r="AC338" s="177">
        <f>IF($C$338=$F$338,Data!$E$118*AC291,0)</f>
        <v>0</v>
      </c>
      <c r="AD338" s="177">
        <f>IF($C$338=$F$338,Data!$E$118*AD291,0)</f>
        <v>0</v>
      </c>
      <c r="AE338" s="177">
        <f>IF($C$338=$F$338,Data!$E$118*AE291,0)</f>
        <v>0</v>
      </c>
      <c r="AF338" s="177">
        <f>IF($C$338=$F$338,Data!$E$118*AF291,0)</f>
        <v>0</v>
      </c>
      <c r="AG338" s="177">
        <f>IF($C$338=$F$338,Data!$E$118*AG291,0)</f>
        <v>0</v>
      </c>
      <c r="AH338" s="177">
        <f>IF($C$338=$F$338,Data!$E$118*AH291,0)</f>
        <v>0</v>
      </c>
      <c r="AI338" s="177">
        <f>IF($C$338=$F$338,Data!$E$118*AI291,0)</f>
        <v>0</v>
      </c>
      <c r="AJ338" s="177">
        <f>IF($C$338=$F$338,Data!$E$118*AJ291,0)</f>
        <v>0</v>
      </c>
      <c r="AK338" s="177">
        <f>IF($C$338=$F$338,Data!$E$118*AK291,0)</f>
        <v>0</v>
      </c>
      <c r="AL338" s="177">
        <f>IF($C$338=$F$338,Data!$E$118*AL291,0)</f>
        <v>0</v>
      </c>
      <c r="AM338" s="177">
        <f>IF($C$338=$F$338,Data!$E$118*AM291,0)</f>
        <v>0</v>
      </c>
      <c r="AN338" s="177">
        <f>IF($C$338=$F$338,Data!$E$118*AN291,0)</f>
        <v>0</v>
      </c>
      <c r="AO338" s="177">
        <f>IF($C$338=$F$338,Data!$E$118*AO291,0)</f>
        <v>0</v>
      </c>
      <c r="AP338" s="29"/>
    </row>
    <row r="339" spans="1:42" hidden="1" outlineLevel="1" x14ac:dyDescent="0.25">
      <c r="A339" s="12"/>
      <c r="B339" s="13"/>
      <c r="C339" s="45" t="s">
        <v>124</v>
      </c>
      <c r="D339" s="45"/>
      <c r="E339" s="15" t="s">
        <v>474</v>
      </c>
      <c r="F339" s="158" t="str">
        <f>Dashboard!$I$53</f>
        <v>3 Axle rigid</v>
      </c>
      <c r="G339" s="14"/>
      <c r="H339" s="14"/>
      <c r="I339" s="177">
        <f>IF($C$339=$F$339,Data!$E$119*I291,0)</f>
        <v>44125.714285714283</v>
      </c>
      <c r="J339" s="177">
        <f>IF($C$339=$F$339,Data!$E$119*J291,0)</f>
        <v>44125.714285714283</v>
      </c>
      <c r="K339" s="177">
        <f>IF($C$339=$F$339,Data!$E$119*K291,0)</f>
        <v>44125.714285714283</v>
      </c>
      <c r="L339" s="177">
        <f>IF($C$339=$F$339,Data!$E$119*L291,0)</f>
        <v>44125.714285714283</v>
      </c>
      <c r="M339" s="177">
        <f>IF($C$339=$F$339,Data!$E$119*M291,0)</f>
        <v>44125.714285714283</v>
      </c>
      <c r="N339" s="177">
        <f>IF($C$339=$F$339,Data!$E$119*N291,0)</f>
        <v>44125.714285714283</v>
      </c>
      <c r="O339" s="177">
        <f>IF($C$339=$F$339,Data!$E$119*O291,0)</f>
        <v>44125.714285714283</v>
      </c>
      <c r="P339" s="177">
        <f>IF($C$339=$F$339,Data!$E$119*P291,0)</f>
        <v>44125.714285714283</v>
      </c>
      <c r="Q339" s="177">
        <f>IF($C$339=$F$339,Data!$E$119*Q291,0)</f>
        <v>44125.714285714283</v>
      </c>
      <c r="R339" s="177">
        <f>IF($C$339=$F$339,Data!$E$119*R291,0)</f>
        <v>44125.714285714283</v>
      </c>
      <c r="S339" s="177">
        <f>IF($C$339=$F$339,Data!$E$119*S291,0)</f>
        <v>44125.714285714283</v>
      </c>
      <c r="T339" s="177">
        <f>IF($C$339=$F$339,Data!$E$119*T291,0)</f>
        <v>44125.714285714283</v>
      </c>
      <c r="U339" s="177">
        <f>IF($C$339=$F$339,Data!$E$119*U291,0)</f>
        <v>0</v>
      </c>
      <c r="V339" s="177">
        <f>IF($C$339=$F$339,Data!$E$119*V291,0)</f>
        <v>0</v>
      </c>
      <c r="W339" s="177">
        <f>IF($C$339=$F$339,Data!$E$119*W291,0)</f>
        <v>0</v>
      </c>
      <c r="X339" s="177">
        <f>IF($C$339=$F$339,Data!$E$119*X291,0)</f>
        <v>0</v>
      </c>
      <c r="Y339" s="177">
        <f>IF($C$339=$F$339,Data!$E$119*Y291,0)</f>
        <v>0</v>
      </c>
      <c r="Z339" s="177">
        <f>IF($C$339=$F$339,Data!$E$119*Z291,0)</f>
        <v>0</v>
      </c>
      <c r="AA339" s="177">
        <f>IF($C$339=$F$339,Data!$E$119*AA291,0)</f>
        <v>0</v>
      </c>
      <c r="AB339" s="177">
        <f>IF($C$339=$F$339,Data!$E$119*AB291,0)</f>
        <v>0</v>
      </c>
      <c r="AC339" s="177">
        <f>IF($C$339=$F$339,Data!$E$119*AC291,0)</f>
        <v>0</v>
      </c>
      <c r="AD339" s="177">
        <f>IF($C$339=$F$339,Data!$E$119*AD291,0)</f>
        <v>0</v>
      </c>
      <c r="AE339" s="177">
        <f>IF($C$339=$F$339,Data!$E$119*AE291,0)</f>
        <v>0</v>
      </c>
      <c r="AF339" s="177">
        <f>IF($C$339=$F$339,Data!$E$119*AF291,0)</f>
        <v>0</v>
      </c>
      <c r="AG339" s="177">
        <f>IF($C$339=$F$339,Data!$E$119*AG291,0)</f>
        <v>0</v>
      </c>
      <c r="AH339" s="177">
        <f>IF($C$339=$F$339,Data!$E$119*AH291,0)</f>
        <v>0</v>
      </c>
      <c r="AI339" s="177">
        <f>IF($C$339=$F$339,Data!$E$119*AI291,0)</f>
        <v>0</v>
      </c>
      <c r="AJ339" s="177">
        <f>IF($C$339=$F$339,Data!$E$119*AJ291,0)</f>
        <v>0</v>
      </c>
      <c r="AK339" s="177">
        <f>IF($C$339=$F$339,Data!$E$119*AK291,0)</f>
        <v>0</v>
      </c>
      <c r="AL339" s="177">
        <f>IF($C$339=$F$339,Data!$E$119*AL291,0)</f>
        <v>0</v>
      </c>
      <c r="AM339" s="177">
        <f>IF($C$339=$F$339,Data!$E$119*AM291,0)</f>
        <v>0</v>
      </c>
      <c r="AN339" s="177">
        <f>IF($C$339=$F$339,Data!$E$119*AN291,0)</f>
        <v>0</v>
      </c>
      <c r="AO339" s="177">
        <f>IF($C$339=$F$339,Data!$E$119*AO291,0)</f>
        <v>0</v>
      </c>
      <c r="AP339" s="29"/>
    </row>
    <row r="340" spans="1:42" hidden="1" outlineLevel="1" x14ac:dyDescent="0.25">
      <c r="A340" s="12"/>
      <c r="B340" s="13"/>
      <c r="C340" s="45" t="s">
        <v>126</v>
      </c>
      <c r="D340" s="45"/>
      <c r="E340" s="15" t="s">
        <v>474</v>
      </c>
      <c r="F340" s="158" t="str">
        <f>Dashboard!$I$53</f>
        <v>3 Axle rigid</v>
      </c>
      <c r="G340" s="14"/>
      <c r="H340" s="14"/>
      <c r="I340" s="177">
        <f>IF($C$340=$F$340,Data!$E$120*I291,0)</f>
        <v>0</v>
      </c>
      <c r="J340" s="177">
        <f>IF($C$340=$F$340,Data!$E$120*J291,0)</f>
        <v>0</v>
      </c>
      <c r="K340" s="177">
        <f>IF($C$340=$F$340,Data!$E$120*K291,0)</f>
        <v>0</v>
      </c>
      <c r="L340" s="177">
        <f>IF($C$340=$F$340,Data!$E$120*L291,0)</f>
        <v>0</v>
      </c>
      <c r="M340" s="177">
        <f>IF($C$340=$F$340,Data!$E$120*M291,0)</f>
        <v>0</v>
      </c>
      <c r="N340" s="177">
        <f>IF($C$340=$F$340,Data!$E$120*N291,0)</f>
        <v>0</v>
      </c>
      <c r="O340" s="177">
        <f>IF($C$340=$F$340,Data!$E$120*O291,0)</f>
        <v>0</v>
      </c>
      <c r="P340" s="177">
        <f>IF($C$340=$F$340,Data!$E$120*P291,0)</f>
        <v>0</v>
      </c>
      <c r="Q340" s="177">
        <f>IF($C$340=$F$340,Data!$E$120*Q291,0)</f>
        <v>0</v>
      </c>
      <c r="R340" s="177">
        <f>IF($C$340=$F$340,Data!$E$120*R291,0)</f>
        <v>0</v>
      </c>
      <c r="S340" s="177">
        <f>IF($C$340=$F$340,Data!$E$120*S291,0)</f>
        <v>0</v>
      </c>
      <c r="T340" s="177">
        <f>IF($C$340=$F$340,Data!$E$120*T291,0)</f>
        <v>0</v>
      </c>
      <c r="U340" s="177">
        <f>IF($C$340=$F$340,Data!$E$120*U291,0)</f>
        <v>0</v>
      </c>
      <c r="V340" s="177">
        <f>IF($C$340=$F$340,Data!$E$120*V291,0)</f>
        <v>0</v>
      </c>
      <c r="W340" s="177">
        <f>IF($C$340=$F$340,Data!$E$120*W291,0)</f>
        <v>0</v>
      </c>
      <c r="X340" s="177">
        <f>IF($C$340=$F$340,Data!$E$120*X291,0)</f>
        <v>0</v>
      </c>
      <c r="Y340" s="177">
        <f>IF($C$340=$F$340,Data!$E$120*Y291,0)</f>
        <v>0</v>
      </c>
      <c r="Z340" s="177">
        <f>IF($C$340=$F$340,Data!$E$120*Z291,0)</f>
        <v>0</v>
      </c>
      <c r="AA340" s="177">
        <f>IF($C$340=$F$340,Data!$E$120*AA291,0)</f>
        <v>0</v>
      </c>
      <c r="AB340" s="177">
        <f>IF($C$340=$F$340,Data!$E$120*AB291,0)</f>
        <v>0</v>
      </c>
      <c r="AC340" s="177">
        <f>IF($C$340=$F$340,Data!$E$120*AC291,0)</f>
        <v>0</v>
      </c>
      <c r="AD340" s="177">
        <f>IF($C$340=$F$340,Data!$E$120*AD291,0)</f>
        <v>0</v>
      </c>
      <c r="AE340" s="177">
        <f>IF($C$340=$F$340,Data!$E$120*AE291,0)</f>
        <v>0</v>
      </c>
      <c r="AF340" s="177">
        <f>IF($C$340=$F$340,Data!$E$120*AF291,0)</f>
        <v>0</v>
      </c>
      <c r="AG340" s="177">
        <f>IF($C$340=$F$340,Data!$E$120*AG291,0)</f>
        <v>0</v>
      </c>
      <c r="AH340" s="177">
        <f>IF($C$340=$F$340,Data!$E$120*AH291,0)</f>
        <v>0</v>
      </c>
      <c r="AI340" s="177">
        <f>IF($C$340=$F$340,Data!$E$120*AI291,0)</f>
        <v>0</v>
      </c>
      <c r="AJ340" s="177">
        <f>IF($C$340=$F$340,Data!$E$120*AJ291,0)</f>
        <v>0</v>
      </c>
      <c r="AK340" s="177">
        <f>IF($C$340=$F$340,Data!$E$120*AK291,0)</f>
        <v>0</v>
      </c>
      <c r="AL340" s="177">
        <f>IF($C$340=$F$340,Data!$E$120*AL291,0)</f>
        <v>0</v>
      </c>
      <c r="AM340" s="177">
        <f>IF($C$340=$F$340,Data!$E$120*AM291,0)</f>
        <v>0</v>
      </c>
      <c r="AN340" s="177">
        <f>IF($C$340=$F$340,Data!$E$120*AN291,0)</f>
        <v>0</v>
      </c>
      <c r="AO340" s="177">
        <f>IF($C$340=$F$340,Data!$E$120*AO291,0)</f>
        <v>0</v>
      </c>
      <c r="AP340" s="29"/>
    </row>
    <row r="341" spans="1:42" hidden="1" outlineLevel="1" x14ac:dyDescent="0.25">
      <c r="A341" s="12"/>
      <c r="B341" s="13"/>
      <c r="C341" s="45"/>
      <c r="D341" s="45"/>
      <c r="E341" s="15"/>
      <c r="F341" s="16"/>
      <c r="G341" s="14"/>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9"/>
    </row>
    <row r="342" spans="1:42" hidden="1" outlineLevel="1" x14ac:dyDescent="0.25">
      <c r="A342" s="12"/>
      <c r="B342" s="13"/>
      <c r="C342" s="44"/>
      <c r="D342" s="45"/>
      <c r="E342" s="15" t="s">
        <v>318</v>
      </c>
      <c r="F342" s="16"/>
      <c r="G342" s="14"/>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9"/>
    </row>
    <row r="343" spans="1:42" hidden="1" outlineLevel="1" x14ac:dyDescent="0.25">
      <c r="A343" s="12"/>
      <c r="B343" s="13"/>
      <c r="C343" s="44" t="s">
        <v>260</v>
      </c>
      <c r="D343" s="14"/>
      <c r="E343" s="15" t="s">
        <v>318</v>
      </c>
      <c r="F343" s="16"/>
      <c r="G343" s="14"/>
      <c r="H343" s="151"/>
      <c r="I343" s="151">
        <f>Data!$E$122*I291</f>
        <v>18553.392</v>
      </c>
      <c r="J343" s="151">
        <f>Data!$E$122*J291</f>
        <v>18553.392</v>
      </c>
      <c r="K343" s="151">
        <f>Data!$E$122*K291</f>
        <v>18553.392</v>
      </c>
      <c r="L343" s="151">
        <f>Data!$E$122*L291</f>
        <v>18553.392</v>
      </c>
      <c r="M343" s="151">
        <f>Data!$E$122*M291</f>
        <v>18553.392</v>
      </c>
      <c r="N343" s="151">
        <f>Data!$E$122*N291</f>
        <v>18553.392</v>
      </c>
      <c r="O343" s="151">
        <f>Data!$E$122*O291</f>
        <v>18553.392</v>
      </c>
      <c r="P343" s="151">
        <f>Data!$E$122*P291</f>
        <v>18553.392</v>
      </c>
      <c r="Q343" s="151">
        <f>Data!$E$122*Q291</f>
        <v>18553.392</v>
      </c>
      <c r="R343" s="151">
        <f>Data!$E$122*R291</f>
        <v>18553.392</v>
      </c>
      <c r="S343" s="151">
        <f>Data!$E$122*S291</f>
        <v>18553.392</v>
      </c>
      <c r="T343" s="151">
        <f>Data!$E$122*T291</f>
        <v>18553.392</v>
      </c>
      <c r="U343" s="151">
        <f>Data!$E$122*U291</f>
        <v>0</v>
      </c>
      <c r="V343" s="151">
        <f>Data!$E$122*V291</f>
        <v>0</v>
      </c>
      <c r="W343" s="151">
        <f>Data!$E$122*W291</f>
        <v>0</v>
      </c>
      <c r="X343" s="151">
        <f>Data!$E$122*X291</f>
        <v>0</v>
      </c>
      <c r="Y343" s="151">
        <f>Data!$E$122*Y291</f>
        <v>0</v>
      </c>
      <c r="Z343" s="151">
        <f>Data!$E$122*Z291</f>
        <v>0</v>
      </c>
      <c r="AA343" s="151">
        <f>Data!$E$122*AA291</f>
        <v>0</v>
      </c>
      <c r="AB343" s="151">
        <f>Data!$E$122*AB291</f>
        <v>0</v>
      </c>
      <c r="AC343" s="151">
        <f>Data!$E$122*AC291</f>
        <v>0</v>
      </c>
      <c r="AD343" s="151">
        <f>Data!$E$122*AD291</f>
        <v>0</v>
      </c>
      <c r="AE343" s="151">
        <f>Data!$E$122*AE291</f>
        <v>0</v>
      </c>
      <c r="AF343" s="151">
        <f>Data!$E$122*AF291</f>
        <v>0</v>
      </c>
      <c r="AG343" s="151">
        <f>Data!$E$122*AG291</f>
        <v>0</v>
      </c>
      <c r="AH343" s="151">
        <f>Data!$E$122*AH291</f>
        <v>0</v>
      </c>
      <c r="AI343" s="151">
        <f>Data!$E$122*AI291</f>
        <v>0</v>
      </c>
      <c r="AJ343" s="151">
        <f>Data!$E$122*AJ291</f>
        <v>0</v>
      </c>
      <c r="AK343" s="151">
        <f>Data!$E$122*AK291</f>
        <v>0</v>
      </c>
      <c r="AL343" s="151">
        <f>Data!$E$122*AL291</f>
        <v>0</v>
      </c>
      <c r="AM343" s="151">
        <f>Data!$E$122*AM291</f>
        <v>0</v>
      </c>
      <c r="AN343" s="151">
        <f>Data!$E$122*AN291</f>
        <v>0</v>
      </c>
      <c r="AO343" s="151">
        <f>Data!$E$122*AO291</f>
        <v>0</v>
      </c>
      <c r="AP343" s="17"/>
    </row>
    <row r="344" spans="1:42" hidden="1" outlineLevel="1" x14ac:dyDescent="0.25">
      <c r="A344" s="12"/>
      <c r="B344" s="13"/>
      <c r="C344" s="44"/>
      <c r="D344" s="44"/>
      <c r="E344" s="15"/>
      <c r="F344" s="16"/>
      <c r="G344" s="14"/>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17"/>
    </row>
    <row r="345" spans="1:42" hidden="1" outlineLevel="1" x14ac:dyDescent="0.25">
      <c r="A345" s="12"/>
      <c r="B345" s="13"/>
      <c r="C345" s="44" t="s">
        <v>398</v>
      </c>
      <c r="D345" s="45"/>
      <c r="E345" s="15"/>
      <c r="F345" s="16"/>
      <c r="G345" s="14"/>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9"/>
    </row>
    <row r="346" spans="1:42" hidden="1" outlineLevel="1" x14ac:dyDescent="0.25">
      <c r="A346" s="12"/>
      <c r="B346" s="13"/>
      <c r="C346" s="45" t="s">
        <v>127</v>
      </c>
      <c r="D346" s="45"/>
      <c r="E346" s="15" t="s">
        <v>475</v>
      </c>
      <c r="F346" s="158" t="str">
        <f>Dashboard!$I$52</f>
        <v>Hilly (Gradient  6%)</v>
      </c>
      <c r="G346" s="14"/>
      <c r="H346" s="62"/>
      <c r="I346" s="181" cm="1">
        <f t="array" ref="I346">INDEX('Control panel'!$E$17:$E$19,MATCH($F$346,'Control panel'!$C$17:$C$19,0),0)</f>
        <v>2.0035308778415004</v>
      </c>
      <c r="J346" s="181" cm="1">
        <f t="array" ref="J346">INDEX('Control panel'!$E$17:$E$19,MATCH($F$346,'Control panel'!$C$17:$C$19,0),0)</f>
        <v>2.0035308778415004</v>
      </c>
      <c r="K346" s="181" cm="1">
        <f t="array" ref="K346">INDEX('Control panel'!$E$17:$E$19,MATCH($F$346,'Control panel'!$C$17:$C$19,0),0)</f>
        <v>2.0035308778415004</v>
      </c>
      <c r="L346" s="181" cm="1">
        <f t="array" ref="L346">INDEX('Control panel'!$E$17:$E$19,MATCH($F$346,'Control panel'!$C$17:$C$19,0),0)</f>
        <v>2.0035308778415004</v>
      </c>
      <c r="M346" s="181" cm="1">
        <f t="array" ref="M346">INDEX('Control panel'!$E$17:$E$19,MATCH($F$346,'Control panel'!$C$17:$C$19,0),0)</f>
        <v>2.0035308778415004</v>
      </c>
      <c r="N346" s="181" cm="1">
        <f t="array" ref="N346">INDEX('Control panel'!$E$17:$E$19,MATCH($F$346,'Control panel'!$C$17:$C$19,0),0)</f>
        <v>2.0035308778415004</v>
      </c>
      <c r="O346" s="181" cm="1">
        <f t="array" ref="O346">INDEX('Control panel'!$E$17:$E$19,MATCH($F$346,'Control panel'!$C$17:$C$19,0),0)</f>
        <v>2.0035308778415004</v>
      </c>
      <c r="P346" s="181" cm="1">
        <f t="array" ref="P346">INDEX('Control panel'!$E$17:$E$19,MATCH($F$346,'Control panel'!$C$17:$C$19,0),0)</f>
        <v>2.0035308778415004</v>
      </c>
      <c r="Q346" s="181" cm="1">
        <f t="array" ref="Q346">INDEX('Control panel'!$E$17:$E$19,MATCH($F$346,'Control panel'!$C$17:$C$19,0),0)</f>
        <v>2.0035308778415004</v>
      </c>
      <c r="R346" s="181" cm="1">
        <f t="array" ref="R346">INDEX('Control panel'!$E$17:$E$19,MATCH($F$346,'Control panel'!$C$17:$C$19,0),0)</f>
        <v>2.0035308778415004</v>
      </c>
      <c r="S346" s="181" cm="1">
        <f t="array" ref="S346">INDEX('Control panel'!$E$17:$E$19,MATCH($F$346,'Control panel'!$C$17:$C$19,0),0)</f>
        <v>2.0035308778415004</v>
      </c>
      <c r="T346" s="181" cm="1">
        <f t="array" ref="T346">INDEX('Control panel'!$E$17:$E$19,MATCH($F$346,'Control panel'!$C$17:$C$19,0),0)</f>
        <v>2.0035308778415004</v>
      </c>
      <c r="U346" s="181" cm="1">
        <f t="array" ref="U346">INDEX('Control panel'!$E$17:$E$19,MATCH($F$346,'Control panel'!$C$17:$C$19,0),0)</f>
        <v>2.0035308778415004</v>
      </c>
      <c r="V346" s="181" cm="1">
        <f t="array" ref="V346">INDEX('Control panel'!$E$17:$E$19,MATCH($F$346,'Control panel'!$C$17:$C$19,0),0)</f>
        <v>2.0035308778415004</v>
      </c>
      <c r="W346" s="181" cm="1">
        <f t="array" ref="W346">INDEX('Control panel'!$E$17:$E$19,MATCH($F$346,'Control panel'!$C$17:$C$19,0),0)</f>
        <v>2.0035308778415004</v>
      </c>
      <c r="X346" s="181" cm="1">
        <f t="array" ref="X346">INDEX('Control panel'!$E$17:$E$19,MATCH($F$346,'Control panel'!$C$17:$C$19,0),0)</f>
        <v>2.0035308778415004</v>
      </c>
      <c r="Y346" s="181" cm="1">
        <f t="array" ref="Y346">INDEX('Control panel'!$E$17:$E$19,MATCH($F$346,'Control panel'!$C$17:$C$19,0),0)</f>
        <v>2.0035308778415004</v>
      </c>
      <c r="Z346" s="181" cm="1">
        <f t="array" ref="Z346">INDEX('Control panel'!$E$17:$E$19,MATCH($F$346,'Control panel'!$C$17:$C$19,0),0)</f>
        <v>2.0035308778415004</v>
      </c>
      <c r="AA346" s="181" cm="1">
        <f t="array" ref="AA346">INDEX('Control panel'!$E$17:$E$19,MATCH($F$346,'Control panel'!$C$17:$C$19,0),0)</f>
        <v>2.0035308778415004</v>
      </c>
      <c r="AB346" s="181" cm="1">
        <f t="array" ref="AB346">INDEX('Control panel'!$E$17:$E$19,MATCH($F$346,'Control panel'!$C$17:$C$19,0),0)</f>
        <v>2.0035308778415004</v>
      </c>
      <c r="AC346" s="181" cm="1">
        <f t="array" ref="AC346">INDEX('Control panel'!$E$17:$E$19,MATCH($F$346,'Control panel'!$C$17:$C$19,0),0)</f>
        <v>2.0035308778415004</v>
      </c>
      <c r="AD346" s="181" cm="1">
        <f t="array" ref="AD346">INDEX('Control panel'!$E$17:$E$19,MATCH($F$346,'Control panel'!$C$17:$C$19,0),0)</f>
        <v>2.0035308778415004</v>
      </c>
      <c r="AE346" s="181" cm="1">
        <f t="array" ref="AE346">INDEX('Control panel'!$E$17:$E$19,MATCH($F$346,'Control panel'!$C$17:$C$19,0),0)</f>
        <v>2.0035308778415004</v>
      </c>
      <c r="AF346" s="181" cm="1">
        <f t="array" ref="AF346">INDEX('Control panel'!$E$17:$E$19,MATCH($F$346,'Control panel'!$C$17:$C$19,0),0)</f>
        <v>2.0035308778415004</v>
      </c>
      <c r="AG346" s="181" cm="1">
        <f t="array" ref="AG346">INDEX('Control panel'!$E$17:$E$19,MATCH($F$346,'Control panel'!$C$17:$C$19,0),0)</f>
        <v>2.0035308778415004</v>
      </c>
      <c r="AH346" s="181" cm="1">
        <f t="array" ref="AH346">INDEX('Control panel'!$E$17:$E$19,MATCH($F$346,'Control panel'!$C$17:$C$19,0),0)</f>
        <v>2.0035308778415004</v>
      </c>
      <c r="AI346" s="181" cm="1">
        <f t="array" ref="AI346">INDEX('Control panel'!$E$17:$E$19,MATCH($F$346,'Control panel'!$C$17:$C$19,0),0)</f>
        <v>2.0035308778415004</v>
      </c>
      <c r="AJ346" s="181" cm="1">
        <f t="array" ref="AJ346">INDEX('Control panel'!$E$17:$E$19,MATCH($F$346,'Control panel'!$C$17:$C$19,0),0)</f>
        <v>2.0035308778415004</v>
      </c>
      <c r="AK346" s="181" cm="1">
        <f t="array" ref="AK346">INDEX('Control panel'!$E$17:$E$19,MATCH($F$346,'Control panel'!$C$17:$C$19,0),0)</f>
        <v>2.0035308778415004</v>
      </c>
      <c r="AL346" s="181" cm="1">
        <f t="array" ref="AL346">INDEX('Control panel'!$E$17:$E$19,MATCH($F$346,'Control panel'!$C$17:$C$19,0),0)</f>
        <v>2.0035308778415004</v>
      </c>
      <c r="AM346" s="181" cm="1">
        <f t="array" ref="AM346">INDEX('Control panel'!$E$17:$E$19,MATCH($F$346,'Control panel'!$C$17:$C$19,0),0)</f>
        <v>2.0035308778415004</v>
      </c>
      <c r="AN346" s="181" cm="1">
        <f t="array" ref="AN346">INDEX('Control panel'!$E$17:$E$19,MATCH($F$346,'Control panel'!$C$17:$C$19,0),0)</f>
        <v>2.0035308778415004</v>
      </c>
      <c r="AO346" s="181" cm="1">
        <f t="array" ref="AO346">INDEX('Control panel'!$E$17:$E$19,MATCH($F$346,'Control panel'!$C$17:$C$19,0),0)</f>
        <v>2.0035308778415004</v>
      </c>
      <c r="AP346" s="29"/>
    </row>
    <row r="347" spans="1:42" hidden="1" outlineLevel="1" x14ac:dyDescent="0.25">
      <c r="A347" s="12"/>
      <c r="B347" s="13"/>
      <c r="C347" s="45" t="s">
        <v>120</v>
      </c>
      <c r="D347" s="45"/>
      <c r="E347" s="15" t="s">
        <v>318</v>
      </c>
      <c r="F347" s="158" t="str">
        <f>Dashboard!$I$53</f>
        <v>3 Axle rigid</v>
      </c>
      <c r="G347" s="14"/>
      <c r="H347" s="62"/>
      <c r="I347" s="177">
        <f>IF($C$347=$F$347,I291*Data!$E$129*Data!H$61,0)*(1+I346)*(1+Data!$E$92)</f>
        <v>0</v>
      </c>
      <c r="J347" s="177">
        <f>IF($C$347=$F$347,J291*Data!$E$129*Data!I$61,0)*(1+J346)*(1+Data!$E$92)</f>
        <v>0</v>
      </c>
      <c r="K347" s="177">
        <f>IF($C$347=$F$347,K291*Data!$E$129*Data!J$61,0)*(1+K346)*(1+Data!$E$92)</f>
        <v>0</v>
      </c>
      <c r="L347" s="177">
        <f>IF($C$347=$F$347,L291*Data!$E$129*Data!K$61,0)*(1+L346)*(1+Data!$E$92)</f>
        <v>0</v>
      </c>
      <c r="M347" s="177">
        <f>IF($C$347=$F$347,M291*Data!$E$129*Data!L$61,0)*(1+M346)*(1+Data!$E$92)</f>
        <v>0</v>
      </c>
      <c r="N347" s="177">
        <f>IF($C$347=$F$347,N291*Data!$E$129*Data!M$61,0)*(1+N346)*(1+Data!$E$92)</f>
        <v>0</v>
      </c>
      <c r="O347" s="177">
        <f>IF($C$347=$F$347,O291*Data!$E$129*Data!N$61,0)*(1+O346)*(1+Data!$E$92)</f>
        <v>0</v>
      </c>
      <c r="P347" s="177">
        <f>IF($C$347=$F$347,P291*Data!$E$129*Data!O$61,0)*(1+P346)*(1+Data!$E$92)</f>
        <v>0</v>
      </c>
      <c r="Q347" s="177">
        <f>IF($C$347=$F$347,Q291*Data!$E$129*Data!P$61,0)*(1+Q346)*(1+Data!$E$92)</f>
        <v>0</v>
      </c>
      <c r="R347" s="177">
        <f>IF($C$347=$F$347,R291*Data!$E$129*Data!Q$61,0)*(1+R346)*(1+Data!$E$92)</f>
        <v>0</v>
      </c>
      <c r="S347" s="177">
        <f>IF($C$347=$F$347,S291*Data!$E$129*Data!R$61,0)*(1+S346)*(1+Data!$E$92)</f>
        <v>0</v>
      </c>
      <c r="T347" s="177">
        <f>IF($C$347=$F$347,T291*Data!$E$129*Data!S$61,0)*(1+T346)*(1+Data!$E$92)</f>
        <v>0</v>
      </c>
      <c r="U347" s="177">
        <f>IF($C$347=$F$347,U291*Data!$E$129*Data!T$61,0)*(1+U346)*(1+Data!$E$92)</f>
        <v>0</v>
      </c>
      <c r="V347" s="177">
        <f>IF($C$347=$F$347,V291*Data!$E$129*Data!U$61,0)*(1+V346)*(1+Data!$E$92)</f>
        <v>0</v>
      </c>
      <c r="W347" s="177">
        <f>IF($C$347=$F$347,W291*Data!$E$129*Data!V$61,0)*(1+W346)*(1+Data!$E$92)</f>
        <v>0</v>
      </c>
      <c r="X347" s="177">
        <f>IF($C$347=$F$347,X291*Data!$E$129*Data!W$61,0)*(1+X346)*(1+Data!$E$92)</f>
        <v>0</v>
      </c>
      <c r="Y347" s="177">
        <f>IF($C$347=$F$347,Y291*Data!$E$129*Data!X$61,0)*(1+Y346)*(1+Data!$E$92)</f>
        <v>0</v>
      </c>
      <c r="Z347" s="177">
        <f>IF($C$347=$F$347,Z291*Data!$E$129*Data!Y$61,0)*(1+Z346)*(1+Data!$E$92)</f>
        <v>0</v>
      </c>
      <c r="AA347" s="177">
        <f>IF($C$347=$F$347,AA291*Data!$E$129*Data!Z$61,0)*(1+AA346)*(1+Data!$E$92)</f>
        <v>0</v>
      </c>
      <c r="AB347" s="177">
        <f>IF($C$347=$F$347,AB291*Data!$E$129*Data!AA$61,0)*(1+AB346)*(1+Data!$E$92)</f>
        <v>0</v>
      </c>
      <c r="AC347" s="177">
        <f>IF($C$347=$F$347,AC291*Data!$E$129*Data!AB$61,0)*(1+AC346)*(1+Data!$E$92)</f>
        <v>0</v>
      </c>
      <c r="AD347" s="177">
        <f>IF($C$347=$F$347,AD291*Data!$E$129*Data!AC$61,0)*(1+AD346)*(1+Data!$E$92)</f>
        <v>0</v>
      </c>
      <c r="AE347" s="177">
        <f>IF($C$347=$F$347,AE291*Data!$E$129*Data!AD$61,0)*(1+AE346)*(1+Data!$E$92)</f>
        <v>0</v>
      </c>
      <c r="AF347" s="177">
        <f>IF($C$347=$F$347,AF291*Data!$E$129*Data!AE$61,0)*(1+AF346)*(1+Data!$E$92)</f>
        <v>0</v>
      </c>
      <c r="AG347" s="177">
        <f>IF($C$347=$F$347,AG291*Data!$E$129*Data!AF$61,0)*(1+AG346)*(1+Data!$E$92)</f>
        <v>0</v>
      </c>
      <c r="AH347" s="177">
        <f>IF($C$347=$F$347,AH291*Data!$E$129*Data!AG$61,0)*(1+AH346)*(1+Data!$E$92)</f>
        <v>0</v>
      </c>
      <c r="AI347" s="177">
        <f>IF($C$347=$F$347,AI291*Data!$E$129*Data!AH$61,0)*(1+AI346)*(1+Data!$E$92)</f>
        <v>0</v>
      </c>
      <c r="AJ347" s="177">
        <f>IF($C$347=$F$347,AJ291*Data!$E$129*Data!AI$61,0)*(1+AJ346)*(1+Data!$E$92)</f>
        <v>0</v>
      </c>
      <c r="AK347" s="177">
        <f>IF($C$347=$F$347,AK291*Data!$E$129*Data!AJ$61,0)*(1+AK346)*(1+Data!$E$92)</f>
        <v>0</v>
      </c>
      <c r="AL347" s="177">
        <f>IF($C$347=$F$347,AL291*Data!$E$129*Data!AK$61,0)*(1+AL346)*(1+Data!$E$92)</f>
        <v>0</v>
      </c>
      <c r="AM347" s="177">
        <f>IF($C$347=$F$347,AM291*Data!$E$129*Data!AL$61,0)*(1+AM346)*(1+Data!$E$92)</f>
        <v>0</v>
      </c>
      <c r="AN347" s="177">
        <f>IF($C$347=$F$347,AN291*Data!$E$129*Data!AM$61,0)*(1+AN346)*(1+Data!$E$92)</f>
        <v>0</v>
      </c>
      <c r="AO347" s="177">
        <f>IF($C$347=$F$347,AO291*Data!$E$129*Data!AN$61,0)*(1+AO346)*(1+Data!$E$92)</f>
        <v>0</v>
      </c>
      <c r="AP347" s="29"/>
    </row>
    <row r="348" spans="1:42" hidden="1" outlineLevel="1" x14ac:dyDescent="0.25">
      <c r="A348" s="12"/>
      <c r="B348" s="13"/>
      <c r="C348" s="45" t="s">
        <v>124</v>
      </c>
      <c r="D348" s="45"/>
      <c r="E348" s="15" t="s">
        <v>318</v>
      </c>
      <c r="F348" s="158" t="str">
        <f>Dashboard!$I$53</f>
        <v>3 Axle rigid</v>
      </c>
      <c r="G348" s="14"/>
      <c r="H348" s="62"/>
      <c r="I348" s="177">
        <f>IF($C$348=$F$348,I291*Data!$E$130*Data!H$61,0)*(1+I346)*(1+Data!$E$92)</f>
        <v>135680.60281634858</v>
      </c>
      <c r="J348" s="177">
        <f>IF($C$348=$F$348,J291*Data!$E$130*Data!I$61,0)*(1+J346)*(1+Data!$E$92)</f>
        <v>108389.87660695429</v>
      </c>
      <c r="K348" s="177">
        <f>IF($C$348=$F$348,K291*Data!$E$130*Data!J$61,0)*(1+K346)*(1+Data!$E$92)</f>
        <v>108389.87660695429</v>
      </c>
      <c r="L348" s="177">
        <f>IF($C$348=$F$348,L291*Data!$E$130*Data!K$61,0)*(1+L346)*(1+Data!$E$92)</f>
        <v>108389.87660695429</v>
      </c>
      <c r="M348" s="177">
        <f>IF($C$348=$F$348,M291*Data!$E$130*Data!L$61,0)*(1+M346)*(1+Data!$E$92)</f>
        <v>108389.87660695429</v>
      </c>
      <c r="N348" s="177">
        <f>IF($C$348=$F$348,N291*Data!$E$130*Data!M$61,0)*(1+N346)*(1+Data!$E$92)</f>
        <v>108389.87660695429</v>
      </c>
      <c r="O348" s="177">
        <f>IF($C$348=$F$348,O291*Data!$E$130*Data!N$61,0)*(1+O346)*(1+Data!$E$92)</f>
        <v>108389.87660695429</v>
      </c>
      <c r="P348" s="177">
        <f>IF($C$348=$F$348,P291*Data!$E$130*Data!O$61,0)*(1+P346)*(1+Data!$E$92)</f>
        <v>108389.87660695429</v>
      </c>
      <c r="Q348" s="177">
        <f>IF($C$348=$F$348,Q291*Data!$E$130*Data!P$61,0)*(1+Q346)*(1+Data!$E$92)</f>
        <v>108389.87660695429</v>
      </c>
      <c r="R348" s="177">
        <f>IF($C$348=$F$348,R291*Data!$E$130*Data!Q$61,0)*(1+R346)*(1+Data!$E$92)</f>
        <v>108389.87660695429</v>
      </c>
      <c r="S348" s="177">
        <f>IF($C$348=$F$348,S291*Data!$E$130*Data!R$61,0)*(1+S346)*(1+Data!$E$92)</f>
        <v>108389.87660695429</v>
      </c>
      <c r="T348" s="177">
        <f>IF($C$348=$F$348,T291*Data!$E$130*Data!S$61,0)*(1+T346)*(1+Data!$E$92)</f>
        <v>108389.87660695429</v>
      </c>
      <c r="U348" s="177">
        <f>IF($C$348=$F$348,U291*Data!$E$130*Data!T$61,0)*(1+U346)*(1+Data!$E$92)</f>
        <v>0</v>
      </c>
      <c r="V348" s="177">
        <f>IF($C$348=$F$348,V291*Data!$E$130*Data!U$61,0)*(1+V346)*(1+Data!$E$92)</f>
        <v>0</v>
      </c>
      <c r="W348" s="177">
        <f>IF($C$348=$F$348,W291*Data!$E$130*Data!V$61,0)*(1+W346)*(1+Data!$E$92)</f>
        <v>0</v>
      </c>
      <c r="X348" s="177">
        <f>IF($C$348=$F$348,X291*Data!$E$130*Data!W$61,0)*(1+X346)*(1+Data!$E$92)</f>
        <v>0</v>
      </c>
      <c r="Y348" s="177">
        <f>IF($C$348=$F$348,Y291*Data!$E$130*Data!X$61,0)*(1+Y346)*(1+Data!$E$92)</f>
        <v>0</v>
      </c>
      <c r="Z348" s="177">
        <f>IF($C$348=$F$348,Z291*Data!$E$130*Data!Y$61,0)*(1+Z346)*(1+Data!$E$92)</f>
        <v>0</v>
      </c>
      <c r="AA348" s="177">
        <f>IF($C$348=$F$348,AA291*Data!$E$130*Data!Z$61,0)*(1+AA346)*(1+Data!$E$92)</f>
        <v>0</v>
      </c>
      <c r="AB348" s="177">
        <f>IF($C$348=$F$348,AB291*Data!$E$130*Data!AA$61,0)*(1+AB346)*(1+Data!$E$92)</f>
        <v>0</v>
      </c>
      <c r="AC348" s="177">
        <f>IF($C$348=$F$348,AC291*Data!$E$130*Data!AB$61,0)*(1+AC346)*(1+Data!$E$92)</f>
        <v>0</v>
      </c>
      <c r="AD348" s="177">
        <f>IF($C$348=$F$348,AD291*Data!$E$130*Data!AC$61,0)*(1+AD346)*(1+Data!$E$92)</f>
        <v>0</v>
      </c>
      <c r="AE348" s="177">
        <f>IF($C$348=$F$348,AE291*Data!$E$130*Data!AD$61,0)*(1+AE346)*(1+Data!$E$92)</f>
        <v>0</v>
      </c>
      <c r="AF348" s="177">
        <f>IF($C$348=$F$348,AF291*Data!$E$130*Data!AE$61,0)*(1+AF346)*(1+Data!$E$92)</f>
        <v>0</v>
      </c>
      <c r="AG348" s="177">
        <f>IF($C$348=$F$348,AG291*Data!$E$130*Data!AF$61,0)*(1+AG346)*(1+Data!$E$92)</f>
        <v>0</v>
      </c>
      <c r="AH348" s="177">
        <f>IF($C$348=$F$348,AH291*Data!$E$130*Data!AG$61,0)*(1+AH346)*(1+Data!$E$92)</f>
        <v>0</v>
      </c>
      <c r="AI348" s="177">
        <f>IF($C$348=$F$348,AI291*Data!$E$130*Data!AH$61,0)*(1+AI346)*(1+Data!$E$92)</f>
        <v>0</v>
      </c>
      <c r="AJ348" s="177">
        <f>IF($C$348=$F$348,AJ291*Data!$E$130*Data!AI$61,0)*(1+AJ346)*(1+Data!$E$92)</f>
        <v>0</v>
      </c>
      <c r="AK348" s="177">
        <f>IF($C$348=$F$348,AK291*Data!$E$130*Data!AJ$61,0)*(1+AK346)*(1+Data!$E$92)</f>
        <v>0</v>
      </c>
      <c r="AL348" s="177">
        <f>IF($C$348=$F$348,AL291*Data!$E$130*Data!AK$61,0)*(1+AL346)*(1+Data!$E$92)</f>
        <v>0</v>
      </c>
      <c r="AM348" s="177">
        <f>IF($C$348=$F$348,AM291*Data!$E$129*Data!AL$61,0)*(1+AM346)*(1+Data!$E$92)</f>
        <v>0</v>
      </c>
      <c r="AN348" s="177">
        <f>IF($C$348=$F$348,AN291*Data!$E$129*Data!AM$61,0)*(1+AN346)*(1+Data!$E$92)</f>
        <v>0</v>
      </c>
      <c r="AO348" s="177">
        <f>IF($C$348=$F$348,AO291*Data!$E$129*Data!AN$61,0)*(1+AO346)*(1+Data!$E$92)</f>
        <v>0</v>
      </c>
      <c r="AP348" s="29"/>
    </row>
    <row r="349" spans="1:42" hidden="1" outlineLevel="1" x14ac:dyDescent="0.25">
      <c r="A349" s="12"/>
      <c r="B349" s="13"/>
      <c r="C349" s="45" t="s">
        <v>126</v>
      </c>
      <c r="D349" s="45"/>
      <c r="E349" s="15" t="s">
        <v>318</v>
      </c>
      <c r="F349" s="158" t="str">
        <f>Dashboard!$I$53</f>
        <v>3 Axle rigid</v>
      </c>
      <c r="G349" s="14"/>
      <c r="H349" s="62"/>
      <c r="I349" s="177">
        <f>IF($C$349=$F$349,I291*Data!$E$131*Data!H$61,0)*(1+I346)*(1+Data!$E$92)</f>
        <v>0</v>
      </c>
      <c r="J349" s="177">
        <f>IF($C$349=$F$349,J291*Data!$E$131*Data!I$61,0)*(1+J346)*(1+Data!$E$92)</f>
        <v>0</v>
      </c>
      <c r="K349" s="177">
        <f>IF($C$349=$F$349,K291*Data!$E$131*Data!J$61,0)*(1+K346)*(1+Data!$E$92)</f>
        <v>0</v>
      </c>
      <c r="L349" s="177">
        <f>IF($C$349=$F$349,L291*Data!$E$131*Data!K$61,0)*(1+L346)*(1+Data!$E$92)</f>
        <v>0</v>
      </c>
      <c r="M349" s="177">
        <f>IF($C$349=$F$349,M291*Data!$E$131*Data!L$61,0)*(1+M346)*(1+Data!$E$92)</f>
        <v>0</v>
      </c>
      <c r="N349" s="177">
        <f>IF($C$349=$F$349,N291*Data!$E$131*Data!M$61,0)*(1+N346)*(1+Data!$E$92)</f>
        <v>0</v>
      </c>
      <c r="O349" s="177">
        <f>IF($C$349=$F$349,O291*Data!$E$131*Data!N$61,0)*(1+O346)*(1+Data!$E$92)</f>
        <v>0</v>
      </c>
      <c r="P349" s="177">
        <f>IF($C$349=$F$349,P291*Data!$E$131*Data!O$61,0)*(1+P346)*(1+Data!$E$92)</f>
        <v>0</v>
      </c>
      <c r="Q349" s="177">
        <f>IF($C$349=$F$349,Q291*Data!$E$131*Data!P$61,0)*(1+Q346)*(1+Data!$E$92)</f>
        <v>0</v>
      </c>
      <c r="R349" s="177">
        <f>IF($C$349=$F$349,R291*Data!$E$131*Data!Q$61,0)*(1+R346)*(1+Data!$E$92)</f>
        <v>0</v>
      </c>
      <c r="S349" s="177">
        <f>IF($C$349=$F$349,S291*Data!$E$131*Data!R$61,0)*(1+S346)*(1+Data!$E$92)</f>
        <v>0</v>
      </c>
      <c r="T349" s="177">
        <f>IF($C$349=$F$349,T291*Data!$E$131*Data!S$61,0)*(1+T346)*(1+Data!$E$92)</f>
        <v>0</v>
      </c>
      <c r="U349" s="177">
        <f>IF($C$349=$F$349,U291*Data!$E$131*Data!T$61,0)*(1+U346)*(1+Data!$E$92)</f>
        <v>0</v>
      </c>
      <c r="V349" s="177">
        <f>IF($C$349=$F$349,V291*Data!$E$131*Data!U$61,0)*(1+V346)*(1+Data!$E$92)</f>
        <v>0</v>
      </c>
      <c r="W349" s="177">
        <f>IF($C$349=$F$349,W291*Data!$E$131*Data!V$61,0)*(1+W346)*(1+Data!$E$92)</f>
        <v>0</v>
      </c>
      <c r="X349" s="177">
        <f>IF($C$349=$F$349,X291*Data!$E$131*Data!W$61,0)*(1+X346)*(1+Data!$E$92)</f>
        <v>0</v>
      </c>
      <c r="Y349" s="177">
        <f>IF($C$349=$F$349,Y291*Data!$E$131*Data!X$61,0)*(1+Y346)*(1+Data!$E$92)</f>
        <v>0</v>
      </c>
      <c r="Z349" s="177">
        <f>IF($C$349=$F$349,Z291*Data!$E$131*Data!Y$61,0)*(1+Z346)*(1+Data!$E$92)</f>
        <v>0</v>
      </c>
      <c r="AA349" s="177">
        <f>IF($C$349=$F$349,AA291*Data!$E$131*Data!Z$61,0)*(1+AA346)*(1+Data!$E$92)</f>
        <v>0</v>
      </c>
      <c r="AB349" s="177">
        <f>IF($C$349=$F$349,AB291*Data!$E$131*Data!AA$61,0)*(1+AB346)*(1+Data!$E$92)</f>
        <v>0</v>
      </c>
      <c r="AC349" s="177">
        <f>IF($C$349=$F$349,AC291*Data!$E$131*Data!AB$61,0)*(1+AC346)*(1+Data!$E$92)</f>
        <v>0</v>
      </c>
      <c r="AD349" s="177">
        <f>IF($C$349=$F$349,AD291*Data!$E$131*Data!AC$61,0)*(1+AD346)*(1+Data!$E$92)</f>
        <v>0</v>
      </c>
      <c r="AE349" s="177">
        <f>IF($C$349=$F$349,AE291*Data!$E$131*Data!AD$61,0)*(1+AE346)*(1+Data!$E$92)</f>
        <v>0</v>
      </c>
      <c r="AF349" s="177">
        <f>IF($C$349=$F$349,AF291*Data!$E$131*Data!AE$61,0)*(1+AF346)*(1+Data!$E$92)</f>
        <v>0</v>
      </c>
      <c r="AG349" s="177">
        <f>IF($C$349=$F$349,AG291*Data!$E$131*Data!AF$61,0)*(1+AG346)*(1+Data!$E$92)</f>
        <v>0</v>
      </c>
      <c r="AH349" s="177">
        <f>IF($C$349=$F$349,AH291*Data!$E$131*Data!AG$61,0)*(1+AH346)*(1+Data!$E$92)</f>
        <v>0</v>
      </c>
      <c r="AI349" s="177">
        <f>IF($C$349=$F$349,AI291*Data!$E$131*Data!AH$61,0)*(1+AI346)*(1+Data!$E$92)</f>
        <v>0</v>
      </c>
      <c r="AJ349" s="177">
        <f>IF($C$349=$F$349,AJ291*Data!$E$131*Data!AI$61,0)*(1+AJ346)*(1+Data!$E$92)</f>
        <v>0</v>
      </c>
      <c r="AK349" s="177">
        <f>IF($C$349=$F$349,AK291*Data!$E$131*Data!AJ$61,0)*(1+AK346)*(1+Data!$E$92)</f>
        <v>0</v>
      </c>
      <c r="AL349" s="177">
        <f>IF($C$349=$F$349,AL291*Data!$E$131*Data!AK$61,0)*(1+AL346)*(1+Data!$E$92)</f>
        <v>0</v>
      </c>
      <c r="AM349" s="177">
        <f>IF($C$349=$F$349,AM291*Data!$E$129*Data!AL$61,0)*(1+AM346)*(1+Data!$E$92)</f>
        <v>0</v>
      </c>
      <c r="AN349" s="177">
        <f>IF($C$349=$F$349,AN291*Data!$E$129*Data!AM$61,0)*(1+AN346)*(1+Data!$E$92)</f>
        <v>0</v>
      </c>
      <c r="AO349" s="177">
        <f>IF($C$349=$F$349,AO291*Data!$E$129*Data!AN$61,0)*(1+AO346)*(1+Data!$E$92)</f>
        <v>0</v>
      </c>
      <c r="AP349" s="17"/>
    </row>
    <row r="350" spans="1:42" hidden="1" outlineLevel="1" x14ac:dyDescent="0.25">
      <c r="A350" s="12"/>
      <c r="B350" s="13"/>
      <c r="C350" s="19" t="s">
        <v>476</v>
      </c>
      <c r="D350" s="45"/>
      <c r="E350" s="15"/>
      <c r="F350" s="158"/>
      <c r="G350" s="14"/>
      <c r="H350" s="28"/>
      <c r="I350" s="182">
        <f>SUM(I338:I340)+I343+I342+SUM(I347:I349)</f>
        <v>198359.70910206286</v>
      </c>
      <c r="J350" s="182">
        <f t="shared" ref="J350:AN350" si="80">SUM(J338:J340)+J343+J342+SUM(J347:J349)</f>
        <v>171068.98289266857</v>
      </c>
      <c r="K350" s="182">
        <f t="shared" si="80"/>
        <v>171068.98289266857</v>
      </c>
      <c r="L350" s="182">
        <f t="shared" si="80"/>
        <v>171068.98289266857</v>
      </c>
      <c r="M350" s="182">
        <f t="shared" si="80"/>
        <v>171068.98289266857</v>
      </c>
      <c r="N350" s="182">
        <f t="shared" si="80"/>
        <v>171068.98289266857</v>
      </c>
      <c r="O350" s="182">
        <f t="shared" si="80"/>
        <v>171068.98289266857</v>
      </c>
      <c r="P350" s="182">
        <f t="shared" si="80"/>
        <v>171068.98289266857</v>
      </c>
      <c r="Q350" s="182">
        <f t="shared" si="80"/>
        <v>171068.98289266857</v>
      </c>
      <c r="R350" s="182">
        <f t="shared" si="80"/>
        <v>171068.98289266857</v>
      </c>
      <c r="S350" s="182">
        <f t="shared" si="80"/>
        <v>171068.98289266857</v>
      </c>
      <c r="T350" s="182">
        <f t="shared" si="80"/>
        <v>171068.98289266857</v>
      </c>
      <c r="U350" s="182">
        <f t="shared" si="80"/>
        <v>0</v>
      </c>
      <c r="V350" s="182">
        <f t="shared" si="80"/>
        <v>0</v>
      </c>
      <c r="W350" s="182">
        <f t="shared" si="80"/>
        <v>0</v>
      </c>
      <c r="X350" s="182">
        <f t="shared" si="80"/>
        <v>0</v>
      </c>
      <c r="Y350" s="182">
        <f t="shared" si="80"/>
        <v>0</v>
      </c>
      <c r="Z350" s="182">
        <f t="shared" si="80"/>
        <v>0</v>
      </c>
      <c r="AA350" s="182">
        <f t="shared" si="80"/>
        <v>0</v>
      </c>
      <c r="AB350" s="182">
        <f t="shared" si="80"/>
        <v>0</v>
      </c>
      <c r="AC350" s="182">
        <f t="shared" si="80"/>
        <v>0</v>
      </c>
      <c r="AD350" s="182">
        <f t="shared" si="80"/>
        <v>0</v>
      </c>
      <c r="AE350" s="182">
        <f t="shared" si="80"/>
        <v>0</v>
      </c>
      <c r="AF350" s="182">
        <f t="shared" si="80"/>
        <v>0</v>
      </c>
      <c r="AG350" s="182">
        <f t="shared" si="80"/>
        <v>0</v>
      </c>
      <c r="AH350" s="182">
        <f t="shared" si="80"/>
        <v>0</v>
      </c>
      <c r="AI350" s="182">
        <f t="shared" si="80"/>
        <v>0</v>
      </c>
      <c r="AJ350" s="182">
        <f t="shared" si="80"/>
        <v>0</v>
      </c>
      <c r="AK350" s="182">
        <f t="shared" si="80"/>
        <v>0</v>
      </c>
      <c r="AL350" s="182">
        <f t="shared" si="80"/>
        <v>0</v>
      </c>
      <c r="AM350" s="182">
        <f t="shared" si="80"/>
        <v>0</v>
      </c>
      <c r="AN350" s="182">
        <f t="shared" si="80"/>
        <v>0</v>
      </c>
      <c r="AO350" s="182">
        <f>SUM(AO338:AO340)+AO343+AO342+SUM(AO347:AO349)</f>
        <v>0</v>
      </c>
      <c r="AP350" s="29"/>
    </row>
    <row r="351" spans="1:42" hidden="1" outlineLevel="1" x14ac:dyDescent="0.25">
      <c r="A351" s="12"/>
      <c r="B351" s="13"/>
      <c r="C351" s="96"/>
      <c r="D351" s="45"/>
      <c r="E351" s="15"/>
      <c r="F351" s="158"/>
      <c r="G351" s="14"/>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9"/>
    </row>
    <row r="352" spans="1:42" hidden="1" outlineLevel="1" x14ac:dyDescent="0.25">
      <c r="A352" s="12"/>
      <c r="B352" s="13"/>
      <c r="C352" s="37" t="s">
        <v>477</v>
      </c>
      <c r="D352" s="37"/>
      <c r="E352" s="38"/>
      <c r="F352" s="39"/>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17"/>
    </row>
    <row r="353" spans="1:42" s="140" customFormat="1" collapsed="1" x14ac:dyDescent="0.25">
      <c r="A353" s="78"/>
      <c r="B353" s="19"/>
      <c r="C353" s="44" t="s">
        <v>249</v>
      </c>
      <c r="D353" s="44"/>
      <c r="E353" s="21" t="s">
        <v>142</v>
      </c>
      <c r="F353" s="375" t="str">
        <f>Dashboard!I53</f>
        <v>3 Axle rigid</v>
      </c>
      <c r="G353" s="20"/>
      <c r="H353" s="49"/>
      <c r="I353" s="182">
        <f>-IF(COUNT($I$3:I$3)=(Dashboard!$I$31+1),INDEX(Data!$E$99:$E$101,MATCH($F$353,Data!$B$99:$B$101,0)),0)</f>
        <v>0</v>
      </c>
      <c r="J353" s="182">
        <f>-IF(COUNT($I$3:J$3)=(Dashboard!$I$31+1),INDEX(Data!$E$99:$E$101,MATCH($F$353,Data!$B$99:$B$101,0)),0)</f>
        <v>0</v>
      </c>
      <c r="K353" s="182">
        <f>-IF(COUNT($I$3:K$3)=(Dashboard!$I$31+1),INDEX(Data!$E$99:$E$101,MATCH($F$353,Data!$B$99:$B$101,0)),0)</f>
        <v>0</v>
      </c>
      <c r="L353" s="182">
        <f>-IF(COUNT($I$3:L$3)=(Dashboard!$I$31+1),INDEX(Data!$E$99:$E$101,MATCH($F$353,Data!$B$99:$B$101,0)),0)</f>
        <v>0</v>
      </c>
      <c r="M353" s="182">
        <f>-IF(COUNT($I$3:M$3)=(Dashboard!$I$31+1),INDEX(Data!$E$99:$E$101,MATCH($F$353,Data!$B$99:$B$101,0)),0)</f>
        <v>0</v>
      </c>
      <c r="N353" s="182">
        <f>-IF(COUNT($I$3:N$3)=(Dashboard!$I$31+1),INDEX(Data!$E$99:$E$101,MATCH($F$353,Data!$B$99:$B$101,0)),0)</f>
        <v>0</v>
      </c>
      <c r="O353" s="182">
        <f>-IF(COUNT($I$3:O$3)=(Dashboard!$I$31+1),INDEX(Data!$E$99:$E$101,MATCH($F$353,Data!$B$99:$B$101,0)),0)</f>
        <v>0</v>
      </c>
      <c r="P353" s="182">
        <f>-IF(COUNT($I$3:P$3)=(Dashboard!$I$31+1),INDEX(Data!$E$99:$E$101,MATCH($F$353,Data!$B$99:$B$101,0)),0)</f>
        <v>0</v>
      </c>
      <c r="Q353" s="182">
        <f>-IF(COUNT($I$3:Q$3)=(Dashboard!$I$31+1),INDEX(Data!$E$99:$E$101,MATCH($F$353,Data!$B$99:$B$101,0)),0)</f>
        <v>0</v>
      </c>
      <c r="R353" s="182">
        <f>-IF(COUNT($I$3:R$3)=(Dashboard!$I$31+1),INDEX(Data!$E$99:$E$101,MATCH($F$353,Data!$B$99:$B$101,0)),0)</f>
        <v>0</v>
      </c>
      <c r="S353" s="182">
        <f>-IF(COUNT($I$3:S$3)=(Dashboard!$I$31+1),INDEX(Data!$E$99:$E$101,MATCH($F$353,Data!$B$99:$B$101,0)),0)</f>
        <v>0</v>
      </c>
      <c r="T353" s="182">
        <f>-IF(COUNT($I$3:T$3)=(Dashboard!$I$31+1),INDEX(Data!$E$99:$E$101,MATCH($F$353,Data!$B$99:$B$101,0)),0)</f>
        <v>0</v>
      </c>
      <c r="U353" s="182">
        <f>-IF(COUNT($I$3:U$3)=(Dashboard!$I$31+1),INDEX(Data!$E$99:$E$101,MATCH($F$353,Data!$B$99:$B$101,0)),0)</f>
        <v>-60000</v>
      </c>
      <c r="V353" s="182">
        <f>-IF(COUNT($I$3:V$3)=(Dashboard!$I$31+1),INDEX(Data!$E$99:$E$101,MATCH($F$353,Data!$B$99:$B$101,0)),0)</f>
        <v>0</v>
      </c>
      <c r="W353" s="182">
        <f>-IF(COUNT($I$3:W$3)=(Dashboard!$I$31+1),INDEX(Data!$E$99:$E$101,MATCH($F$353,Data!$B$99:$B$101,0)),0)</f>
        <v>0</v>
      </c>
      <c r="X353" s="182">
        <f>-IF(COUNT($I$3:X$3)=(Dashboard!$I$31+1),INDEX(Data!$E$99:$E$101,MATCH($F$353,Data!$B$99:$B$101,0)),0)</f>
        <v>0</v>
      </c>
      <c r="Y353" s="182">
        <f>-IF(COUNT($I$3:Y$3)=(Dashboard!$I$31+1),INDEX(Data!$E$99:$E$101,MATCH($F$353,Data!$B$99:$B$101,0)),0)</f>
        <v>0</v>
      </c>
      <c r="Z353" s="182">
        <f>-IF(COUNT($I$3:Z$3)=(Dashboard!$I$31+1),INDEX(Data!$E$99:$E$101,MATCH($F$353,Data!$B$99:$B$101,0)),0)</f>
        <v>0</v>
      </c>
      <c r="AA353" s="182">
        <f>-IF(COUNT($I$3:AA$3)=(Dashboard!$I$31+1),INDEX(Data!$E$99:$E$101,MATCH($F$353,Data!$B$99:$B$101,0)),0)</f>
        <v>0</v>
      </c>
      <c r="AB353" s="182">
        <f>-IF(COUNT($I$3:AB$3)=(Dashboard!$I$31+1),INDEX(Data!$E$99:$E$101,MATCH($F$353,Data!$B$99:$B$101,0)),0)</f>
        <v>0</v>
      </c>
      <c r="AC353" s="182">
        <f>-IF(COUNT($I$3:AC$3)=(Dashboard!$I$31+1),INDEX(Data!$E$99:$E$101,MATCH($F$353,Data!$B$99:$B$101,0)),0)</f>
        <v>0</v>
      </c>
      <c r="AD353" s="182">
        <f>-IF(COUNT($I$3:AD$3)=(Dashboard!$I$31+1),INDEX(Data!$E$99:$E$101,MATCH($F$353,Data!$B$99:$B$101,0)),0)</f>
        <v>0</v>
      </c>
      <c r="AE353" s="182">
        <f>-IF(COUNT($I$3:AE$3)=(Dashboard!$I$31+1),INDEX(Data!$E$99:$E$101,MATCH($F$353,Data!$B$99:$B$101,0)),0)</f>
        <v>0</v>
      </c>
      <c r="AF353" s="182">
        <f>-IF(COUNT($I$3:AF$3)=(Dashboard!$I$31+1),INDEX(Data!$E$99:$E$101,MATCH($F$353,Data!$B$99:$B$101,0)),0)</f>
        <v>0</v>
      </c>
      <c r="AG353" s="182">
        <f>-IF(COUNT($I$3:AG$3)=(Dashboard!$I$31+1),INDEX(Data!$E$99:$E$101,MATCH($F$353,Data!$B$99:$B$101,0)),0)</f>
        <v>0</v>
      </c>
      <c r="AH353" s="182">
        <f>-IF(COUNT($I$3:AH$3)=(Dashboard!$I$31+1),INDEX(Data!$E$99:$E$101,MATCH($F$353,Data!$B$99:$B$101,0)),0)</f>
        <v>0</v>
      </c>
      <c r="AI353" s="182">
        <f>-IF(COUNT($I$3:AI$3)=(Dashboard!$I$31+1),INDEX(Data!$E$99:$E$101,MATCH($F$353,Data!$B$99:$B$101,0)),0)</f>
        <v>0</v>
      </c>
      <c r="AJ353" s="182">
        <f>-IF(COUNT($I$3:AJ$3)=(Dashboard!$I$31+1),INDEX(Data!$E$99:$E$101,MATCH($F$353,Data!$B$99:$B$101,0)),0)</f>
        <v>0</v>
      </c>
      <c r="AK353" s="182">
        <f>-IF(COUNT($I$3:AK$3)=(Dashboard!$I$31+1),INDEX(Data!$E$99:$E$101,MATCH($F$353,Data!$B$99:$B$101,0)),0)</f>
        <v>0</v>
      </c>
      <c r="AL353" s="182">
        <f>-IF(COUNT($I$3:AL$3)=(Dashboard!$I$31+1),INDEX(Data!$E$99:$E$101,MATCH($F$353,Data!$B$99:$B$101,0)),0)</f>
        <v>0</v>
      </c>
      <c r="AM353" s="182">
        <f>-IF(COUNT($I$3:AM$3)=(Dashboard!$I$31+1),INDEX(Data!$E$99:$E$101,MATCH($F$353,Data!$B$99:$B$101,0)),0)</f>
        <v>0</v>
      </c>
      <c r="AN353" s="182">
        <f>-IF(COUNT($I$3:AN$3)=(Dashboard!$I$31+1),INDEX(Data!$E$99:$E$101,MATCH($F$353,Data!$B$99:$B$101,0)),0)</f>
        <v>0</v>
      </c>
      <c r="AO353" s="182">
        <f>-IF(COUNT($I$3:AO$3)=(Dashboard!$I$31+1),INDEX(Data!$E$99:$E$101,MATCH($F$353,Data!$B$99:$B$101,0)),0)</f>
        <v>0</v>
      </c>
      <c r="AP353" s="50"/>
    </row>
    <row r="354" spans="1:42" hidden="1" outlineLevel="1" x14ac:dyDescent="0.25">
      <c r="A354" s="12"/>
      <c r="B354" s="13"/>
      <c r="C354" s="96"/>
      <c r="D354" s="45"/>
      <c r="E354" s="15"/>
      <c r="F354" s="16"/>
      <c r="G354" s="14"/>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9"/>
    </row>
    <row r="355" spans="1:42" hidden="1" outlineLevel="1" x14ac:dyDescent="0.25">
      <c r="A355" s="12"/>
      <c r="B355" s="13"/>
      <c r="C355" s="37" t="s">
        <v>479</v>
      </c>
      <c r="D355" s="37"/>
      <c r="E355" s="38"/>
      <c r="F355" s="39"/>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17"/>
    </row>
    <row r="356" spans="1:42" hidden="1" outlineLevel="1" x14ac:dyDescent="0.25">
      <c r="A356" s="12"/>
      <c r="B356" s="13"/>
      <c r="C356" s="14" t="s">
        <v>479</v>
      </c>
      <c r="D356" s="14"/>
      <c r="E356" s="15" t="s">
        <v>318</v>
      </c>
      <c r="F356" s="16"/>
      <c r="G356" s="14"/>
      <c r="H356" s="165"/>
      <c r="I356" s="165">
        <f>I316+I331+I350-I334+I353</f>
        <v>198359.70910206286</v>
      </c>
      <c r="J356" s="165">
        <f t="shared" ref="J356:AO356" si="81">J316+J331+J350-J334+J353</f>
        <v>171068.98289266857</v>
      </c>
      <c r="K356" s="165">
        <f t="shared" si="81"/>
        <v>171068.98289266857</v>
      </c>
      <c r="L356" s="165">
        <f t="shared" si="81"/>
        <v>171068.98289266857</v>
      </c>
      <c r="M356" s="165">
        <f t="shared" si="81"/>
        <v>171068.98289266857</v>
      </c>
      <c r="N356" s="165">
        <f t="shared" si="81"/>
        <v>171068.98289266857</v>
      </c>
      <c r="O356" s="165">
        <f t="shared" si="81"/>
        <v>171068.98289266857</v>
      </c>
      <c r="P356" s="165">
        <f t="shared" si="81"/>
        <v>171068.98289266857</v>
      </c>
      <c r="Q356" s="165">
        <f t="shared" si="81"/>
        <v>171068.98289266857</v>
      </c>
      <c r="R356" s="165">
        <f t="shared" si="81"/>
        <v>171068.98289266857</v>
      </c>
      <c r="S356" s="165">
        <f t="shared" si="81"/>
        <v>171068.98289266857</v>
      </c>
      <c r="T356" s="165">
        <f t="shared" si="81"/>
        <v>236556.74068514828</v>
      </c>
      <c r="U356" s="165">
        <f t="shared" si="81"/>
        <v>104051.41113214349</v>
      </c>
      <c r="V356" s="165">
        <f t="shared" si="81"/>
        <v>163578.47353007496</v>
      </c>
      <c r="W356" s="165">
        <f t="shared" si="81"/>
        <v>163116.52249131302</v>
      </c>
      <c r="X356" s="165">
        <f t="shared" si="81"/>
        <v>162665.25847360055</v>
      </c>
      <c r="Y356" s="165">
        <f t="shared" si="81"/>
        <v>162224.39105133037</v>
      </c>
      <c r="Z356" s="165">
        <f t="shared" si="81"/>
        <v>161793.63862106024</v>
      </c>
      <c r="AA356" s="165">
        <f t="shared" si="81"/>
        <v>161372.72811681635</v>
      </c>
      <c r="AB356" s="165">
        <f t="shared" si="81"/>
        <v>160961.39473485627</v>
      </c>
      <c r="AC356" s="165">
        <f t="shared" si="81"/>
        <v>160559.38166757251</v>
      </c>
      <c r="AD356" s="165">
        <f t="shared" si="81"/>
        <v>160166.43984622924</v>
      </c>
      <c r="AE356" s="165">
        <f t="shared" si="81"/>
        <v>159782.32769223512</v>
      </c>
      <c r="AF356" s="165">
        <f t="shared" si="81"/>
        <v>159406.81087666459</v>
      </c>
      <c r="AG356" s="165">
        <f t="shared" si="81"/>
        <v>159039.66208775074</v>
      </c>
      <c r="AH356" s="165">
        <f t="shared" si="81"/>
        <v>158680.66080608123</v>
      </c>
      <c r="AI356" s="165">
        <f t="shared" si="81"/>
        <v>158329.59308723878</v>
      </c>
      <c r="AJ356" s="165">
        <f t="shared" si="81"/>
        <v>157986.25135163523</v>
      </c>
      <c r="AK356" s="165">
        <f t="shared" si="81"/>
        <v>157986.25135163523</v>
      </c>
      <c r="AL356" s="165">
        <f t="shared" si="81"/>
        <v>157986.25135163523</v>
      </c>
      <c r="AM356" s="165">
        <f t="shared" si="81"/>
        <v>157986.25135163523</v>
      </c>
      <c r="AN356" s="165">
        <f t="shared" si="81"/>
        <v>92498.493559155526</v>
      </c>
      <c r="AO356" s="165">
        <f t="shared" si="81"/>
        <v>-133500</v>
      </c>
      <c r="AP356" s="29"/>
    </row>
    <row r="357" spans="1:42" s="140" customFormat="1" hidden="1" outlineLevel="1" x14ac:dyDescent="0.25">
      <c r="A357" s="78"/>
      <c r="B357" s="19"/>
      <c r="C357" s="20" t="s">
        <v>480</v>
      </c>
      <c r="D357" s="20"/>
      <c r="E357" s="21" t="s">
        <v>318</v>
      </c>
      <c r="F357" s="48"/>
      <c r="G357" s="20"/>
      <c r="H357" s="182"/>
      <c r="I357" s="182">
        <f>I356*Data!H$9</f>
        <v>190730.48952121427</v>
      </c>
      <c r="J357" s="182">
        <f>J356*Data!I$9</f>
        <v>158162.89098804415</v>
      </c>
      <c r="K357" s="182">
        <f>K356*Data!J$9</f>
        <v>152079.70287311939</v>
      </c>
      <c r="L357" s="182">
        <f>L356*Data!K$9</f>
        <v>146230.48353184556</v>
      </c>
      <c r="M357" s="182">
        <f>M356*Data!L$9</f>
        <v>140606.23416523609</v>
      </c>
      <c r="N357" s="182">
        <f>N356*Data!M$9</f>
        <v>135198.30208195778</v>
      </c>
      <c r="O357" s="182">
        <f>O356*Data!N$9</f>
        <v>129998.36738649788</v>
      </c>
      <c r="P357" s="182">
        <f>P356*Data!O$9</f>
        <v>124998.43017932486</v>
      </c>
      <c r="Q357" s="182">
        <f>Q356*Data!P$9</f>
        <v>120190.7982493508</v>
      </c>
      <c r="R357" s="182">
        <f>R356*Data!Q$9</f>
        <v>115568.07523976039</v>
      </c>
      <c r="S357" s="182">
        <f>S356*Data!R$9</f>
        <v>111123.14926900039</v>
      </c>
      <c r="T357" s="182">
        <f>T356*Data!S$9</f>
        <v>147752.64229022016</v>
      </c>
      <c r="U357" s="182">
        <f>U356*Data!T$9</f>
        <v>62490.581151710736</v>
      </c>
      <c r="V357" s="182">
        <f>V356*Data!U$9</f>
        <v>94462.492549644609</v>
      </c>
      <c r="W357" s="182">
        <f>W356*Data!V$9</f>
        <v>90572.814745457625</v>
      </c>
      <c r="X357" s="182">
        <f>X356*Data!W$9</f>
        <v>86848.311399105864</v>
      </c>
      <c r="Y357" s="182">
        <f>Y356*Data!X$9</f>
        <v>83281.662190348346</v>
      </c>
      <c r="Z357" s="182">
        <f>Z356*Data!Y$9</f>
        <v>79865.889824098093</v>
      </c>
      <c r="AA357" s="182">
        <f>AA356*Data!Z$9</f>
        <v>76594.342848821398</v>
      </c>
      <c r="AB357" s="182">
        <f>AB356*Data!AA$9</f>
        <v>73460.679399341781</v>
      </c>
      <c r="AC357" s="182">
        <f>AC356*Data!AB$9</f>
        <v>70458.851810799155</v>
      </c>
      <c r="AD357" s="182">
        <f>AD356*Data!AC$9</f>
        <v>67583.092053766173</v>
      </c>
      <c r="AE357" s="182">
        <f>AE356*Data!AD$9</f>
        <v>64827.897943567681</v>
      </c>
      <c r="AF357" s="182">
        <f>AF356*Data!AE$9</f>
        <v>62188.020079699083</v>
      </c>
      <c r="AG357" s="182">
        <f>AG356*Data!AF$9</f>
        <v>59658.449473908011</v>
      </c>
      <c r="AH357" s="182">
        <f>AH356*Data!AG$9</f>
        <v>57234.405828002964</v>
      </c>
      <c r="AI357" s="182">
        <f>AI356*Data!AH$9</f>
        <v>54911.32642479318</v>
      </c>
      <c r="AJ357" s="182">
        <f>AJ356*Data!AI$9</f>
        <v>52684.855597757916</v>
      </c>
      <c r="AK357" s="182">
        <f>AK356*Data!AJ$9</f>
        <v>50658.514997844148</v>
      </c>
      <c r="AL357" s="182">
        <f>AL356*Data!AK$9</f>
        <v>48710.11057485015</v>
      </c>
      <c r="AM357" s="182">
        <f>AM356*Data!AL$9</f>
        <v>46836.644783509757</v>
      </c>
      <c r="AN357" s="182">
        <f>AN356*Data!AM$9</f>
        <v>26367.43003301297</v>
      </c>
      <c r="AO357" s="182">
        <f>AO356*Data!AN$9</f>
        <v>-36591.5721140081</v>
      </c>
      <c r="AP357" s="50"/>
    </row>
    <row r="358" spans="1:42" hidden="1" outlineLevel="1" x14ac:dyDescent="0.25">
      <c r="A358" s="12"/>
      <c r="B358" s="13"/>
      <c r="C358" s="14" t="s">
        <v>479</v>
      </c>
      <c r="D358" s="14"/>
      <c r="E358" s="15" t="s">
        <v>54</v>
      </c>
      <c r="F358" s="16"/>
      <c r="G358" s="159">
        <f>SUM(H357:AO357)</f>
        <v>2945744.3673716034</v>
      </c>
      <c r="H358" s="165"/>
      <c r="I358" s="165"/>
      <c r="J358" s="165"/>
      <c r="K358" s="165"/>
      <c r="L358" s="165"/>
      <c r="M358" s="165"/>
      <c r="N358" s="165"/>
      <c r="O358" s="165"/>
      <c r="P358" s="165"/>
      <c r="Q358" s="165"/>
      <c r="R358" s="165"/>
      <c r="S358" s="165"/>
      <c r="T358" s="165"/>
      <c r="U358" s="165"/>
      <c r="V358" s="165"/>
      <c r="W358" s="28"/>
      <c r="X358" s="28"/>
      <c r="Y358" s="28"/>
      <c r="Z358" s="28"/>
      <c r="AA358" s="28"/>
      <c r="AB358" s="28"/>
      <c r="AC358" s="28"/>
      <c r="AD358" s="28"/>
      <c r="AE358" s="28"/>
      <c r="AF358" s="28"/>
      <c r="AG358" s="28"/>
      <c r="AH358" s="28"/>
      <c r="AI358" s="28"/>
      <c r="AJ358" s="28"/>
      <c r="AK358" s="28"/>
      <c r="AL358" s="28"/>
      <c r="AM358" s="28"/>
      <c r="AN358" s="28"/>
      <c r="AO358" s="28"/>
      <c r="AP358" s="29"/>
    </row>
    <row r="359" spans="1:42" hidden="1" outlineLevel="1" x14ac:dyDescent="0.25">
      <c r="A359" s="12"/>
      <c r="B359" s="13"/>
      <c r="C359" s="44" t="s">
        <v>481</v>
      </c>
      <c r="D359" s="45"/>
      <c r="E359" s="15" t="s">
        <v>261</v>
      </c>
      <c r="F359" s="16"/>
      <c r="G359" s="183">
        <f>G358/(SUM(H291:AN291)+SUM(H293:AN293))</f>
        <v>1.7881606736667173</v>
      </c>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9"/>
    </row>
    <row r="360" spans="1:42" hidden="1" outlineLevel="1" x14ac:dyDescent="0.25">
      <c r="A360" s="12"/>
      <c r="B360" s="13"/>
      <c r="C360" s="41"/>
      <c r="D360" s="41"/>
      <c r="E360" s="15"/>
      <c r="F360" s="16"/>
      <c r="G360" s="14"/>
      <c r="I360" s="141"/>
      <c r="J360" s="141"/>
      <c r="K360" s="141"/>
      <c r="L360" s="141"/>
      <c r="M360" s="141"/>
      <c r="N360" s="141"/>
      <c r="O360" s="141"/>
      <c r="P360" s="141"/>
      <c r="Q360" s="141"/>
      <c r="R360" s="141"/>
      <c r="S360" s="141"/>
      <c r="T360" s="141"/>
      <c r="U360" s="141"/>
      <c r="V360" s="141"/>
      <c r="W360" s="141"/>
      <c r="X360" s="141"/>
      <c r="Y360" s="141"/>
      <c r="Z360" s="141"/>
      <c r="AA360" s="141"/>
      <c r="AB360" s="141"/>
      <c r="AC360" s="14"/>
      <c r="AD360" s="14"/>
      <c r="AE360" s="14"/>
      <c r="AF360" s="14"/>
      <c r="AG360" s="14"/>
      <c r="AH360" s="14"/>
      <c r="AI360" s="14"/>
      <c r="AJ360" s="14"/>
      <c r="AK360" s="14"/>
      <c r="AL360" s="14"/>
      <c r="AM360" s="14"/>
      <c r="AN360" s="14"/>
      <c r="AO360" s="14"/>
      <c r="AP360" s="17"/>
    </row>
    <row r="361" spans="1:42" hidden="1" outlineLevel="1" x14ac:dyDescent="0.25">
      <c r="A361" s="12"/>
      <c r="B361" s="13"/>
      <c r="C361" s="37" t="s">
        <v>515</v>
      </c>
      <c r="D361" s="37"/>
      <c r="E361" s="38"/>
      <c r="F361" s="39"/>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17"/>
    </row>
    <row r="362" spans="1:42" hidden="1" outlineLevel="1" x14ac:dyDescent="0.25">
      <c r="A362" s="12"/>
      <c r="B362" s="13"/>
      <c r="C362" s="14"/>
      <c r="D362" s="14"/>
      <c r="E362" s="15"/>
      <c r="F362" s="16"/>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row>
    <row r="363" spans="1:42" hidden="1" outlineLevel="1" x14ac:dyDescent="0.25">
      <c r="A363" s="12"/>
      <c r="B363" s="13"/>
      <c r="C363" s="20" t="s">
        <v>602</v>
      </c>
      <c r="D363" s="45"/>
      <c r="E363" s="15"/>
      <c r="F363" s="16"/>
      <c r="G363" s="165"/>
      <c r="H363" s="165"/>
      <c r="I363" s="165"/>
      <c r="J363" s="165"/>
      <c r="K363" s="165"/>
      <c r="L363" s="165"/>
      <c r="M363" s="165"/>
      <c r="N363" s="165"/>
      <c r="O363" s="165"/>
      <c r="P363" s="165"/>
      <c r="Q363" s="165"/>
      <c r="R363" s="165"/>
      <c r="S363" s="165"/>
      <c r="T363" s="165"/>
      <c r="U363" s="28"/>
      <c r="V363" s="28"/>
      <c r="W363" s="28"/>
      <c r="X363" s="28"/>
      <c r="Y363" s="28"/>
      <c r="Z363" s="28"/>
      <c r="AA363" s="28"/>
      <c r="AB363" s="28"/>
      <c r="AC363" s="28"/>
      <c r="AD363" s="28"/>
      <c r="AE363" s="28"/>
      <c r="AF363" s="28"/>
      <c r="AG363" s="28"/>
      <c r="AH363" s="28"/>
      <c r="AI363" s="28"/>
      <c r="AJ363" s="28"/>
      <c r="AK363" s="28"/>
      <c r="AL363" s="28"/>
      <c r="AM363" s="28"/>
      <c r="AN363" s="28"/>
      <c r="AO363" s="28"/>
      <c r="AP363" s="29"/>
    </row>
    <row r="364" spans="1:42" hidden="1" outlineLevel="1" x14ac:dyDescent="0.25">
      <c r="A364" s="12"/>
      <c r="B364" s="13"/>
      <c r="C364" s="45" t="s">
        <v>517</v>
      </c>
      <c r="D364" s="45"/>
      <c r="E364" s="15" t="s">
        <v>342</v>
      </c>
      <c r="F364" s="179">
        <f>Data!$E$396</f>
        <v>105600</v>
      </c>
      <c r="G364" s="165"/>
      <c r="H364" s="165"/>
      <c r="I364" s="165"/>
      <c r="J364" s="165"/>
      <c r="K364" s="165"/>
      <c r="L364" s="165"/>
      <c r="M364" s="165"/>
      <c r="N364" s="165"/>
      <c r="O364" s="165"/>
      <c r="P364" s="165"/>
      <c r="Q364" s="165"/>
      <c r="R364" s="165"/>
      <c r="S364" s="165"/>
      <c r="T364" s="165"/>
      <c r="U364" s="28"/>
      <c r="V364" s="28"/>
      <c r="W364" s="28"/>
      <c r="X364" s="28"/>
      <c r="Y364" s="28"/>
      <c r="Z364" s="28"/>
      <c r="AA364" s="28"/>
      <c r="AB364" s="28"/>
      <c r="AC364" s="28"/>
      <c r="AD364" s="28"/>
      <c r="AE364" s="28"/>
      <c r="AF364" s="28"/>
      <c r="AG364" s="28"/>
      <c r="AH364" s="28"/>
      <c r="AI364" s="28"/>
      <c r="AJ364" s="28"/>
      <c r="AK364" s="28"/>
      <c r="AL364" s="28"/>
      <c r="AM364" s="28"/>
      <c r="AN364" s="28"/>
      <c r="AO364" s="28"/>
      <c r="AP364" s="29"/>
    </row>
    <row r="365" spans="1:42" hidden="1" outlineLevel="1" x14ac:dyDescent="0.25">
      <c r="A365" s="12"/>
      <c r="B365" s="13"/>
      <c r="C365" s="45" t="s">
        <v>518</v>
      </c>
      <c r="D365" s="45"/>
      <c r="E365" s="15" t="s">
        <v>142</v>
      </c>
      <c r="F365" s="179"/>
      <c r="G365" s="186">
        <f>F364*Data!$G$16/1000</f>
        <v>9187.2000000000007</v>
      </c>
      <c r="H365" s="165"/>
      <c r="I365" s="165"/>
      <c r="J365" s="165"/>
      <c r="K365" s="165"/>
      <c r="L365" s="165"/>
      <c r="M365" s="165"/>
      <c r="N365" s="165"/>
      <c r="O365" s="165"/>
      <c r="P365" s="165"/>
      <c r="Q365" s="165"/>
      <c r="R365" s="165"/>
      <c r="S365" s="165"/>
      <c r="T365" s="165"/>
      <c r="U365" s="28"/>
      <c r="V365" s="28"/>
      <c r="W365" s="28"/>
      <c r="X365" s="28"/>
      <c r="Y365" s="28"/>
      <c r="Z365" s="28"/>
      <c r="AA365" s="28"/>
      <c r="AB365" s="28"/>
      <c r="AC365" s="28"/>
      <c r="AD365" s="28"/>
      <c r="AE365" s="28"/>
      <c r="AF365" s="28"/>
      <c r="AG365" s="28"/>
      <c r="AH365" s="28"/>
      <c r="AI365" s="28"/>
      <c r="AJ365" s="28"/>
      <c r="AK365" s="28"/>
      <c r="AL365" s="28"/>
      <c r="AM365" s="28"/>
      <c r="AN365" s="28"/>
      <c r="AO365" s="28"/>
      <c r="AP365" s="29"/>
    </row>
    <row r="366" spans="1:42" hidden="1" outlineLevel="1" x14ac:dyDescent="0.25">
      <c r="A366" s="12"/>
      <c r="B366" s="13"/>
      <c r="C366" s="45" t="s">
        <v>518</v>
      </c>
      <c r="D366" s="45"/>
      <c r="E366" s="15" t="s">
        <v>261</v>
      </c>
      <c r="F366" s="179"/>
      <c r="G366" s="184">
        <f>G365/SUM(H293:AN293)</f>
        <v>8.9230769230769242E-3</v>
      </c>
      <c r="H366" s="165"/>
      <c r="I366" s="165"/>
      <c r="J366" s="165"/>
      <c r="K366" s="165"/>
      <c r="L366" s="165"/>
      <c r="M366" s="165"/>
      <c r="N366" s="165"/>
      <c r="O366" s="165"/>
      <c r="P366" s="165"/>
      <c r="Q366" s="165"/>
      <c r="R366" s="165"/>
      <c r="S366" s="165"/>
      <c r="T366" s="165"/>
      <c r="U366" s="28"/>
      <c r="V366" s="28"/>
      <c r="W366" s="28"/>
      <c r="X366" s="28"/>
      <c r="Y366" s="28"/>
      <c r="Z366" s="28"/>
      <c r="AA366" s="28"/>
      <c r="AB366" s="28"/>
      <c r="AC366" s="28"/>
      <c r="AD366" s="28"/>
      <c r="AE366" s="28"/>
      <c r="AF366" s="28"/>
      <c r="AG366" s="28"/>
      <c r="AH366" s="28"/>
      <c r="AI366" s="28"/>
      <c r="AJ366" s="28"/>
      <c r="AK366" s="28"/>
      <c r="AL366" s="28"/>
      <c r="AM366" s="28"/>
      <c r="AN366" s="28"/>
      <c r="AO366" s="28"/>
      <c r="AP366" s="29"/>
    </row>
    <row r="367" spans="1:42" hidden="1" outlineLevel="1" x14ac:dyDescent="0.25">
      <c r="A367" s="12"/>
      <c r="B367" s="13"/>
      <c r="C367" s="45"/>
      <c r="D367" s="45"/>
      <c r="E367" s="15"/>
      <c r="F367" s="179"/>
      <c r="G367" s="165"/>
      <c r="H367" s="165"/>
      <c r="I367" s="165"/>
      <c r="J367" s="165"/>
      <c r="K367" s="165"/>
      <c r="L367" s="165"/>
      <c r="M367" s="165"/>
      <c r="N367" s="165"/>
      <c r="O367" s="165"/>
      <c r="P367" s="165"/>
      <c r="Q367" s="165"/>
      <c r="R367" s="165"/>
      <c r="S367" s="165"/>
      <c r="T367" s="165"/>
      <c r="U367" s="28"/>
      <c r="V367" s="28"/>
      <c r="W367" s="28"/>
      <c r="X367" s="28"/>
      <c r="Y367" s="28"/>
      <c r="Z367" s="28"/>
      <c r="AA367" s="28"/>
      <c r="AB367" s="28"/>
      <c r="AC367" s="28"/>
      <c r="AD367" s="28"/>
      <c r="AE367" s="28"/>
      <c r="AF367" s="28"/>
      <c r="AG367" s="28"/>
      <c r="AH367" s="28"/>
      <c r="AI367" s="28"/>
      <c r="AJ367" s="28"/>
      <c r="AK367" s="28"/>
      <c r="AL367" s="28"/>
      <c r="AM367" s="28"/>
      <c r="AN367" s="28"/>
      <c r="AO367" s="28"/>
      <c r="AP367" s="29"/>
    </row>
    <row r="368" spans="1:42" hidden="1" outlineLevel="1" x14ac:dyDescent="0.25">
      <c r="A368" s="12"/>
      <c r="B368" s="13"/>
      <c r="C368" s="20" t="s">
        <v>483</v>
      </c>
      <c r="D368" s="19"/>
      <c r="E368" s="15"/>
      <c r="F368" s="16"/>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7"/>
    </row>
    <row r="369" spans="1:42" hidden="1" outlineLevel="1" x14ac:dyDescent="0.25">
      <c r="A369" s="12"/>
      <c r="B369" s="13"/>
      <c r="C369" s="19" t="s">
        <v>599</v>
      </c>
      <c r="D369" s="19"/>
      <c r="E369" s="15"/>
      <c r="F369" s="16"/>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7"/>
    </row>
    <row r="370" spans="1:42" hidden="1" outlineLevel="1" x14ac:dyDescent="0.25">
      <c r="A370" s="12"/>
      <c r="B370" s="13"/>
      <c r="C370" s="45" t="s">
        <v>520</v>
      </c>
      <c r="D370" s="14"/>
      <c r="E370" s="15" t="s">
        <v>521</v>
      </c>
      <c r="F370" s="16"/>
      <c r="G370" s="14"/>
      <c r="H370" s="141"/>
      <c r="I370" s="141">
        <f t="shared" ref="I370:AO370" si="82">I293</f>
        <v>0</v>
      </c>
      <c r="J370" s="141">
        <f t="shared" si="82"/>
        <v>0</v>
      </c>
      <c r="K370" s="141">
        <f t="shared" si="82"/>
        <v>0</v>
      </c>
      <c r="L370" s="141">
        <f t="shared" si="82"/>
        <v>0</v>
      </c>
      <c r="M370" s="141">
        <f t="shared" si="82"/>
        <v>0</v>
      </c>
      <c r="N370" s="141">
        <f t="shared" si="82"/>
        <v>0</v>
      </c>
      <c r="O370" s="141">
        <f t="shared" si="82"/>
        <v>0</v>
      </c>
      <c r="P370" s="141">
        <f t="shared" si="82"/>
        <v>0</v>
      </c>
      <c r="Q370" s="141">
        <f t="shared" si="82"/>
        <v>0</v>
      </c>
      <c r="R370" s="141">
        <f t="shared" si="82"/>
        <v>0</v>
      </c>
      <c r="S370" s="141">
        <f t="shared" si="82"/>
        <v>0</v>
      </c>
      <c r="T370" s="141">
        <f t="shared" si="82"/>
        <v>0</v>
      </c>
      <c r="U370" s="141">
        <f t="shared" si="82"/>
        <v>51480</v>
      </c>
      <c r="V370" s="141">
        <f t="shared" si="82"/>
        <v>51480</v>
      </c>
      <c r="W370" s="141">
        <f t="shared" si="82"/>
        <v>51480</v>
      </c>
      <c r="X370" s="141">
        <f t="shared" si="82"/>
        <v>51480</v>
      </c>
      <c r="Y370" s="141">
        <f t="shared" si="82"/>
        <v>51480</v>
      </c>
      <c r="Z370" s="141">
        <f t="shared" si="82"/>
        <v>51480</v>
      </c>
      <c r="AA370" s="141">
        <f t="shared" si="82"/>
        <v>51480</v>
      </c>
      <c r="AB370" s="141">
        <f t="shared" si="82"/>
        <v>51480</v>
      </c>
      <c r="AC370" s="141">
        <f t="shared" si="82"/>
        <v>51480</v>
      </c>
      <c r="AD370" s="141">
        <f t="shared" si="82"/>
        <v>51480</v>
      </c>
      <c r="AE370" s="141">
        <f t="shared" si="82"/>
        <v>51480</v>
      </c>
      <c r="AF370" s="141">
        <f t="shared" si="82"/>
        <v>51480</v>
      </c>
      <c r="AG370" s="141">
        <f t="shared" si="82"/>
        <v>51480</v>
      </c>
      <c r="AH370" s="141">
        <f t="shared" si="82"/>
        <v>51480</v>
      </c>
      <c r="AI370" s="141">
        <f t="shared" si="82"/>
        <v>51480</v>
      </c>
      <c r="AJ370" s="141">
        <f t="shared" si="82"/>
        <v>51480</v>
      </c>
      <c r="AK370" s="141">
        <f t="shared" si="82"/>
        <v>51480</v>
      </c>
      <c r="AL370" s="141">
        <f t="shared" si="82"/>
        <v>51480</v>
      </c>
      <c r="AM370" s="141">
        <f t="shared" si="82"/>
        <v>51480</v>
      </c>
      <c r="AN370" s="141">
        <f t="shared" si="82"/>
        <v>51480</v>
      </c>
      <c r="AO370" s="141">
        <f t="shared" si="82"/>
        <v>0</v>
      </c>
      <c r="AP370" s="14"/>
    </row>
    <row r="371" spans="1:42" hidden="1" outlineLevel="1" x14ac:dyDescent="0.25">
      <c r="A371" s="12"/>
      <c r="B371" s="13"/>
      <c r="C371" s="20" t="s">
        <v>483</v>
      </c>
      <c r="D371" s="14"/>
      <c r="E371" s="15"/>
      <c r="F371" s="16"/>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4"/>
    </row>
    <row r="372" spans="1:42" ht="14.25" hidden="1" customHeight="1" outlineLevel="1" x14ac:dyDescent="0.25">
      <c r="A372" s="54"/>
      <c r="B372" s="13"/>
      <c r="C372" s="45" t="s">
        <v>205</v>
      </c>
      <c r="D372" s="14"/>
      <c r="E372" s="70" t="s">
        <v>352</v>
      </c>
      <c r="F372" s="201">
        <f>Data!E535/1000</f>
        <v>0</v>
      </c>
      <c r="G372" s="56"/>
      <c r="H372" s="56"/>
      <c r="I372" s="56">
        <f>I$370*$F$372</f>
        <v>0</v>
      </c>
      <c r="J372" s="56">
        <f t="shared" ref="J372:AO372" si="83">J$370*$F$372</f>
        <v>0</v>
      </c>
      <c r="K372" s="56">
        <f t="shared" si="83"/>
        <v>0</v>
      </c>
      <c r="L372" s="56">
        <f t="shared" si="83"/>
        <v>0</v>
      </c>
      <c r="M372" s="56">
        <f t="shared" si="83"/>
        <v>0</v>
      </c>
      <c r="N372" s="56">
        <f t="shared" si="83"/>
        <v>0</v>
      </c>
      <c r="O372" s="56">
        <f t="shared" si="83"/>
        <v>0</v>
      </c>
      <c r="P372" s="56">
        <f t="shared" si="83"/>
        <v>0</v>
      </c>
      <c r="Q372" s="56">
        <f t="shared" si="83"/>
        <v>0</v>
      </c>
      <c r="R372" s="56">
        <f t="shared" si="83"/>
        <v>0</v>
      </c>
      <c r="S372" s="56">
        <f t="shared" si="83"/>
        <v>0</v>
      </c>
      <c r="T372" s="56">
        <f t="shared" si="83"/>
        <v>0</v>
      </c>
      <c r="U372" s="56">
        <f t="shared" si="83"/>
        <v>0</v>
      </c>
      <c r="V372" s="56">
        <f t="shared" si="83"/>
        <v>0</v>
      </c>
      <c r="W372" s="56">
        <f t="shared" si="83"/>
        <v>0</v>
      </c>
      <c r="X372" s="56">
        <f t="shared" si="83"/>
        <v>0</v>
      </c>
      <c r="Y372" s="56">
        <f t="shared" si="83"/>
        <v>0</v>
      </c>
      <c r="Z372" s="56">
        <f t="shared" si="83"/>
        <v>0</v>
      </c>
      <c r="AA372" s="56">
        <f t="shared" si="83"/>
        <v>0</v>
      </c>
      <c r="AB372" s="56">
        <f t="shared" si="83"/>
        <v>0</v>
      </c>
      <c r="AC372" s="56">
        <f t="shared" si="83"/>
        <v>0</v>
      </c>
      <c r="AD372" s="56">
        <f t="shared" si="83"/>
        <v>0</v>
      </c>
      <c r="AE372" s="56">
        <f t="shared" si="83"/>
        <v>0</v>
      </c>
      <c r="AF372" s="56">
        <f t="shared" si="83"/>
        <v>0</v>
      </c>
      <c r="AG372" s="56">
        <f t="shared" si="83"/>
        <v>0</v>
      </c>
      <c r="AH372" s="56">
        <f t="shared" si="83"/>
        <v>0</v>
      </c>
      <c r="AI372" s="56">
        <f t="shared" si="83"/>
        <v>0</v>
      </c>
      <c r="AJ372" s="56">
        <f t="shared" si="83"/>
        <v>0</v>
      </c>
      <c r="AK372" s="56">
        <f t="shared" si="83"/>
        <v>0</v>
      </c>
      <c r="AL372" s="56">
        <f t="shared" si="83"/>
        <v>0</v>
      </c>
      <c r="AM372" s="56">
        <f t="shared" si="83"/>
        <v>0</v>
      </c>
      <c r="AN372" s="56">
        <f t="shared" si="83"/>
        <v>0</v>
      </c>
      <c r="AO372" s="56">
        <f t="shared" si="83"/>
        <v>0</v>
      </c>
      <c r="AP372" s="29"/>
    </row>
    <row r="373" spans="1:42" hidden="1" outlineLevel="1" x14ac:dyDescent="0.25">
      <c r="A373" s="54"/>
      <c r="B373" s="13"/>
      <c r="C373" s="45" t="s">
        <v>484</v>
      </c>
      <c r="D373" s="14"/>
      <c r="E373" s="70" t="s">
        <v>352</v>
      </c>
      <c r="F373" s="223">
        <f>Data!E536</f>
        <v>0</v>
      </c>
      <c r="G373" s="56"/>
      <c r="H373" s="56"/>
      <c r="I373" s="56">
        <f>I$370*$F$373</f>
        <v>0</v>
      </c>
      <c r="J373" s="56">
        <f t="shared" ref="J373:AO373" si="84">J$370*$F$373</f>
        <v>0</v>
      </c>
      <c r="K373" s="56">
        <f t="shared" si="84"/>
        <v>0</v>
      </c>
      <c r="L373" s="56">
        <f t="shared" si="84"/>
        <v>0</v>
      </c>
      <c r="M373" s="56">
        <f t="shared" si="84"/>
        <v>0</v>
      </c>
      <c r="N373" s="56">
        <f t="shared" si="84"/>
        <v>0</v>
      </c>
      <c r="O373" s="56">
        <f t="shared" si="84"/>
        <v>0</v>
      </c>
      <c r="P373" s="56">
        <f t="shared" si="84"/>
        <v>0</v>
      </c>
      <c r="Q373" s="56">
        <f t="shared" si="84"/>
        <v>0</v>
      </c>
      <c r="R373" s="56">
        <f t="shared" si="84"/>
        <v>0</v>
      </c>
      <c r="S373" s="56">
        <f t="shared" si="84"/>
        <v>0</v>
      </c>
      <c r="T373" s="56">
        <f t="shared" si="84"/>
        <v>0</v>
      </c>
      <c r="U373" s="56">
        <f t="shared" si="84"/>
        <v>0</v>
      </c>
      <c r="V373" s="56">
        <f t="shared" si="84"/>
        <v>0</v>
      </c>
      <c r="W373" s="56">
        <f t="shared" si="84"/>
        <v>0</v>
      </c>
      <c r="X373" s="56">
        <f t="shared" si="84"/>
        <v>0</v>
      </c>
      <c r="Y373" s="56">
        <f t="shared" si="84"/>
        <v>0</v>
      </c>
      <c r="Z373" s="56">
        <f t="shared" si="84"/>
        <v>0</v>
      </c>
      <c r="AA373" s="56">
        <f t="shared" si="84"/>
        <v>0</v>
      </c>
      <c r="AB373" s="56">
        <f t="shared" si="84"/>
        <v>0</v>
      </c>
      <c r="AC373" s="56">
        <f t="shared" si="84"/>
        <v>0</v>
      </c>
      <c r="AD373" s="56">
        <f t="shared" si="84"/>
        <v>0</v>
      </c>
      <c r="AE373" s="56">
        <f t="shared" si="84"/>
        <v>0</v>
      </c>
      <c r="AF373" s="56">
        <f t="shared" si="84"/>
        <v>0</v>
      </c>
      <c r="AG373" s="56">
        <f t="shared" si="84"/>
        <v>0</v>
      </c>
      <c r="AH373" s="56">
        <f t="shared" si="84"/>
        <v>0</v>
      </c>
      <c r="AI373" s="56">
        <f t="shared" si="84"/>
        <v>0</v>
      </c>
      <c r="AJ373" s="56">
        <f t="shared" si="84"/>
        <v>0</v>
      </c>
      <c r="AK373" s="56">
        <f t="shared" si="84"/>
        <v>0</v>
      </c>
      <c r="AL373" s="56">
        <f t="shared" si="84"/>
        <v>0</v>
      </c>
      <c r="AM373" s="56">
        <f t="shared" si="84"/>
        <v>0</v>
      </c>
      <c r="AN373" s="56">
        <f t="shared" si="84"/>
        <v>0</v>
      </c>
      <c r="AO373" s="56">
        <f t="shared" si="84"/>
        <v>0</v>
      </c>
      <c r="AP373" s="29"/>
    </row>
    <row r="374" spans="1:42" hidden="1" outlineLevel="1" x14ac:dyDescent="0.25">
      <c r="A374" s="54"/>
      <c r="B374" s="13"/>
      <c r="C374" s="45" t="s">
        <v>285</v>
      </c>
      <c r="D374" s="14"/>
      <c r="E374" s="70" t="s">
        <v>352</v>
      </c>
      <c r="F374" s="201">
        <f>Data!E537/1000</f>
        <v>0</v>
      </c>
      <c r="G374" s="56"/>
      <c r="H374" s="56"/>
      <c r="I374" s="56">
        <f>I$370*$F$374</f>
        <v>0</v>
      </c>
      <c r="J374" s="56">
        <f t="shared" ref="J374:AO374" si="85">J$370*$F$374</f>
        <v>0</v>
      </c>
      <c r="K374" s="56">
        <f t="shared" si="85"/>
        <v>0</v>
      </c>
      <c r="L374" s="56">
        <f t="shared" si="85"/>
        <v>0</v>
      </c>
      <c r="M374" s="56">
        <f t="shared" si="85"/>
        <v>0</v>
      </c>
      <c r="N374" s="56">
        <f t="shared" si="85"/>
        <v>0</v>
      </c>
      <c r="O374" s="56">
        <f t="shared" si="85"/>
        <v>0</v>
      </c>
      <c r="P374" s="56">
        <f t="shared" si="85"/>
        <v>0</v>
      </c>
      <c r="Q374" s="56">
        <f t="shared" si="85"/>
        <v>0</v>
      </c>
      <c r="R374" s="56">
        <f t="shared" si="85"/>
        <v>0</v>
      </c>
      <c r="S374" s="56">
        <f t="shared" si="85"/>
        <v>0</v>
      </c>
      <c r="T374" s="56">
        <f t="shared" si="85"/>
        <v>0</v>
      </c>
      <c r="U374" s="56">
        <f>U$370*$F$374</f>
        <v>0</v>
      </c>
      <c r="V374" s="56">
        <f t="shared" si="85"/>
        <v>0</v>
      </c>
      <c r="W374" s="56">
        <f t="shared" si="85"/>
        <v>0</v>
      </c>
      <c r="X374" s="56">
        <f t="shared" si="85"/>
        <v>0</v>
      </c>
      <c r="Y374" s="56">
        <f t="shared" si="85"/>
        <v>0</v>
      </c>
      <c r="Z374" s="56">
        <f t="shared" si="85"/>
        <v>0</v>
      </c>
      <c r="AA374" s="56">
        <f t="shared" si="85"/>
        <v>0</v>
      </c>
      <c r="AB374" s="56">
        <f t="shared" si="85"/>
        <v>0</v>
      </c>
      <c r="AC374" s="56">
        <f t="shared" si="85"/>
        <v>0</v>
      </c>
      <c r="AD374" s="56">
        <f t="shared" si="85"/>
        <v>0</v>
      </c>
      <c r="AE374" s="56">
        <f t="shared" si="85"/>
        <v>0</v>
      </c>
      <c r="AF374" s="56">
        <f t="shared" si="85"/>
        <v>0</v>
      </c>
      <c r="AG374" s="56">
        <f t="shared" si="85"/>
        <v>0</v>
      </c>
      <c r="AH374" s="56">
        <f t="shared" si="85"/>
        <v>0</v>
      </c>
      <c r="AI374" s="56">
        <f t="shared" si="85"/>
        <v>0</v>
      </c>
      <c r="AJ374" s="56">
        <f t="shared" si="85"/>
        <v>0</v>
      </c>
      <c r="AK374" s="56">
        <f t="shared" si="85"/>
        <v>0</v>
      </c>
      <c r="AL374" s="56">
        <f t="shared" si="85"/>
        <v>0</v>
      </c>
      <c r="AM374" s="56">
        <f t="shared" si="85"/>
        <v>0</v>
      </c>
      <c r="AN374" s="56">
        <f t="shared" si="85"/>
        <v>0</v>
      </c>
      <c r="AO374" s="56">
        <f t="shared" si="85"/>
        <v>0</v>
      </c>
      <c r="AP374" s="29"/>
    </row>
    <row r="375" spans="1:42" hidden="1" outlineLevel="1" x14ac:dyDescent="0.25">
      <c r="A375" s="54"/>
      <c r="B375" s="13"/>
      <c r="C375" s="45" t="s">
        <v>220</v>
      </c>
      <c r="D375" s="14"/>
      <c r="E375" s="70" t="s">
        <v>352</v>
      </c>
      <c r="F375" s="201">
        <f>Data!E538/1000</f>
        <v>0</v>
      </c>
      <c r="G375" s="56"/>
      <c r="H375" s="56"/>
      <c r="I375" s="56">
        <f>I$370*$F$375</f>
        <v>0</v>
      </c>
      <c r="J375" s="56">
        <f t="shared" ref="J375:AO375" si="86">J$370*$F$375</f>
        <v>0</v>
      </c>
      <c r="K375" s="56">
        <f t="shared" si="86"/>
        <v>0</v>
      </c>
      <c r="L375" s="56">
        <f t="shared" si="86"/>
        <v>0</v>
      </c>
      <c r="M375" s="56">
        <f t="shared" si="86"/>
        <v>0</v>
      </c>
      <c r="N375" s="56">
        <f t="shared" si="86"/>
        <v>0</v>
      </c>
      <c r="O375" s="56">
        <f t="shared" si="86"/>
        <v>0</v>
      </c>
      <c r="P375" s="56">
        <f t="shared" si="86"/>
        <v>0</v>
      </c>
      <c r="Q375" s="56">
        <f t="shared" si="86"/>
        <v>0</v>
      </c>
      <c r="R375" s="56">
        <f t="shared" si="86"/>
        <v>0</v>
      </c>
      <c r="S375" s="56">
        <f t="shared" si="86"/>
        <v>0</v>
      </c>
      <c r="T375" s="56">
        <f t="shared" si="86"/>
        <v>0</v>
      </c>
      <c r="U375" s="56">
        <f t="shared" si="86"/>
        <v>0</v>
      </c>
      <c r="V375" s="56">
        <f t="shared" si="86"/>
        <v>0</v>
      </c>
      <c r="W375" s="56">
        <f t="shared" si="86"/>
        <v>0</v>
      </c>
      <c r="X375" s="56">
        <f t="shared" si="86"/>
        <v>0</v>
      </c>
      <c r="Y375" s="56">
        <f t="shared" si="86"/>
        <v>0</v>
      </c>
      <c r="Z375" s="56">
        <f t="shared" si="86"/>
        <v>0</v>
      </c>
      <c r="AA375" s="56">
        <f t="shared" si="86"/>
        <v>0</v>
      </c>
      <c r="AB375" s="56">
        <f t="shared" si="86"/>
        <v>0</v>
      </c>
      <c r="AC375" s="56">
        <f t="shared" si="86"/>
        <v>0</v>
      </c>
      <c r="AD375" s="56">
        <f t="shared" si="86"/>
        <v>0</v>
      </c>
      <c r="AE375" s="56">
        <f t="shared" si="86"/>
        <v>0</v>
      </c>
      <c r="AF375" s="56">
        <f t="shared" si="86"/>
        <v>0</v>
      </c>
      <c r="AG375" s="56">
        <f t="shared" si="86"/>
        <v>0</v>
      </c>
      <c r="AH375" s="56">
        <f t="shared" si="86"/>
        <v>0</v>
      </c>
      <c r="AI375" s="56">
        <f t="shared" si="86"/>
        <v>0</v>
      </c>
      <c r="AJ375" s="56">
        <f t="shared" si="86"/>
        <v>0</v>
      </c>
      <c r="AK375" s="56">
        <f t="shared" si="86"/>
        <v>0</v>
      </c>
      <c r="AL375" s="56">
        <f t="shared" si="86"/>
        <v>0</v>
      </c>
      <c r="AM375" s="56">
        <f t="shared" si="86"/>
        <v>0</v>
      </c>
      <c r="AN375" s="56">
        <f t="shared" si="86"/>
        <v>0</v>
      </c>
      <c r="AO375" s="56">
        <f t="shared" si="86"/>
        <v>0</v>
      </c>
      <c r="AP375" s="29"/>
    </row>
    <row r="376" spans="1:42" hidden="1" outlineLevel="1" x14ac:dyDescent="0.25">
      <c r="A376" s="54"/>
      <c r="B376" s="13"/>
      <c r="C376" s="45" t="s">
        <v>212</v>
      </c>
      <c r="D376" s="14"/>
      <c r="E376" s="70" t="s">
        <v>352</v>
      </c>
      <c r="F376" s="201">
        <f>Data!E539/1000</f>
        <v>0</v>
      </c>
      <c r="G376" s="56"/>
      <c r="H376" s="56"/>
      <c r="I376" s="56">
        <f>I$370*$F$376</f>
        <v>0</v>
      </c>
      <c r="J376" s="56">
        <f t="shared" ref="J376:AO376" si="87">J$370*$F$376</f>
        <v>0</v>
      </c>
      <c r="K376" s="56">
        <f t="shared" si="87"/>
        <v>0</v>
      </c>
      <c r="L376" s="56">
        <f t="shared" si="87"/>
        <v>0</v>
      </c>
      <c r="M376" s="56">
        <f t="shared" si="87"/>
        <v>0</v>
      </c>
      <c r="N376" s="56">
        <f t="shared" si="87"/>
        <v>0</v>
      </c>
      <c r="O376" s="56">
        <f t="shared" si="87"/>
        <v>0</v>
      </c>
      <c r="P376" s="56">
        <f t="shared" si="87"/>
        <v>0</v>
      </c>
      <c r="Q376" s="56">
        <f t="shared" si="87"/>
        <v>0</v>
      </c>
      <c r="R376" s="56">
        <f t="shared" si="87"/>
        <v>0</v>
      </c>
      <c r="S376" s="56">
        <f t="shared" si="87"/>
        <v>0</v>
      </c>
      <c r="T376" s="56">
        <f t="shared" si="87"/>
        <v>0</v>
      </c>
      <c r="U376" s="56">
        <f t="shared" si="87"/>
        <v>0</v>
      </c>
      <c r="V376" s="56">
        <f t="shared" si="87"/>
        <v>0</v>
      </c>
      <c r="W376" s="56">
        <f t="shared" si="87"/>
        <v>0</v>
      </c>
      <c r="X376" s="56">
        <f t="shared" si="87"/>
        <v>0</v>
      </c>
      <c r="Y376" s="56">
        <f t="shared" si="87"/>
        <v>0</v>
      </c>
      <c r="Z376" s="56">
        <f t="shared" si="87"/>
        <v>0</v>
      </c>
      <c r="AA376" s="56">
        <f t="shared" si="87"/>
        <v>0</v>
      </c>
      <c r="AB376" s="56">
        <f t="shared" si="87"/>
        <v>0</v>
      </c>
      <c r="AC376" s="56">
        <f t="shared" si="87"/>
        <v>0</v>
      </c>
      <c r="AD376" s="56">
        <f t="shared" si="87"/>
        <v>0</v>
      </c>
      <c r="AE376" s="56">
        <f t="shared" si="87"/>
        <v>0</v>
      </c>
      <c r="AF376" s="56">
        <f t="shared" si="87"/>
        <v>0</v>
      </c>
      <c r="AG376" s="56">
        <f t="shared" si="87"/>
        <v>0</v>
      </c>
      <c r="AH376" s="56">
        <f t="shared" si="87"/>
        <v>0</v>
      </c>
      <c r="AI376" s="56">
        <f t="shared" si="87"/>
        <v>0</v>
      </c>
      <c r="AJ376" s="56">
        <f t="shared" si="87"/>
        <v>0</v>
      </c>
      <c r="AK376" s="56">
        <f t="shared" si="87"/>
        <v>0</v>
      </c>
      <c r="AL376" s="56">
        <f t="shared" si="87"/>
        <v>0</v>
      </c>
      <c r="AM376" s="56">
        <f t="shared" si="87"/>
        <v>0</v>
      </c>
      <c r="AN376" s="56">
        <f t="shared" si="87"/>
        <v>0</v>
      </c>
      <c r="AO376" s="56">
        <f t="shared" si="87"/>
        <v>0</v>
      </c>
      <c r="AP376" s="29"/>
    </row>
    <row r="377" spans="1:42" hidden="1" outlineLevel="1" x14ac:dyDescent="0.25">
      <c r="A377" s="54"/>
      <c r="B377" s="13"/>
      <c r="C377" s="45" t="s">
        <v>485</v>
      </c>
      <c r="D377" s="14"/>
      <c r="E377" s="70" t="s">
        <v>352</v>
      </c>
      <c r="F377" s="201">
        <f>Data!E540/1000</f>
        <v>0</v>
      </c>
      <c r="G377" s="56"/>
      <c r="H377" s="56"/>
      <c r="I377" s="56">
        <f>I$370*$F$377</f>
        <v>0</v>
      </c>
      <c r="J377" s="56">
        <f t="shared" ref="J377:AO377" si="88">J$370*$F$377</f>
        <v>0</v>
      </c>
      <c r="K377" s="56">
        <f t="shared" si="88"/>
        <v>0</v>
      </c>
      <c r="L377" s="56">
        <f t="shared" si="88"/>
        <v>0</v>
      </c>
      <c r="M377" s="56">
        <f t="shared" si="88"/>
        <v>0</v>
      </c>
      <c r="N377" s="56">
        <f t="shared" si="88"/>
        <v>0</v>
      </c>
      <c r="O377" s="56">
        <f t="shared" si="88"/>
        <v>0</v>
      </c>
      <c r="P377" s="56">
        <f t="shared" si="88"/>
        <v>0</v>
      </c>
      <c r="Q377" s="56">
        <f t="shared" si="88"/>
        <v>0</v>
      </c>
      <c r="R377" s="56">
        <f t="shared" si="88"/>
        <v>0</v>
      </c>
      <c r="S377" s="56">
        <f t="shared" si="88"/>
        <v>0</v>
      </c>
      <c r="T377" s="56">
        <f t="shared" si="88"/>
        <v>0</v>
      </c>
      <c r="U377" s="56">
        <f t="shared" si="88"/>
        <v>0</v>
      </c>
      <c r="V377" s="56">
        <f t="shared" si="88"/>
        <v>0</v>
      </c>
      <c r="W377" s="56">
        <f t="shared" si="88"/>
        <v>0</v>
      </c>
      <c r="X377" s="56">
        <f t="shared" si="88"/>
        <v>0</v>
      </c>
      <c r="Y377" s="56">
        <f t="shared" si="88"/>
        <v>0</v>
      </c>
      <c r="Z377" s="56">
        <f t="shared" si="88"/>
        <v>0</v>
      </c>
      <c r="AA377" s="56">
        <f t="shared" si="88"/>
        <v>0</v>
      </c>
      <c r="AB377" s="56">
        <f t="shared" si="88"/>
        <v>0</v>
      </c>
      <c r="AC377" s="56">
        <f t="shared" si="88"/>
        <v>0</v>
      </c>
      <c r="AD377" s="56">
        <f t="shared" si="88"/>
        <v>0</v>
      </c>
      <c r="AE377" s="56">
        <f t="shared" si="88"/>
        <v>0</v>
      </c>
      <c r="AF377" s="56">
        <f t="shared" si="88"/>
        <v>0</v>
      </c>
      <c r="AG377" s="56">
        <f t="shared" si="88"/>
        <v>0</v>
      </c>
      <c r="AH377" s="56">
        <f t="shared" si="88"/>
        <v>0</v>
      </c>
      <c r="AI377" s="56">
        <f t="shared" si="88"/>
        <v>0</v>
      </c>
      <c r="AJ377" s="56">
        <f t="shared" si="88"/>
        <v>0</v>
      </c>
      <c r="AK377" s="56">
        <f t="shared" si="88"/>
        <v>0</v>
      </c>
      <c r="AL377" s="56">
        <f t="shared" si="88"/>
        <v>0</v>
      </c>
      <c r="AM377" s="56">
        <f t="shared" si="88"/>
        <v>0</v>
      </c>
      <c r="AN377" s="56">
        <f t="shared" si="88"/>
        <v>0</v>
      </c>
      <c r="AO377" s="56">
        <f t="shared" si="88"/>
        <v>0</v>
      </c>
      <c r="AP377" s="29"/>
    </row>
    <row r="378" spans="1:42" hidden="1" outlineLevel="1" x14ac:dyDescent="0.25">
      <c r="A378" s="54"/>
      <c r="B378" s="13"/>
      <c r="C378" s="45" t="s">
        <v>214</v>
      </c>
      <c r="D378" s="14"/>
      <c r="E378" s="70" t="s">
        <v>352</v>
      </c>
      <c r="F378" s="201">
        <f>Data!E541/1000</f>
        <v>0</v>
      </c>
      <c r="G378" s="56"/>
      <c r="H378" s="56"/>
      <c r="I378" s="56">
        <f>I$370*$F$378</f>
        <v>0</v>
      </c>
      <c r="J378" s="56">
        <f t="shared" ref="J378:AO378" si="89">J$370*$F$378</f>
        <v>0</v>
      </c>
      <c r="K378" s="56">
        <f t="shared" si="89"/>
        <v>0</v>
      </c>
      <c r="L378" s="56">
        <f t="shared" si="89"/>
        <v>0</v>
      </c>
      <c r="M378" s="56">
        <f t="shared" si="89"/>
        <v>0</v>
      </c>
      <c r="N378" s="56">
        <f t="shared" si="89"/>
        <v>0</v>
      </c>
      <c r="O378" s="56">
        <f t="shared" si="89"/>
        <v>0</v>
      </c>
      <c r="P378" s="56">
        <f t="shared" si="89"/>
        <v>0</v>
      </c>
      <c r="Q378" s="56">
        <f t="shared" si="89"/>
        <v>0</v>
      </c>
      <c r="R378" s="56">
        <f t="shared" si="89"/>
        <v>0</v>
      </c>
      <c r="S378" s="56">
        <f t="shared" si="89"/>
        <v>0</v>
      </c>
      <c r="T378" s="56">
        <f t="shared" si="89"/>
        <v>0</v>
      </c>
      <c r="U378" s="56">
        <f t="shared" si="89"/>
        <v>0</v>
      </c>
      <c r="V378" s="56">
        <f t="shared" si="89"/>
        <v>0</v>
      </c>
      <c r="W378" s="56">
        <f t="shared" si="89"/>
        <v>0</v>
      </c>
      <c r="X378" s="56">
        <f t="shared" si="89"/>
        <v>0</v>
      </c>
      <c r="Y378" s="56">
        <f t="shared" si="89"/>
        <v>0</v>
      </c>
      <c r="Z378" s="56">
        <f t="shared" si="89"/>
        <v>0</v>
      </c>
      <c r="AA378" s="56">
        <f t="shared" si="89"/>
        <v>0</v>
      </c>
      <c r="AB378" s="56">
        <f t="shared" si="89"/>
        <v>0</v>
      </c>
      <c r="AC378" s="56">
        <f t="shared" si="89"/>
        <v>0</v>
      </c>
      <c r="AD378" s="56">
        <f t="shared" si="89"/>
        <v>0</v>
      </c>
      <c r="AE378" s="56">
        <f t="shared" si="89"/>
        <v>0</v>
      </c>
      <c r="AF378" s="56">
        <f t="shared" si="89"/>
        <v>0</v>
      </c>
      <c r="AG378" s="56">
        <f t="shared" si="89"/>
        <v>0</v>
      </c>
      <c r="AH378" s="56">
        <f t="shared" si="89"/>
        <v>0</v>
      </c>
      <c r="AI378" s="56">
        <f t="shared" si="89"/>
        <v>0</v>
      </c>
      <c r="AJ378" s="56">
        <f t="shared" si="89"/>
        <v>0</v>
      </c>
      <c r="AK378" s="56">
        <f t="shared" si="89"/>
        <v>0</v>
      </c>
      <c r="AL378" s="56">
        <f t="shared" si="89"/>
        <v>0</v>
      </c>
      <c r="AM378" s="56">
        <f t="shared" si="89"/>
        <v>0</v>
      </c>
      <c r="AN378" s="56">
        <f t="shared" si="89"/>
        <v>0</v>
      </c>
      <c r="AO378" s="56">
        <f t="shared" si="89"/>
        <v>0</v>
      </c>
      <c r="AP378" s="29"/>
    </row>
    <row r="379" spans="1:42" hidden="1" outlineLevel="1" x14ac:dyDescent="0.25">
      <c r="A379" s="12"/>
      <c r="B379" s="13"/>
      <c r="C379" s="14"/>
      <c r="D379" s="14"/>
      <c r="E379" s="15"/>
      <c r="F379" s="16"/>
      <c r="G379" s="159"/>
      <c r="H379" s="159"/>
      <c r="I379" s="56"/>
      <c r="J379" s="56"/>
      <c r="K379" s="56"/>
      <c r="L379" s="56"/>
      <c r="M379" s="56"/>
      <c r="N379" s="56"/>
      <c r="O379" s="56"/>
      <c r="P379" s="56"/>
      <c r="Q379" s="56"/>
      <c r="R379" s="56"/>
      <c r="S379" s="56"/>
      <c r="T379" s="56"/>
      <c r="U379" s="56"/>
      <c r="V379" s="56"/>
      <c r="W379" s="56"/>
      <c r="X379" s="56"/>
      <c r="Y379" s="56"/>
      <c r="Z379" s="56"/>
      <c r="AA379" s="56"/>
      <c r="AB379" s="56"/>
      <c r="AC379" s="14"/>
      <c r="AD379" s="14"/>
      <c r="AE379" s="14"/>
      <c r="AF379" s="14"/>
      <c r="AG379" s="14"/>
      <c r="AH379" s="14"/>
      <c r="AI379" s="14"/>
      <c r="AJ379" s="14"/>
      <c r="AK379" s="14"/>
      <c r="AL379" s="14"/>
      <c r="AM379" s="14"/>
      <c r="AN379" s="14"/>
      <c r="AO379" s="14"/>
      <c r="AP379" s="14"/>
    </row>
    <row r="380" spans="1:42" hidden="1" outlineLevel="1" x14ac:dyDescent="0.25">
      <c r="A380" s="54"/>
      <c r="B380" s="13"/>
      <c r="C380" s="45" t="s">
        <v>205</v>
      </c>
      <c r="D380" s="14"/>
      <c r="E380" s="70" t="s">
        <v>474</v>
      </c>
      <c r="F380" s="200">
        <f>Data!$E$35/1000</f>
        <v>3.4099438202247192E-3</v>
      </c>
      <c r="G380" s="56"/>
      <c r="H380" s="56"/>
      <c r="I380" s="56">
        <f>I372*$F$380</f>
        <v>0</v>
      </c>
      <c r="J380" s="56">
        <f t="shared" ref="J380:AO380" si="90">J372*$F$380</f>
        <v>0</v>
      </c>
      <c r="K380" s="56">
        <f>K372*$F$380</f>
        <v>0</v>
      </c>
      <c r="L380" s="56">
        <f t="shared" si="90"/>
        <v>0</v>
      </c>
      <c r="M380" s="56">
        <f t="shared" si="90"/>
        <v>0</v>
      </c>
      <c r="N380" s="56">
        <f t="shared" si="90"/>
        <v>0</v>
      </c>
      <c r="O380" s="56">
        <f t="shared" si="90"/>
        <v>0</v>
      </c>
      <c r="P380" s="56">
        <f t="shared" si="90"/>
        <v>0</v>
      </c>
      <c r="Q380" s="56">
        <f t="shared" si="90"/>
        <v>0</v>
      </c>
      <c r="R380" s="56">
        <f t="shared" si="90"/>
        <v>0</v>
      </c>
      <c r="S380" s="56">
        <f t="shared" si="90"/>
        <v>0</v>
      </c>
      <c r="T380" s="56">
        <f t="shared" si="90"/>
        <v>0</v>
      </c>
      <c r="U380" s="56">
        <f t="shared" si="90"/>
        <v>0</v>
      </c>
      <c r="V380" s="56">
        <f t="shared" si="90"/>
        <v>0</v>
      </c>
      <c r="W380" s="56">
        <f t="shared" si="90"/>
        <v>0</v>
      </c>
      <c r="X380" s="56">
        <f t="shared" si="90"/>
        <v>0</v>
      </c>
      <c r="Y380" s="56">
        <f t="shared" si="90"/>
        <v>0</v>
      </c>
      <c r="Z380" s="56">
        <f t="shared" si="90"/>
        <v>0</v>
      </c>
      <c r="AA380" s="56">
        <f t="shared" si="90"/>
        <v>0</v>
      </c>
      <c r="AB380" s="56">
        <f t="shared" si="90"/>
        <v>0</v>
      </c>
      <c r="AC380" s="56">
        <f t="shared" si="90"/>
        <v>0</v>
      </c>
      <c r="AD380" s="56">
        <f t="shared" si="90"/>
        <v>0</v>
      </c>
      <c r="AE380" s="56">
        <f t="shared" si="90"/>
        <v>0</v>
      </c>
      <c r="AF380" s="56">
        <f t="shared" si="90"/>
        <v>0</v>
      </c>
      <c r="AG380" s="56">
        <f t="shared" si="90"/>
        <v>0</v>
      </c>
      <c r="AH380" s="56">
        <f t="shared" si="90"/>
        <v>0</v>
      </c>
      <c r="AI380" s="56">
        <f t="shared" si="90"/>
        <v>0</v>
      </c>
      <c r="AJ380" s="56">
        <f t="shared" si="90"/>
        <v>0</v>
      </c>
      <c r="AK380" s="56">
        <f t="shared" si="90"/>
        <v>0</v>
      </c>
      <c r="AL380" s="56">
        <f t="shared" si="90"/>
        <v>0</v>
      </c>
      <c r="AM380" s="56">
        <f t="shared" si="90"/>
        <v>0</v>
      </c>
      <c r="AN380" s="56">
        <f t="shared" si="90"/>
        <v>0</v>
      </c>
      <c r="AO380" s="56">
        <f t="shared" si="90"/>
        <v>0</v>
      </c>
      <c r="AP380" s="29"/>
    </row>
    <row r="381" spans="1:42" hidden="1" outlineLevel="1" x14ac:dyDescent="0.25">
      <c r="A381" s="54"/>
      <c r="B381" s="13"/>
      <c r="C381" s="45" t="s">
        <v>484</v>
      </c>
      <c r="D381" s="14"/>
      <c r="E381" s="70" t="s">
        <v>474</v>
      </c>
      <c r="F381" s="200"/>
      <c r="G381" s="56"/>
      <c r="H381" s="56"/>
      <c r="I381" s="56">
        <f>I$373*Data!H$16/1000</f>
        <v>0</v>
      </c>
      <c r="J381" s="56">
        <f>J$373*Data!I$16/1000</f>
        <v>0</v>
      </c>
      <c r="K381" s="56">
        <f>K$373*Data!J$16/1000</f>
        <v>0</v>
      </c>
      <c r="L381" s="56">
        <f>L$373*Data!K$16/1000</f>
        <v>0</v>
      </c>
      <c r="M381" s="56">
        <f>M$373*Data!L$16/1000</f>
        <v>0</v>
      </c>
      <c r="N381" s="56">
        <f>N$373*Data!M$16/1000</f>
        <v>0</v>
      </c>
      <c r="O381" s="56">
        <f>O$373*Data!N$16/1000</f>
        <v>0</v>
      </c>
      <c r="P381" s="56">
        <f>P$373*Data!O$16/1000</f>
        <v>0</v>
      </c>
      <c r="Q381" s="56">
        <f>Q$373*Data!P$16/1000</f>
        <v>0</v>
      </c>
      <c r="R381" s="56">
        <f>R$373*Data!Q$16/1000</f>
        <v>0</v>
      </c>
      <c r="S381" s="56">
        <f>S$373*Data!R$16/1000</f>
        <v>0</v>
      </c>
      <c r="T381" s="56">
        <f>T$373*Data!S$16/1000</f>
        <v>0</v>
      </c>
      <c r="U381" s="56">
        <f>U$373*Data!T$16/1000</f>
        <v>0</v>
      </c>
      <c r="V381" s="56">
        <f>V$373*Data!U$16/1000</f>
        <v>0</v>
      </c>
      <c r="W381" s="56">
        <f>W$373*Data!V$16/1000</f>
        <v>0</v>
      </c>
      <c r="X381" s="56">
        <f>X$373*Data!W$16/1000</f>
        <v>0</v>
      </c>
      <c r="Y381" s="56">
        <f>Y$373*Data!X$16/1000</f>
        <v>0</v>
      </c>
      <c r="Z381" s="56">
        <f>Z$373*Data!Y$16/1000</f>
        <v>0</v>
      </c>
      <c r="AA381" s="56">
        <f>AA$373*Data!Z$16/1000</f>
        <v>0</v>
      </c>
      <c r="AB381" s="56">
        <f>AB$373*Data!AA$16/1000</f>
        <v>0</v>
      </c>
      <c r="AC381" s="56">
        <f>AC$373*Data!AB$16/1000</f>
        <v>0</v>
      </c>
      <c r="AD381" s="56">
        <f>AD$373*Data!AC$16/1000</f>
        <v>0</v>
      </c>
      <c r="AE381" s="56">
        <f>AE$373*Data!AD$16/1000</f>
        <v>0</v>
      </c>
      <c r="AF381" s="56">
        <f>AF$373*Data!AE$16/1000</f>
        <v>0</v>
      </c>
      <c r="AG381" s="56">
        <f>AG$373*Data!AF$16/1000</f>
        <v>0</v>
      </c>
      <c r="AH381" s="56">
        <f>AH$373*Data!AG$16/1000</f>
        <v>0</v>
      </c>
      <c r="AI381" s="56">
        <f>AI$373*Data!AH$16/1000</f>
        <v>0</v>
      </c>
      <c r="AJ381" s="56">
        <f>AJ$373*Data!AI$16/1000</f>
        <v>0</v>
      </c>
      <c r="AK381" s="56">
        <f>AK$373*Data!AJ$16/1000</f>
        <v>0</v>
      </c>
      <c r="AL381" s="56">
        <f>AL$373*Data!AK$16/1000</f>
        <v>0</v>
      </c>
      <c r="AM381" s="56">
        <f>AM$373*Data!AL$16/1000</f>
        <v>0</v>
      </c>
      <c r="AN381" s="56">
        <f>AN$373*Data!AM$16/1000</f>
        <v>0</v>
      </c>
      <c r="AO381" s="56">
        <f>AO$373*Data!AN$16/1000</f>
        <v>0</v>
      </c>
      <c r="AP381" s="29"/>
    </row>
    <row r="382" spans="1:42" hidden="1" outlineLevel="1" x14ac:dyDescent="0.25">
      <c r="A382" s="54"/>
      <c r="B382" s="13"/>
      <c r="C382" s="45" t="s">
        <v>285</v>
      </c>
      <c r="D382" s="14"/>
      <c r="E382" s="70" t="s">
        <v>474</v>
      </c>
      <c r="F382" s="200">
        <f>Data!$E$36/1000</f>
        <v>1.0822865168539326</v>
      </c>
      <c r="G382" s="56"/>
      <c r="H382" s="56"/>
      <c r="I382" s="56">
        <f>I374*$F$382</f>
        <v>0</v>
      </c>
      <c r="J382" s="56">
        <f t="shared" ref="J382:AO382" si="91">J374*$F$382</f>
        <v>0</v>
      </c>
      <c r="K382" s="56">
        <f t="shared" si="91"/>
        <v>0</v>
      </c>
      <c r="L382" s="56">
        <f t="shared" si="91"/>
        <v>0</v>
      </c>
      <c r="M382" s="56">
        <f t="shared" si="91"/>
        <v>0</v>
      </c>
      <c r="N382" s="56">
        <f t="shared" si="91"/>
        <v>0</v>
      </c>
      <c r="O382" s="56">
        <f t="shared" si="91"/>
        <v>0</v>
      </c>
      <c r="P382" s="56">
        <f t="shared" si="91"/>
        <v>0</v>
      </c>
      <c r="Q382" s="56">
        <f t="shared" si="91"/>
        <v>0</v>
      </c>
      <c r="R382" s="56">
        <f t="shared" si="91"/>
        <v>0</v>
      </c>
      <c r="S382" s="56">
        <f t="shared" si="91"/>
        <v>0</v>
      </c>
      <c r="T382" s="56">
        <f t="shared" si="91"/>
        <v>0</v>
      </c>
      <c r="U382" s="56">
        <f t="shared" si="91"/>
        <v>0</v>
      </c>
      <c r="V382" s="56">
        <f t="shared" si="91"/>
        <v>0</v>
      </c>
      <c r="W382" s="56">
        <f t="shared" si="91"/>
        <v>0</v>
      </c>
      <c r="X382" s="56">
        <f t="shared" si="91"/>
        <v>0</v>
      </c>
      <c r="Y382" s="56">
        <f t="shared" si="91"/>
        <v>0</v>
      </c>
      <c r="Z382" s="56">
        <f t="shared" si="91"/>
        <v>0</v>
      </c>
      <c r="AA382" s="56">
        <f t="shared" si="91"/>
        <v>0</v>
      </c>
      <c r="AB382" s="56">
        <f t="shared" si="91"/>
        <v>0</v>
      </c>
      <c r="AC382" s="56">
        <f t="shared" si="91"/>
        <v>0</v>
      </c>
      <c r="AD382" s="56">
        <f t="shared" si="91"/>
        <v>0</v>
      </c>
      <c r="AE382" s="56">
        <f t="shared" si="91"/>
        <v>0</v>
      </c>
      <c r="AF382" s="56">
        <f t="shared" si="91"/>
        <v>0</v>
      </c>
      <c r="AG382" s="56">
        <f t="shared" si="91"/>
        <v>0</v>
      </c>
      <c r="AH382" s="56">
        <f t="shared" si="91"/>
        <v>0</v>
      </c>
      <c r="AI382" s="56">
        <f t="shared" si="91"/>
        <v>0</v>
      </c>
      <c r="AJ382" s="56">
        <f t="shared" si="91"/>
        <v>0</v>
      </c>
      <c r="AK382" s="56">
        <f t="shared" si="91"/>
        <v>0</v>
      </c>
      <c r="AL382" s="56">
        <f t="shared" si="91"/>
        <v>0</v>
      </c>
      <c r="AM382" s="56">
        <f t="shared" si="91"/>
        <v>0</v>
      </c>
      <c r="AN382" s="56">
        <f t="shared" si="91"/>
        <v>0</v>
      </c>
      <c r="AO382" s="56">
        <f t="shared" si="91"/>
        <v>0</v>
      </c>
      <c r="AP382" s="29"/>
    </row>
    <row r="383" spans="1:42" hidden="1" outlineLevel="1" x14ac:dyDescent="0.25">
      <c r="A383" s="54"/>
      <c r="B383" s="13"/>
      <c r="C383" s="45" t="s">
        <v>220</v>
      </c>
      <c r="D383" s="14"/>
      <c r="E383" s="70" t="s">
        <v>474</v>
      </c>
      <c r="F383" s="200">
        <f>Data!$E$37/1000</f>
        <v>371.00188764044947</v>
      </c>
      <c r="G383" s="56"/>
      <c r="H383" s="56"/>
      <c r="I383" s="56">
        <f>I375*$F$383</f>
        <v>0</v>
      </c>
      <c r="J383" s="56">
        <f t="shared" ref="J383:AO383" si="92">J375*$F$383</f>
        <v>0</v>
      </c>
      <c r="K383" s="56">
        <f t="shared" si="92"/>
        <v>0</v>
      </c>
      <c r="L383" s="56">
        <f t="shared" si="92"/>
        <v>0</v>
      </c>
      <c r="M383" s="56">
        <f t="shared" si="92"/>
        <v>0</v>
      </c>
      <c r="N383" s="56">
        <f t="shared" si="92"/>
        <v>0</v>
      </c>
      <c r="O383" s="56">
        <f t="shared" si="92"/>
        <v>0</v>
      </c>
      <c r="P383" s="56">
        <f t="shared" si="92"/>
        <v>0</v>
      </c>
      <c r="Q383" s="56">
        <f t="shared" si="92"/>
        <v>0</v>
      </c>
      <c r="R383" s="56">
        <f t="shared" si="92"/>
        <v>0</v>
      </c>
      <c r="S383" s="56">
        <f t="shared" si="92"/>
        <v>0</v>
      </c>
      <c r="T383" s="56">
        <f t="shared" si="92"/>
        <v>0</v>
      </c>
      <c r="U383" s="56">
        <f t="shared" si="92"/>
        <v>0</v>
      </c>
      <c r="V383" s="56">
        <f t="shared" si="92"/>
        <v>0</v>
      </c>
      <c r="W383" s="56">
        <f t="shared" si="92"/>
        <v>0</v>
      </c>
      <c r="X383" s="56">
        <f t="shared" si="92"/>
        <v>0</v>
      </c>
      <c r="Y383" s="56">
        <f t="shared" si="92"/>
        <v>0</v>
      </c>
      <c r="Z383" s="56">
        <f t="shared" si="92"/>
        <v>0</v>
      </c>
      <c r="AA383" s="56">
        <f t="shared" si="92"/>
        <v>0</v>
      </c>
      <c r="AB383" s="56">
        <f t="shared" si="92"/>
        <v>0</v>
      </c>
      <c r="AC383" s="56">
        <f t="shared" si="92"/>
        <v>0</v>
      </c>
      <c r="AD383" s="56">
        <f t="shared" si="92"/>
        <v>0</v>
      </c>
      <c r="AE383" s="56">
        <f t="shared" si="92"/>
        <v>0</v>
      </c>
      <c r="AF383" s="56">
        <f t="shared" si="92"/>
        <v>0</v>
      </c>
      <c r="AG383" s="56">
        <f t="shared" si="92"/>
        <v>0</v>
      </c>
      <c r="AH383" s="56">
        <f t="shared" si="92"/>
        <v>0</v>
      </c>
      <c r="AI383" s="56">
        <f t="shared" si="92"/>
        <v>0</v>
      </c>
      <c r="AJ383" s="56">
        <f t="shared" si="92"/>
        <v>0</v>
      </c>
      <c r="AK383" s="56">
        <f t="shared" si="92"/>
        <v>0</v>
      </c>
      <c r="AL383" s="56">
        <f t="shared" si="92"/>
        <v>0</v>
      </c>
      <c r="AM383" s="56">
        <f t="shared" si="92"/>
        <v>0</v>
      </c>
      <c r="AN383" s="56">
        <f t="shared" si="92"/>
        <v>0</v>
      </c>
      <c r="AO383" s="56">
        <f t="shared" si="92"/>
        <v>0</v>
      </c>
      <c r="AP383" s="29"/>
    </row>
    <row r="384" spans="1:42" hidden="1" outlineLevel="1" x14ac:dyDescent="0.25">
      <c r="A384" s="54"/>
      <c r="B384" s="13"/>
      <c r="C384" s="45" t="s">
        <v>212</v>
      </c>
      <c r="D384" s="14"/>
      <c r="E384" s="70" t="s">
        <v>474</v>
      </c>
      <c r="F384" s="200">
        <f>Data!$E$39/1000</f>
        <v>0</v>
      </c>
      <c r="G384" s="56"/>
      <c r="H384" s="56"/>
      <c r="I384" s="56">
        <f>I376*$F$384</f>
        <v>0</v>
      </c>
      <c r="J384" s="56">
        <f t="shared" ref="J384:AO384" si="93">J376*$F$384</f>
        <v>0</v>
      </c>
      <c r="K384" s="56">
        <f t="shared" si="93"/>
        <v>0</v>
      </c>
      <c r="L384" s="56">
        <f t="shared" si="93"/>
        <v>0</v>
      </c>
      <c r="M384" s="56">
        <f t="shared" si="93"/>
        <v>0</v>
      </c>
      <c r="N384" s="56">
        <f t="shared" si="93"/>
        <v>0</v>
      </c>
      <c r="O384" s="56">
        <f t="shared" si="93"/>
        <v>0</v>
      </c>
      <c r="P384" s="56">
        <f t="shared" si="93"/>
        <v>0</v>
      </c>
      <c r="Q384" s="56">
        <f t="shared" si="93"/>
        <v>0</v>
      </c>
      <c r="R384" s="56">
        <f t="shared" si="93"/>
        <v>0</v>
      </c>
      <c r="S384" s="56">
        <f t="shared" si="93"/>
        <v>0</v>
      </c>
      <c r="T384" s="56">
        <f t="shared" si="93"/>
        <v>0</v>
      </c>
      <c r="U384" s="56">
        <f t="shared" si="93"/>
        <v>0</v>
      </c>
      <c r="V384" s="56">
        <f t="shared" si="93"/>
        <v>0</v>
      </c>
      <c r="W384" s="56">
        <f t="shared" si="93"/>
        <v>0</v>
      </c>
      <c r="X384" s="56">
        <f t="shared" si="93"/>
        <v>0</v>
      </c>
      <c r="Y384" s="56">
        <f t="shared" si="93"/>
        <v>0</v>
      </c>
      <c r="Z384" s="56">
        <f t="shared" si="93"/>
        <v>0</v>
      </c>
      <c r="AA384" s="56">
        <f t="shared" si="93"/>
        <v>0</v>
      </c>
      <c r="AB384" s="56">
        <f t="shared" si="93"/>
        <v>0</v>
      </c>
      <c r="AC384" s="56">
        <f t="shared" si="93"/>
        <v>0</v>
      </c>
      <c r="AD384" s="56">
        <f t="shared" si="93"/>
        <v>0</v>
      </c>
      <c r="AE384" s="56">
        <f t="shared" si="93"/>
        <v>0</v>
      </c>
      <c r="AF384" s="56">
        <f t="shared" si="93"/>
        <v>0</v>
      </c>
      <c r="AG384" s="56">
        <f t="shared" si="93"/>
        <v>0</v>
      </c>
      <c r="AH384" s="56">
        <f t="shared" si="93"/>
        <v>0</v>
      </c>
      <c r="AI384" s="56">
        <f t="shared" si="93"/>
        <v>0</v>
      </c>
      <c r="AJ384" s="56">
        <f t="shared" si="93"/>
        <v>0</v>
      </c>
      <c r="AK384" s="56">
        <f t="shared" si="93"/>
        <v>0</v>
      </c>
      <c r="AL384" s="56">
        <f t="shared" si="93"/>
        <v>0</v>
      </c>
      <c r="AM384" s="56">
        <f t="shared" si="93"/>
        <v>0</v>
      </c>
      <c r="AN384" s="56">
        <f t="shared" si="93"/>
        <v>0</v>
      </c>
      <c r="AO384" s="56">
        <f t="shared" si="93"/>
        <v>0</v>
      </c>
      <c r="AP384" s="29"/>
    </row>
    <row r="385" spans="1:42" hidden="1" outlineLevel="1" x14ac:dyDescent="0.25">
      <c r="A385" s="54"/>
      <c r="B385" s="13"/>
      <c r="C385" s="45" t="s">
        <v>485</v>
      </c>
      <c r="D385" s="14"/>
      <c r="E385" s="70" t="s">
        <v>474</v>
      </c>
      <c r="F385" s="200">
        <f>Data!$E$40/1000</f>
        <v>605.20914606741576</v>
      </c>
      <c r="G385" s="56"/>
      <c r="H385" s="56"/>
      <c r="I385" s="56">
        <f>I377*$F$385</f>
        <v>0</v>
      </c>
      <c r="J385" s="56">
        <f t="shared" ref="J385:AO385" si="94">J377*$F$385</f>
        <v>0</v>
      </c>
      <c r="K385" s="56">
        <f t="shared" si="94"/>
        <v>0</v>
      </c>
      <c r="L385" s="56">
        <f t="shared" si="94"/>
        <v>0</v>
      </c>
      <c r="M385" s="56">
        <f t="shared" si="94"/>
        <v>0</v>
      </c>
      <c r="N385" s="56">
        <f t="shared" si="94"/>
        <v>0</v>
      </c>
      <c r="O385" s="56">
        <f t="shared" si="94"/>
        <v>0</v>
      </c>
      <c r="P385" s="56">
        <f t="shared" si="94"/>
        <v>0</v>
      </c>
      <c r="Q385" s="56">
        <f t="shared" si="94"/>
        <v>0</v>
      </c>
      <c r="R385" s="56">
        <f t="shared" si="94"/>
        <v>0</v>
      </c>
      <c r="S385" s="56">
        <f t="shared" si="94"/>
        <v>0</v>
      </c>
      <c r="T385" s="56">
        <f t="shared" si="94"/>
        <v>0</v>
      </c>
      <c r="U385" s="56">
        <f t="shared" si="94"/>
        <v>0</v>
      </c>
      <c r="V385" s="56">
        <f t="shared" si="94"/>
        <v>0</v>
      </c>
      <c r="W385" s="56">
        <f t="shared" si="94"/>
        <v>0</v>
      </c>
      <c r="X385" s="56">
        <f t="shared" si="94"/>
        <v>0</v>
      </c>
      <c r="Y385" s="56">
        <f t="shared" si="94"/>
        <v>0</v>
      </c>
      <c r="Z385" s="56">
        <f t="shared" si="94"/>
        <v>0</v>
      </c>
      <c r="AA385" s="56">
        <f t="shared" si="94"/>
        <v>0</v>
      </c>
      <c r="AB385" s="56">
        <f t="shared" si="94"/>
        <v>0</v>
      </c>
      <c r="AC385" s="56">
        <f t="shared" si="94"/>
        <v>0</v>
      </c>
      <c r="AD385" s="56">
        <f t="shared" si="94"/>
        <v>0</v>
      </c>
      <c r="AE385" s="56">
        <f t="shared" si="94"/>
        <v>0</v>
      </c>
      <c r="AF385" s="56">
        <f t="shared" si="94"/>
        <v>0</v>
      </c>
      <c r="AG385" s="56">
        <f t="shared" si="94"/>
        <v>0</v>
      </c>
      <c r="AH385" s="56">
        <f t="shared" si="94"/>
        <v>0</v>
      </c>
      <c r="AI385" s="56">
        <f t="shared" si="94"/>
        <v>0</v>
      </c>
      <c r="AJ385" s="56">
        <f t="shared" si="94"/>
        <v>0</v>
      </c>
      <c r="AK385" s="56">
        <f t="shared" si="94"/>
        <v>0</v>
      </c>
      <c r="AL385" s="56">
        <f t="shared" si="94"/>
        <v>0</v>
      </c>
      <c r="AM385" s="56">
        <f t="shared" si="94"/>
        <v>0</v>
      </c>
      <c r="AN385" s="56">
        <f t="shared" si="94"/>
        <v>0</v>
      </c>
      <c r="AO385" s="56">
        <f t="shared" si="94"/>
        <v>0</v>
      </c>
      <c r="AP385" s="29"/>
    </row>
    <row r="386" spans="1:42" hidden="1" outlineLevel="1" x14ac:dyDescent="0.25">
      <c r="A386" s="54"/>
      <c r="B386" s="13"/>
      <c r="C386" s="45" t="s">
        <v>214</v>
      </c>
      <c r="D386" s="14"/>
      <c r="E386" s="70" t="s">
        <v>474</v>
      </c>
      <c r="F386" s="200">
        <f>Data!$E$41/1000</f>
        <v>0</v>
      </c>
      <c r="G386" s="56"/>
      <c r="H386" s="56"/>
      <c r="I386" s="56">
        <f>I378*$F$386</f>
        <v>0</v>
      </c>
      <c r="J386" s="56">
        <f t="shared" ref="J386:AO386" si="95">J378*$F$386</f>
        <v>0</v>
      </c>
      <c r="K386" s="56">
        <f t="shared" si="95"/>
        <v>0</v>
      </c>
      <c r="L386" s="56">
        <f t="shared" si="95"/>
        <v>0</v>
      </c>
      <c r="M386" s="56">
        <f t="shared" si="95"/>
        <v>0</v>
      </c>
      <c r="N386" s="56">
        <f t="shared" si="95"/>
        <v>0</v>
      </c>
      <c r="O386" s="56">
        <f t="shared" si="95"/>
        <v>0</v>
      </c>
      <c r="P386" s="56">
        <f t="shared" si="95"/>
        <v>0</v>
      </c>
      <c r="Q386" s="56">
        <f t="shared" si="95"/>
        <v>0</v>
      </c>
      <c r="R386" s="56">
        <f t="shared" si="95"/>
        <v>0</v>
      </c>
      <c r="S386" s="56">
        <f t="shared" si="95"/>
        <v>0</v>
      </c>
      <c r="T386" s="56">
        <f t="shared" si="95"/>
        <v>0</v>
      </c>
      <c r="U386" s="56">
        <f t="shared" si="95"/>
        <v>0</v>
      </c>
      <c r="V386" s="56">
        <f t="shared" si="95"/>
        <v>0</v>
      </c>
      <c r="W386" s="56">
        <f t="shared" si="95"/>
        <v>0</v>
      </c>
      <c r="X386" s="56">
        <f t="shared" si="95"/>
        <v>0</v>
      </c>
      <c r="Y386" s="56">
        <f t="shared" si="95"/>
        <v>0</v>
      </c>
      <c r="Z386" s="56">
        <f t="shared" si="95"/>
        <v>0</v>
      </c>
      <c r="AA386" s="56">
        <f t="shared" si="95"/>
        <v>0</v>
      </c>
      <c r="AB386" s="56">
        <f t="shared" si="95"/>
        <v>0</v>
      </c>
      <c r="AC386" s="56">
        <f t="shared" si="95"/>
        <v>0</v>
      </c>
      <c r="AD386" s="56">
        <f t="shared" si="95"/>
        <v>0</v>
      </c>
      <c r="AE386" s="56">
        <f t="shared" si="95"/>
        <v>0</v>
      </c>
      <c r="AF386" s="56">
        <f t="shared" si="95"/>
        <v>0</v>
      </c>
      <c r="AG386" s="56">
        <f t="shared" si="95"/>
        <v>0</v>
      </c>
      <c r="AH386" s="56">
        <f t="shared" si="95"/>
        <v>0</v>
      </c>
      <c r="AI386" s="56">
        <f t="shared" si="95"/>
        <v>0</v>
      </c>
      <c r="AJ386" s="56">
        <f t="shared" si="95"/>
        <v>0</v>
      </c>
      <c r="AK386" s="56">
        <f t="shared" si="95"/>
        <v>0</v>
      </c>
      <c r="AL386" s="56">
        <f t="shared" si="95"/>
        <v>0</v>
      </c>
      <c r="AM386" s="56">
        <f t="shared" si="95"/>
        <v>0</v>
      </c>
      <c r="AN386" s="56">
        <f t="shared" si="95"/>
        <v>0</v>
      </c>
      <c r="AO386" s="56">
        <f t="shared" si="95"/>
        <v>0</v>
      </c>
      <c r="AP386" s="29"/>
    </row>
    <row r="387" spans="1:42" hidden="1" outlineLevel="1" x14ac:dyDescent="0.25">
      <c r="A387" s="12"/>
      <c r="B387" s="13"/>
      <c r="C387" s="20" t="s">
        <v>486</v>
      </c>
      <c r="D387" s="14"/>
      <c r="E387" s="70" t="s">
        <v>474</v>
      </c>
      <c r="F387" s="16"/>
      <c r="G387" s="159"/>
      <c r="H387" s="185"/>
      <c r="I387" s="185">
        <f>SUM(I380:I386)</f>
        <v>0</v>
      </c>
      <c r="J387" s="185">
        <f t="shared" ref="J387:AO387" si="96">SUM(J380:J386)</f>
        <v>0</v>
      </c>
      <c r="K387" s="185">
        <f t="shared" si="96"/>
        <v>0</v>
      </c>
      <c r="L387" s="185">
        <f t="shared" si="96"/>
        <v>0</v>
      </c>
      <c r="M387" s="185">
        <f t="shared" si="96"/>
        <v>0</v>
      </c>
      <c r="N387" s="185">
        <f t="shared" si="96"/>
        <v>0</v>
      </c>
      <c r="O387" s="185">
        <f t="shared" si="96"/>
        <v>0</v>
      </c>
      <c r="P387" s="185">
        <f t="shared" si="96"/>
        <v>0</v>
      </c>
      <c r="Q387" s="185">
        <f t="shared" si="96"/>
        <v>0</v>
      </c>
      <c r="R387" s="185">
        <f t="shared" si="96"/>
        <v>0</v>
      </c>
      <c r="S387" s="185">
        <f t="shared" si="96"/>
        <v>0</v>
      </c>
      <c r="T387" s="185">
        <f t="shared" si="96"/>
        <v>0</v>
      </c>
      <c r="U387" s="185">
        <f t="shared" si="96"/>
        <v>0</v>
      </c>
      <c r="V387" s="185">
        <f t="shared" si="96"/>
        <v>0</v>
      </c>
      <c r="W387" s="185">
        <f t="shared" si="96"/>
        <v>0</v>
      </c>
      <c r="X387" s="185">
        <f t="shared" si="96"/>
        <v>0</v>
      </c>
      <c r="Y387" s="185">
        <f t="shared" si="96"/>
        <v>0</v>
      </c>
      <c r="Z387" s="185">
        <f t="shared" si="96"/>
        <v>0</v>
      </c>
      <c r="AA387" s="185">
        <f t="shared" si="96"/>
        <v>0</v>
      </c>
      <c r="AB387" s="185">
        <f t="shared" si="96"/>
        <v>0</v>
      </c>
      <c r="AC387" s="185">
        <f t="shared" si="96"/>
        <v>0</v>
      </c>
      <c r="AD387" s="185">
        <f t="shared" si="96"/>
        <v>0</v>
      </c>
      <c r="AE387" s="185">
        <f t="shared" si="96"/>
        <v>0</v>
      </c>
      <c r="AF387" s="185">
        <f t="shared" si="96"/>
        <v>0</v>
      </c>
      <c r="AG387" s="185">
        <f t="shared" si="96"/>
        <v>0</v>
      </c>
      <c r="AH387" s="185">
        <f t="shared" si="96"/>
        <v>0</v>
      </c>
      <c r="AI387" s="185">
        <f t="shared" si="96"/>
        <v>0</v>
      </c>
      <c r="AJ387" s="185">
        <f t="shared" si="96"/>
        <v>0</v>
      </c>
      <c r="AK387" s="185">
        <f t="shared" si="96"/>
        <v>0</v>
      </c>
      <c r="AL387" s="185">
        <f t="shared" si="96"/>
        <v>0</v>
      </c>
      <c r="AM387" s="185">
        <f t="shared" si="96"/>
        <v>0</v>
      </c>
      <c r="AN387" s="185">
        <f t="shared" si="96"/>
        <v>0</v>
      </c>
      <c r="AO387" s="185">
        <f t="shared" si="96"/>
        <v>0</v>
      </c>
      <c r="AP387" s="14"/>
    </row>
    <row r="388" spans="1:42" hidden="1" outlineLevel="1" x14ac:dyDescent="0.25">
      <c r="A388" s="12"/>
      <c r="B388" s="13"/>
      <c r="C388" s="14" t="s">
        <v>523</v>
      </c>
      <c r="D388" s="14"/>
      <c r="E388" s="15" t="s">
        <v>474</v>
      </c>
      <c r="F388" s="48"/>
      <c r="G388" s="185"/>
      <c r="H388" s="185"/>
      <c r="I388" s="185">
        <f>I387*Data!H$9</f>
        <v>0</v>
      </c>
      <c r="J388" s="185">
        <f>J387*Data!I$9</f>
        <v>0</v>
      </c>
      <c r="K388" s="185">
        <f>K387*Data!J$9</f>
        <v>0</v>
      </c>
      <c r="L388" s="185">
        <f>L387*Data!K$9</f>
        <v>0</v>
      </c>
      <c r="M388" s="185">
        <f>M387*Data!L$9</f>
        <v>0</v>
      </c>
      <c r="N388" s="185">
        <f>N387*Data!M$9</f>
        <v>0</v>
      </c>
      <c r="O388" s="185">
        <f>O387*Data!N$9</f>
        <v>0</v>
      </c>
      <c r="P388" s="185">
        <f>P387*Data!O$9</f>
        <v>0</v>
      </c>
      <c r="Q388" s="185">
        <f>Q387*Data!P$9</f>
        <v>0</v>
      </c>
      <c r="R388" s="185">
        <f>R387*Data!Q$9</f>
        <v>0</v>
      </c>
      <c r="S388" s="185">
        <f>S387*Data!R$9</f>
        <v>0</v>
      </c>
      <c r="T388" s="185">
        <f>T387*Data!S$9</f>
        <v>0</v>
      </c>
      <c r="U388" s="185">
        <f>U387*Data!T$9</f>
        <v>0</v>
      </c>
      <c r="V388" s="185">
        <f>V387*Data!U$9</f>
        <v>0</v>
      </c>
      <c r="W388" s="185">
        <f>W387*Data!V$9</f>
        <v>0</v>
      </c>
      <c r="X388" s="185">
        <f>X387*Data!W$9</f>
        <v>0</v>
      </c>
      <c r="Y388" s="185">
        <f>Y387*Data!X$9</f>
        <v>0</v>
      </c>
      <c r="Z388" s="185">
        <f>Z387*Data!Y$9</f>
        <v>0</v>
      </c>
      <c r="AA388" s="185">
        <f>AA387*Data!Z$9</f>
        <v>0</v>
      </c>
      <c r="AB388" s="185">
        <f>AB387*Data!AA$9</f>
        <v>0</v>
      </c>
      <c r="AC388" s="185">
        <f>AC387*Data!AB$9</f>
        <v>0</v>
      </c>
      <c r="AD388" s="185">
        <f>AD387*Data!AC$9</f>
        <v>0</v>
      </c>
      <c r="AE388" s="185">
        <f>AE387*Data!AD$9</f>
        <v>0</v>
      </c>
      <c r="AF388" s="185">
        <f>AF387*Data!AE$9</f>
        <v>0</v>
      </c>
      <c r="AG388" s="185">
        <f>AG387*Data!AF$9</f>
        <v>0</v>
      </c>
      <c r="AH388" s="185">
        <f>AH387*Data!AG$9</f>
        <v>0</v>
      </c>
      <c r="AI388" s="185">
        <f>AI387*Data!AH$9</f>
        <v>0</v>
      </c>
      <c r="AJ388" s="185">
        <f>AJ387*Data!AI$9</f>
        <v>0</v>
      </c>
      <c r="AK388" s="185">
        <f>AK387*Data!AJ$9</f>
        <v>0</v>
      </c>
      <c r="AL388" s="185">
        <f>AL387*Data!AK$9</f>
        <v>0</v>
      </c>
      <c r="AM388" s="185">
        <f>AM387*Data!AL$9</f>
        <v>0</v>
      </c>
      <c r="AN388" s="185">
        <f>AN387*Data!AM$9</f>
        <v>0</v>
      </c>
      <c r="AO388" s="185">
        <f>AO387*Data!AN$9</f>
        <v>0</v>
      </c>
      <c r="AP388" s="14"/>
    </row>
    <row r="389" spans="1:42" hidden="1" outlineLevel="1" x14ac:dyDescent="0.25">
      <c r="A389" s="12"/>
      <c r="B389" s="13"/>
      <c r="C389" s="14" t="s">
        <v>489</v>
      </c>
      <c r="D389" s="13"/>
      <c r="E389" s="15" t="s">
        <v>142</v>
      </c>
      <c r="F389" s="16"/>
      <c r="G389" s="159">
        <f>SUM(H388:AO388)</f>
        <v>0</v>
      </c>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row>
    <row r="390" spans="1:42" hidden="1" outlineLevel="1" x14ac:dyDescent="0.25">
      <c r="A390" s="12"/>
      <c r="B390" s="13"/>
      <c r="C390" s="41" t="s">
        <v>62</v>
      </c>
      <c r="D390" s="41"/>
      <c r="E390" s="15" t="s">
        <v>261</v>
      </c>
      <c r="F390" s="16"/>
      <c r="G390" s="184">
        <f>G389/(SUM(H370:AO370))</f>
        <v>0</v>
      </c>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7"/>
    </row>
    <row r="391" spans="1:42" hidden="1" outlineLevel="1" x14ac:dyDescent="0.25">
      <c r="A391" s="12"/>
      <c r="B391" s="13"/>
      <c r="C391" s="41"/>
      <c r="D391" s="41"/>
      <c r="E391" s="15"/>
      <c r="F391" s="16"/>
      <c r="G391" s="14"/>
      <c r="H391" s="141"/>
      <c r="I391" s="141"/>
      <c r="J391" s="141"/>
      <c r="K391" s="141"/>
      <c r="L391" s="141"/>
      <c r="M391" s="141"/>
      <c r="N391" s="141"/>
      <c r="O391" s="141"/>
      <c r="P391" s="141"/>
      <c r="Q391" s="141"/>
      <c r="R391" s="141"/>
      <c r="S391" s="141"/>
      <c r="T391" s="141"/>
      <c r="U391" s="141"/>
      <c r="V391" s="141"/>
      <c r="W391" s="141"/>
      <c r="X391" s="141"/>
      <c r="Y391" s="141"/>
      <c r="Z391" s="141"/>
      <c r="AA391" s="141"/>
      <c r="AB391" s="141"/>
      <c r="AC391" s="14"/>
      <c r="AD391" s="14"/>
      <c r="AE391" s="14"/>
      <c r="AF391" s="14"/>
      <c r="AG391" s="14"/>
      <c r="AH391" s="14"/>
      <c r="AI391" s="14"/>
      <c r="AJ391" s="14"/>
      <c r="AK391" s="14"/>
      <c r="AL391" s="14"/>
      <c r="AM391" s="14"/>
      <c r="AN391" s="14"/>
      <c r="AO391" s="14"/>
      <c r="AP391" s="17"/>
    </row>
    <row r="392" spans="1:42" hidden="1" outlineLevel="1" x14ac:dyDescent="0.25">
      <c r="A392" s="12"/>
      <c r="B392" s="13"/>
      <c r="C392" s="19" t="s">
        <v>252</v>
      </c>
      <c r="D392" s="14"/>
      <c r="E392" s="15"/>
      <c r="F392" s="16"/>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row>
    <row r="393" spans="1:42" hidden="1" outlineLevel="1" x14ac:dyDescent="0.25">
      <c r="A393" s="12"/>
      <c r="B393" s="13"/>
      <c r="C393" s="45" t="s">
        <v>520</v>
      </c>
      <c r="D393" s="14"/>
      <c r="E393" s="15" t="s">
        <v>521</v>
      </c>
      <c r="F393" s="16"/>
      <c r="G393" s="14"/>
      <c r="H393" s="141"/>
      <c r="I393" s="141">
        <f t="shared" ref="I393:AN393" si="97">I291</f>
        <v>51480</v>
      </c>
      <c r="J393" s="141">
        <f t="shared" si="97"/>
        <v>51480</v>
      </c>
      <c r="K393" s="141">
        <f t="shared" si="97"/>
        <v>51480</v>
      </c>
      <c r="L393" s="141">
        <f t="shared" si="97"/>
        <v>51480</v>
      </c>
      <c r="M393" s="141">
        <f t="shared" si="97"/>
        <v>51480</v>
      </c>
      <c r="N393" s="141">
        <f t="shared" si="97"/>
        <v>51480</v>
      </c>
      <c r="O393" s="141">
        <f t="shared" si="97"/>
        <v>51480</v>
      </c>
      <c r="P393" s="141">
        <f t="shared" si="97"/>
        <v>51480</v>
      </c>
      <c r="Q393" s="141">
        <f t="shared" si="97"/>
        <v>51480</v>
      </c>
      <c r="R393" s="141">
        <f t="shared" si="97"/>
        <v>51480</v>
      </c>
      <c r="S393" s="141">
        <f t="shared" si="97"/>
        <v>51480</v>
      </c>
      <c r="T393" s="141">
        <f t="shared" si="97"/>
        <v>51480</v>
      </c>
      <c r="U393" s="141">
        <f t="shared" si="97"/>
        <v>0</v>
      </c>
      <c r="V393" s="141">
        <f t="shared" si="97"/>
        <v>0</v>
      </c>
      <c r="W393" s="141">
        <f t="shared" si="97"/>
        <v>0</v>
      </c>
      <c r="X393" s="141">
        <f t="shared" si="97"/>
        <v>0</v>
      </c>
      <c r="Y393" s="141">
        <f t="shared" si="97"/>
        <v>0</v>
      </c>
      <c r="Z393" s="141">
        <f t="shared" si="97"/>
        <v>0</v>
      </c>
      <c r="AA393" s="141">
        <f t="shared" si="97"/>
        <v>0</v>
      </c>
      <c r="AB393" s="141">
        <f t="shared" si="97"/>
        <v>0</v>
      </c>
      <c r="AC393" s="141">
        <f t="shared" si="97"/>
        <v>0</v>
      </c>
      <c r="AD393" s="141">
        <f t="shared" si="97"/>
        <v>0</v>
      </c>
      <c r="AE393" s="141">
        <f t="shared" si="97"/>
        <v>0</v>
      </c>
      <c r="AF393" s="141">
        <f t="shared" si="97"/>
        <v>0</v>
      </c>
      <c r="AG393" s="141">
        <f t="shared" si="97"/>
        <v>0</v>
      </c>
      <c r="AH393" s="141">
        <f t="shared" si="97"/>
        <v>0</v>
      </c>
      <c r="AI393" s="141">
        <f t="shared" si="97"/>
        <v>0</v>
      </c>
      <c r="AJ393" s="141">
        <f t="shared" si="97"/>
        <v>0</v>
      </c>
      <c r="AK393" s="141">
        <f t="shared" si="97"/>
        <v>0</v>
      </c>
      <c r="AL393" s="141">
        <f t="shared" si="97"/>
        <v>0</v>
      </c>
      <c r="AM393" s="141">
        <f t="shared" si="97"/>
        <v>0</v>
      </c>
      <c r="AN393" s="141">
        <f t="shared" si="97"/>
        <v>0</v>
      </c>
      <c r="AO393" s="141"/>
      <c r="AP393" s="14"/>
    </row>
    <row r="394" spans="1:42" hidden="1" outlineLevel="1" x14ac:dyDescent="0.25">
      <c r="A394" s="12"/>
      <c r="B394" s="13"/>
      <c r="C394" s="44" t="s">
        <v>483</v>
      </c>
      <c r="D394" s="14"/>
      <c r="E394" s="15"/>
      <c r="F394" s="16"/>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159"/>
      <c r="AG394" s="14"/>
      <c r="AH394" s="14"/>
      <c r="AI394" s="14"/>
      <c r="AJ394" s="14"/>
      <c r="AK394" s="14"/>
      <c r="AL394" s="14"/>
      <c r="AM394" s="14"/>
      <c r="AN394" s="14"/>
      <c r="AO394" s="14"/>
      <c r="AP394" s="14"/>
    </row>
    <row r="395" spans="1:42" ht="14.25" hidden="1" customHeight="1" outlineLevel="1" x14ac:dyDescent="0.25">
      <c r="A395" s="54"/>
      <c r="B395" s="13"/>
      <c r="C395" s="45" t="s">
        <v>205</v>
      </c>
      <c r="D395" s="14"/>
      <c r="E395" s="70" t="s">
        <v>352</v>
      </c>
      <c r="F395" s="200">
        <f>Data!E485/1000</f>
        <v>4.3953694163207466E-3</v>
      </c>
      <c r="G395" s="56"/>
      <c r="H395" s="56"/>
      <c r="I395" s="56">
        <f>I$393*$F$395</f>
        <v>226.27361755219204</v>
      </c>
      <c r="J395" s="56">
        <f t="shared" ref="J395:AO395" si="98">J$393*$F$395</f>
        <v>226.27361755219204</v>
      </c>
      <c r="K395" s="56">
        <f t="shared" si="98"/>
        <v>226.27361755219204</v>
      </c>
      <c r="L395" s="56">
        <f t="shared" si="98"/>
        <v>226.27361755219204</v>
      </c>
      <c r="M395" s="56">
        <f t="shared" si="98"/>
        <v>226.27361755219204</v>
      </c>
      <c r="N395" s="56">
        <f t="shared" si="98"/>
        <v>226.27361755219204</v>
      </c>
      <c r="O395" s="56">
        <f t="shared" si="98"/>
        <v>226.27361755219204</v>
      </c>
      <c r="P395" s="56">
        <f t="shared" si="98"/>
        <v>226.27361755219204</v>
      </c>
      <c r="Q395" s="56">
        <f t="shared" si="98"/>
        <v>226.27361755219204</v>
      </c>
      <c r="R395" s="56">
        <f t="shared" si="98"/>
        <v>226.27361755219204</v>
      </c>
      <c r="S395" s="56">
        <f t="shared" si="98"/>
        <v>226.27361755219204</v>
      </c>
      <c r="T395" s="56">
        <f t="shared" si="98"/>
        <v>226.27361755219204</v>
      </c>
      <c r="U395" s="56">
        <f t="shared" si="98"/>
        <v>0</v>
      </c>
      <c r="V395" s="56">
        <f t="shared" si="98"/>
        <v>0</v>
      </c>
      <c r="W395" s="56">
        <f t="shared" si="98"/>
        <v>0</v>
      </c>
      <c r="X395" s="56">
        <f t="shared" si="98"/>
        <v>0</v>
      </c>
      <c r="Y395" s="56">
        <f t="shared" si="98"/>
        <v>0</v>
      </c>
      <c r="Z395" s="56">
        <f t="shared" si="98"/>
        <v>0</v>
      </c>
      <c r="AA395" s="56">
        <f t="shared" si="98"/>
        <v>0</v>
      </c>
      <c r="AB395" s="56">
        <f t="shared" si="98"/>
        <v>0</v>
      </c>
      <c r="AC395" s="56">
        <f t="shared" si="98"/>
        <v>0</v>
      </c>
      <c r="AD395" s="56">
        <f t="shared" si="98"/>
        <v>0</v>
      </c>
      <c r="AE395" s="56">
        <f t="shared" si="98"/>
        <v>0</v>
      </c>
      <c r="AF395" s="56">
        <f t="shared" si="98"/>
        <v>0</v>
      </c>
      <c r="AG395" s="56">
        <f t="shared" si="98"/>
        <v>0</v>
      </c>
      <c r="AH395" s="56">
        <f t="shared" si="98"/>
        <v>0</v>
      </c>
      <c r="AI395" s="56">
        <f t="shared" si="98"/>
        <v>0</v>
      </c>
      <c r="AJ395" s="56">
        <f t="shared" si="98"/>
        <v>0</v>
      </c>
      <c r="AK395" s="56">
        <f t="shared" si="98"/>
        <v>0</v>
      </c>
      <c r="AL395" s="56">
        <f t="shared" si="98"/>
        <v>0</v>
      </c>
      <c r="AM395" s="56">
        <f t="shared" si="98"/>
        <v>0</v>
      </c>
      <c r="AN395" s="56">
        <f t="shared" si="98"/>
        <v>0</v>
      </c>
      <c r="AO395" s="56">
        <f t="shared" si="98"/>
        <v>0</v>
      </c>
      <c r="AP395" s="29"/>
    </row>
    <row r="396" spans="1:42" hidden="1" outlineLevel="1" x14ac:dyDescent="0.25">
      <c r="A396" s="54"/>
      <c r="B396" s="13"/>
      <c r="C396" s="45" t="s">
        <v>484</v>
      </c>
      <c r="D396" s="14"/>
      <c r="E396" s="70" t="s">
        <v>352</v>
      </c>
      <c r="F396" s="200">
        <f>Data!E486/1000</f>
        <v>2.7723529845073447</v>
      </c>
      <c r="G396" s="56"/>
      <c r="H396" s="56"/>
      <c r="I396" s="56">
        <f>I$393*$F$396</f>
        <v>142720.7316424381</v>
      </c>
      <c r="J396" s="56">
        <f t="shared" ref="J396:AO396" si="99">J$393*$F$396</f>
        <v>142720.7316424381</v>
      </c>
      <c r="K396" s="56">
        <f t="shared" si="99"/>
        <v>142720.7316424381</v>
      </c>
      <c r="L396" s="56">
        <f t="shared" si="99"/>
        <v>142720.7316424381</v>
      </c>
      <c r="M396" s="56">
        <f t="shared" si="99"/>
        <v>142720.7316424381</v>
      </c>
      <c r="N396" s="56">
        <f t="shared" si="99"/>
        <v>142720.7316424381</v>
      </c>
      <c r="O396" s="56">
        <f t="shared" si="99"/>
        <v>142720.7316424381</v>
      </c>
      <c r="P396" s="56">
        <f t="shared" si="99"/>
        <v>142720.7316424381</v>
      </c>
      <c r="Q396" s="56">
        <f t="shared" si="99"/>
        <v>142720.7316424381</v>
      </c>
      <c r="R396" s="56">
        <f t="shared" si="99"/>
        <v>142720.7316424381</v>
      </c>
      <c r="S396" s="56">
        <f t="shared" si="99"/>
        <v>142720.7316424381</v>
      </c>
      <c r="T396" s="56">
        <f t="shared" si="99"/>
        <v>142720.7316424381</v>
      </c>
      <c r="U396" s="56">
        <f t="shared" si="99"/>
        <v>0</v>
      </c>
      <c r="V396" s="56">
        <f t="shared" si="99"/>
        <v>0</v>
      </c>
      <c r="W396" s="56">
        <f t="shared" si="99"/>
        <v>0</v>
      </c>
      <c r="X396" s="56">
        <f t="shared" si="99"/>
        <v>0</v>
      </c>
      <c r="Y396" s="56">
        <f t="shared" si="99"/>
        <v>0</v>
      </c>
      <c r="Z396" s="56">
        <f t="shared" si="99"/>
        <v>0</v>
      </c>
      <c r="AA396" s="56">
        <f t="shared" si="99"/>
        <v>0</v>
      </c>
      <c r="AB396" s="56">
        <f t="shared" si="99"/>
        <v>0</v>
      </c>
      <c r="AC396" s="56">
        <f t="shared" si="99"/>
        <v>0</v>
      </c>
      <c r="AD396" s="56">
        <f t="shared" si="99"/>
        <v>0</v>
      </c>
      <c r="AE396" s="56">
        <f t="shared" si="99"/>
        <v>0</v>
      </c>
      <c r="AF396" s="56">
        <f t="shared" si="99"/>
        <v>0</v>
      </c>
      <c r="AG396" s="56">
        <f t="shared" si="99"/>
        <v>0</v>
      </c>
      <c r="AH396" s="56">
        <f t="shared" si="99"/>
        <v>0</v>
      </c>
      <c r="AI396" s="56">
        <f t="shared" si="99"/>
        <v>0</v>
      </c>
      <c r="AJ396" s="56">
        <f t="shared" si="99"/>
        <v>0</v>
      </c>
      <c r="AK396" s="56">
        <f t="shared" si="99"/>
        <v>0</v>
      </c>
      <c r="AL396" s="56">
        <f t="shared" si="99"/>
        <v>0</v>
      </c>
      <c r="AM396" s="56">
        <f t="shared" si="99"/>
        <v>0</v>
      </c>
      <c r="AN396" s="56">
        <f t="shared" si="99"/>
        <v>0</v>
      </c>
      <c r="AO396" s="56">
        <f t="shared" si="99"/>
        <v>0</v>
      </c>
      <c r="AP396" s="29"/>
    </row>
    <row r="397" spans="1:42" hidden="1" outlineLevel="1" x14ac:dyDescent="0.25">
      <c r="A397" s="54"/>
      <c r="B397" s="13"/>
      <c r="C397" s="45" t="s">
        <v>285</v>
      </c>
      <c r="D397" s="14"/>
      <c r="E397" s="70" t="s">
        <v>352</v>
      </c>
      <c r="F397" s="200">
        <f>Data!E487/1000</f>
        <v>3.4917477856892727E-4</v>
      </c>
      <c r="G397" s="56"/>
      <c r="H397" s="56"/>
      <c r="I397" s="56">
        <f>I$393*$F$397</f>
        <v>17.975517600728377</v>
      </c>
      <c r="J397" s="56">
        <f t="shared" ref="J397:AO397" si="100">J$393*$F$397</f>
        <v>17.975517600728377</v>
      </c>
      <c r="K397" s="56">
        <f t="shared" si="100"/>
        <v>17.975517600728377</v>
      </c>
      <c r="L397" s="56">
        <f t="shared" si="100"/>
        <v>17.975517600728377</v>
      </c>
      <c r="M397" s="56">
        <f t="shared" si="100"/>
        <v>17.975517600728377</v>
      </c>
      <c r="N397" s="56">
        <f t="shared" si="100"/>
        <v>17.975517600728377</v>
      </c>
      <c r="O397" s="56">
        <f t="shared" si="100"/>
        <v>17.975517600728377</v>
      </c>
      <c r="P397" s="56">
        <f t="shared" si="100"/>
        <v>17.975517600728377</v>
      </c>
      <c r="Q397" s="56">
        <f t="shared" si="100"/>
        <v>17.975517600728377</v>
      </c>
      <c r="R397" s="56">
        <f t="shared" si="100"/>
        <v>17.975517600728377</v>
      </c>
      <c r="S397" s="56">
        <f t="shared" si="100"/>
        <v>17.975517600728377</v>
      </c>
      <c r="T397" s="56">
        <f t="shared" si="100"/>
        <v>17.975517600728377</v>
      </c>
      <c r="U397" s="56">
        <f t="shared" si="100"/>
        <v>0</v>
      </c>
      <c r="V397" s="56">
        <f t="shared" si="100"/>
        <v>0</v>
      </c>
      <c r="W397" s="56">
        <f t="shared" si="100"/>
        <v>0</v>
      </c>
      <c r="X397" s="56">
        <f t="shared" si="100"/>
        <v>0</v>
      </c>
      <c r="Y397" s="56">
        <f t="shared" si="100"/>
        <v>0</v>
      </c>
      <c r="Z397" s="56">
        <f t="shared" si="100"/>
        <v>0</v>
      </c>
      <c r="AA397" s="56">
        <f t="shared" si="100"/>
        <v>0</v>
      </c>
      <c r="AB397" s="56">
        <f t="shared" si="100"/>
        <v>0</v>
      </c>
      <c r="AC397" s="56">
        <f t="shared" si="100"/>
        <v>0</v>
      </c>
      <c r="AD397" s="56">
        <f t="shared" si="100"/>
        <v>0</v>
      </c>
      <c r="AE397" s="56">
        <f t="shared" si="100"/>
        <v>0</v>
      </c>
      <c r="AF397" s="56">
        <f t="shared" si="100"/>
        <v>0</v>
      </c>
      <c r="AG397" s="56">
        <f t="shared" si="100"/>
        <v>0</v>
      </c>
      <c r="AH397" s="56">
        <f t="shared" si="100"/>
        <v>0</v>
      </c>
      <c r="AI397" s="56">
        <f t="shared" si="100"/>
        <v>0</v>
      </c>
      <c r="AJ397" s="56">
        <f t="shared" si="100"/>
        <v>0</v>
      </c>
      <c r="AK397" s="56">
        <f t="shared" si="100"/>
        <v>0</v>
      </c>
      <c r="AL397" s="56">
        <f t="shared" si="100"/>
        <v>0</v>
      </c>
      <c r="AM397" s="56">
        <f t="shared" si="100"/>
        <v>0</v>
      </c>
      <c r="AN397" s="56">
        <f t="shared" si="100"/>
        <v>0</v>
      </c>
      <c r="AO397" s="56">
        <f t="shared" si="100"/>
        <v>0</v>
      </c>
      <c r="AP397" s="29"/>
    </row>
    <row r="398" spans="1:42" hidden="1" outlineLevel="1" x14ac:dyDescent="0.25">
      <c r="A398" s="54"/>
      <c r="B398" s="13"/>
      <c r="C398" s="45" t="s">
        <v>220</v>
      </c>
      <c r="D398" s="14"/>
      <c r="E398" s="70" t="s">
        <v>352</v>
      </c>
      <c r="F398" s="200">
        <f>Data!E488/1000</f>
        <v>1.5499642131509336E-2</v>
      </c>
      <c r="G398" s="56"/>
      <c r="H398" s="56"/>
      <c r="I398" s="56">
        <f>I$393*$F$398</f>
        <v>797.92157693010063</v>
      </c>
      <c r="J398" s="56">
        <f t="shared" ref="J398:AO398" si="101">J$393*$F$398</f>
        <v>797.92157693010063</v>
      </c>
      <c r="K398" s="56">
        <f t="shared" si="101"/>
        <v>797.92157693010063</v>
      </c>
      <c r="L398" s="56">
        <f t="shared" si="101"/>
        <v>797.92157693010063</v>
      </c>
      <c r="M398" s="56">
        <f t="shared" si="101"/>
        <v>797.92157693010063</v>
      </c>
      <c r="N398" s="56">
        <f t="shared" si="101"/>
        <v>797.92157693010063</v>
      </c>
      <c r="O398" s="56">
        <f t="shared" si="101"/>
        <v>797.92157693010063</v>
      </c>
      <c r="P398" s="56">
        <f t="shared" si="101"/>
        <v>797.92157693010063</v>
      </c>
      <c r="Q398" s="56">
        <f t="shared" si="101"/>
        <v>797.92157693010063</v>
      </c>
      <c r="R398" s="56">
        <f t="shared" si="101"/>
        <v>797.92157693010063</v>
      </c>
      <c r="S398" s="56">
        <f t="shared" si="101"/>
        <v>797.92157693010063</v>
      </c>
      <c r="T398" s="56">
        <f t="shared" si="101"/>
        <v>797.92157693010063</v>
      </c>
      <c r="U398" s="56">
        <f t="shared" si="101"/>
        <v>0</v>
      </c>
      <c r="V398" s="56">
        <f t="shared" si="101"/>
        <v>0</v>
      </c>
      <c r="W398" s="56">
        <f t="shared" si="101"/>
        <v>0</v>
      </c>
      <c r="X398" s="56">
        <f t="shared" si="101"/>
        <v>0</v>
      </c>
      <c r="Y398" s="56">
        <f t="shared" si="101"/>
        <v>0</v>
      </c>
      <c r="Z398" s="56">
        <f t="shared" si="101"/>
        <v>0</v>
      </c>
      <c r="AA398" s="56">
        <f t="shared" si="101"/>
        <v>0</v>
      </c>
      <c r="AB398" s="56">
        <f t="shared" si="101"/>
        <v>0</v>
      </c>
      <c r="AC398" s="56">
        <f t="shared" si="101"/>
        <v>0</v>
      </c>
      <c r="AD398" s="56">
        <f t="shared" si="101"/>
        <v>0</v>
      </c>
      <c r="AE398" s="56">
        <f t="shared" si="101"/>
        <v>0</v>
      </c>
      <c r="AF398" s="56">
        <f t="shared" si="101"/>
        <v>0</v>
      </c>
      <c r="AG398" s="56">
        <f t="shared" si="101"/>
        <v>0</v>
      </c>
      <c r="AH398" s="56">
        <f t="shared" si="101"/>
        <v>0</v>
      </c>
      <c r="AI398" s="56">
        <f t="shared" si="101"/>
        <v>0</v>
      </c>
      <c r="AJ398" s="56">
        <f t="shared" si="101"/>
        <v>0</v>
      </c>
      <c r="AK398" s="56">
        <f t="shared" si="101"/>
        <v>0</v>
      </c>
      <c r="AL398" s="56">
        <f t="shared" si="101"/>
        <v>0</v>
      </c>
      <c r="AM398" s="56">
        <f t="shared" si="101"/>
        <v>0</v>
      </c>
      <c r="AN398" s="56">
        <f t="shared" si="101"/>
        <v>0</v>
      </c>
      <c r="AO398" s="56">
        <f t="shared" si="101"/>
        <v>0</v>
      </c>
      <c r="AP398" s="29"/>
    </row>
    <row r="399" spans="1:42" hidden="1" outlineLevel="1" x14ac:dyDescent="0.25">
      <c r="A399" s="54"/>
      <c r="B399" s="13"/>
      <c r="C399" s="45" t="s">
        <v>212</v>
      </c>
      <c r="D399" s="14"/>
      <c r="E399" s="70" t="s">
        <v>352</v>
      </c>
      <c r="F399" s="200">
        <f>Data!E489/1000</f>
        <v>1.7773516852597467E-3</v>
      </c>
      <c r="G399" s="56"/>
      <c r="H399" s="56"/>
      <c r="I399" s="56">
        <f>I$393*$F$399</f>
        <v>91.498064757171761</v>
      </c>
      <c r="J399" s="56">
        <f t="shared" ref="J399:AO399" si="102">J$393*$F$399</f>
        <v>91.498064757171761</v>
      </c>
      <c r="K399" s="56">
        <f t="shared" si="102"/>
        <v>91.498064757171761</v>
      </c>
      <c r="L399" s="56">
        <f t="shared" si="102"/>
        <v>91.498064757171761</v>
      </c>
      <c r="M399" s="56">
        <f t="shared" si="102"/>
        <v>91.498064757171761</v>
      </c>
      <c r="N399" s="56">
        <f t="shared" si="102"/>
        <v>91.498064757171761</v>
      </c>
      <c r="O399" s="56">
        <f t="shared" si="102"/>
        <v>91.498064757171761</v>
      </c>
      <c r="P399" s="56">
        <f t="shared" si="102"/>
        <v>91.498064757171761</v>
      </c>
      <c r="Q399" s="56">
        <f t="shared" si="102"/>
        <v>91.498064757171761</v>
      </c>
      <c r="R399" s="56">
        <f t="shared" si="102"/>
        <v>91.498064757171761</v>
      </c>
      <c r="S399" s="56">
        <f t="shared" si="102"/>
        <v>91.498064757171761</v>
      </c>
      <c r="T399" s="56">
        <f t="shared" si="102"/>
        <v>91.498064757171761</v>
      </c>
      <c r="U399" s="56">
        <f t="shared" si="102"/>
        <v>0</v>
      </c>
      <c r="V399" s="56">
        <f t="shared" si="102"/>
        <v>0</v>
      </c>
      <c r="W399" s="56">
        <f t="shared" si="102"/>
        <v>0</v>
      </c>
      <c r="X399" s="56">
        <f t="shared" si="102"/>
        <v>0</v>
      </c>
      <c r="Y399" s="56">
        <f t="shared" si="102"/>
        <v>0</v>
      </c>
      <c r="Z399" s="56">
        <f t="shared" si="102"/>
        <v>0</v>
      </c>
      <c r="AA399" s="56">
        <f t="shared" si="102"/>
        <v>0</v>
      </c>
      <c r="AB399" s="56">
        <f t="shared" si="102"/>
        <v>0</v>
      </c>
      <c r="AC399" s="56">
        <f t="shared" si="102"/>
        <v>0</v>
      </c>
      <c r="AD399" s="56">
        <f t="shared" si="102"/>
        <v>0</v>
      </c>
      <c r="AE399" s="56">
        <f t="shared" si="102"/>
        <v>0</v>
      </c>
      <c r="AF399" s="56">
        <f t="shared" si="102"/>
        <v>0</v>
      </c>
      <c r="AG399" s="56">
        <f t="shared" si="102"/>
        <v>0</v>
      </c>
      <c r="AH399" s="56">
        <f t="shared" si="102"/>
        <v>0</v>
      </c>
      <c r="AI399" s="56">
        <f t="shared" si="102"/>
        <v>0</v>
      </c>
      <c r="AJ399" s="56">
        <f t="shared" si="102"/>
        <v>0</v>
      </c>
      <c r="AK399" s="56">
        <f t="shared" si="102"/>
        <v>0</v>
      </c>
      <c r="AL399" s="56">
        <f t="shared" si="102"/>
        <v>0</v>
      </c>
      <c r="AM399" s="56">
        <f t="shared" si="102"/>
        <v>0</v>
      </c>
      <c r="AN399" s="56">
        <f t="shared" si="102"/>
        <v>0</v>
      </c>
      <c r="AO399" s="56">
        <f t="shared" si="102"/>
        <v>0</v>
      </c>
      <c r="AP399" s="29"/>
    </row>
    <row r="400" spans="1:42" hidden="1" outlineLevel="1" x14ac:dyDescent="0.25">
      <c r="A400" s="54"/>
      <c r="B400" s="13"/>
      <c r="C400" s="45" t="s">
        <v>485</v>
      </c>
      <c r="D400" s="14"/>
      <c r="E400" s="70" t="s">
        <v>352</v>
      </c>
      <c r="F400" s="200">
        <f>Data!E490/1000</f>
        <v>3.8228686252612731E-4</v>
      </c>
      <c r="G400" s="56"/>
      <c r="H400" s="56"/>
      <c r="I400" s="56">
        <f>I$393*$F$400</f>
        <v>19.680127682845033</v>
      </c>
      <c r="J400" s="56">
        <f t="shared" ref="J400:AO400" si="103">J$393*$F$400</f>
        <v>19.680127682845033</v>
      </c>
      <c r="K400" s="56">
        <f t="shared" si="103"/>
        <v>19.680127682845033</v>
      </c>
      <c r="L400" s="56">
        <f t="shared" si="103"/>
        <v>19.680127682845033</v>
      </c>
      <c r="M400" s="56">
        <f t="shared" si="103"/>
        <v>19.680127682845033</v>
      </c>
      <c r="N400" s="56">
        <f t="shared" si="103"/>
        <v>19.680127682845033</v>
      </c>
      <c r="O400" s="56">
        <f t="shared" si="103"/>
        <v>19.680127682845033</v>
      </c>
      <c r="P400" s="56">
        <f t="shared" si="103"/>
        <v>19.680127682845033</v>
      </c>
      <c r="Q400" s="56">
        <f t="shared" si="103"/>
        <v>19.680127682845033</v>
      </c>
      <c r="R400" s="56">
        <f t="shared" si="103"/>
        <v>19.680127682845033</v>
      </c>
      <c r="S400" s="56">
        <f t="shared" si="103"/>
        <v>19.680127682845033</v>
      </c>
      <c r="T400" s="56">
        <f t="shared" si="103"/>
        <v>19.680127682845033</v>
      </c>
      <c r="U400" s="56">
        <f t="shared" si="103"/>
        <v>0</v>
      </c>
      <c r="V400" s="56">
        <f t="shared" si="103"/>
        <v>0</v>
      </c>
      <c r="W400" s="56">
        <f t="shared" si="103"/>
        <v>0</v>
      </c>
      <c r="X400" s="56">
        <f t="shared" si="103"/>
        <v>0</v>
      </c>
      <c r="Y400" s="56">
        <f t="shared" si="103"/>
        <v>0</v>
      </c>
      <c r="Z400" s="56">
        <f t="shared" si="103"/>
        <v>0</v>
      </c>
      <c r="AA400" s="56">
        <f t="shared" si="103"/>
        <v>0</v>
      </c>
      <c r="AB400" s="56">
        <f t="shared" si="103"/>
        <v>0</v>
      </c>
      <c r="AC400" s="56">
        <f t="shared" si="103"/>
        <v>0</v>
      </c>
      <c r="AD400" s="56">
        <f t="shared" si="103"/>
        <v>0</v>
      </c>
      <c r="AE400" s="56">
        <f t="shared" si="103"/>
        <v>0</v>
      </c>
      <c r="AF400" s="56">
        <f t="shared" si="103"/>
        <v>0</v>
      </c>
      <c r="AG400" s="56">
        <f t="shared" si="103"/>
        <v>0</v>
      </c>
      <c r="AH400" s="56">
        <f t="shared" si="103"/>
        <v>0</v>
      </c>
      <c r="AI400" s="56">
        <f t="shared" si="103"/>
        <v>0</v>
      </c>
      <c r="AJ400" s="56">
        <f t="shared" si="103"/>
        <v>0</v>
      </c>
      <c r="AK400" s="56">
        <f t="shared" si="103"/>
        <v>0</v>
      </c>
      <c r="AL400" s="56">
        <f t="shared" si="103"/>
        <v>0</v>
      </c>
      <c r="AM400" s="56">
        <f t="shared" si="103"/>
        <v>0</v>
      </c>
      <c r="AN400" s="56">
        <f t="shared" si="103"/>
        <v>0</v>
      </c>
      <c r="AO400" s="56">
        <f t="shared" si="103"/>
        <v>0</v>
      </c>
      <c r="AP400" s="29"/>
    </row>
    <row r="401" spans="1:42" hidden="1" outlineLevel="1" x14ac:dyDescent="0.25">
      <c r="A401" s="54"/>
      <c r="B401" s="13"/>
      <c r="C401" s="45" t="s">
        <v>214</v>
      </c>
      <c r="D401" s="14"/>
      <c r="E401" s="70" t="s">
        <v>352</v>
      </c>
      <c r="F401" s="200">
        <f>Data!E491/1000</f>
        <v>4.1005175397632309E-5</v>
      </c>
      <c r="G401" s="56"/>
      <c r="H401" s="56"/>
      <c r="I401" s="56">
        <f>I$393*$F$401</f>
        <v>2.1109464294701112</v>
      </c>
      <c r="J401" s="56">
        <f t="shared" ref="J401:AO401" si="104">J$393*$F$401</f>
        <v>2.1109464294701112</v>
      </c>
      <c r="K401" s="56">
        <f t="shared" si="104"/>
        <v>2.1109464294701112</v>
      </c>
      <c r="L401" s="56">
        <f t="shared" si="104"/>
        <v>2.1109464294701112</v>
      </c>
      <c r="M401" s="56">
        <f t="shared" si="104"/>
        <v>2.1109464294701112</v>
      </c>
      <c r="N401" s="56">
        <f t="shared" si="104"/>
        <v>2.1109464294701112</v>
      </c>
      <c r="O401" s="56">
        <f t="shared" si="104"/>
        <v>2.1109464294701112</v>
      </c>
      <c r="P401" s="56">
        <f t="shared" si="104"/>
        <v>2.1109464294701112</v>
      </c>
      <c r="Q401" s="56">
        <f t="shared" si="104"/>
        <v>2.1109464294701112</v>
      </c>
      <c r="R401" s="56">
        <f t="shared" si="104"/>
        <v>2.1109464294701112</v>
      </c>
      <c r="S401" s="56">
        <f t="shared" si="104"/>
        <v>2.1109464294701112</v>
      </c>
      <c r="T401" s="56">
        <f t="shared" si="104"/>
        <v>2.1109464294701112</v>
      </c>
      <c r="U401" s="56">
        <f t="shared" si="104"/>
        <v>0</v>
      </c>
      <c r="V401" s="56">
        <f t="shared" si="104"/>
        <v>0</v>
      </c>
      <c r="W401" s="56">
        <f t="shared" si="104"/>
        <v>0</v>
      </c>
      <c r="X401" s="56">
        <f t="shared" si="104"/>
        <v>0</v>
      </c>
      <c r="Y401" s="56">
        <f t="shared" si="104"/>
        <v>0</v>
      </c>
      <c r="Z401" s="56">
        <f t="shared" si="104"/>
        <v>0</v>
      </c>
      <c r="AA401" s="56">
        <f t="shared" si="104"/>
        <v>0</v>
      </c>
      <c r="AB401" s="56">
        <f t="shared" si="104"/>
        <v>0</v>
      </c>
      <c r="AC401" s="56">
        <f t="shared" si="104"/>
        <v>0</v>
      </c>
      <c r="AD401" s="56">
        <f t="shared" si="104"/>
        <v>0</v>
      </c>
      <c r="AE401" s="56">
        <f t="shared" si="104"/>
        <v>0</v>
      </c>
      <c r="AF401" s="56">
        <f t="shared" si="104"/>
        <v>0</v>
      </c>
      <c r="AG401" s="56">
        <f t="shared" si="104"/>
        <v>0</v>
      </c>
      <c r="AH401" s="56">
        <f t="shared" si="104"/>
        <v>0</v>
      </c>
      <c r="AI401" s="56">
        <f t="shared" si="104"/>
        <v>0</v>
      </c>
      <c r="AJ401" s="56">
        <f t="shared" si="104"/>
        <v>0</v>
      </c>
      <c r="AK401" s="56">
        <f t="shared" si="104"/>
        <v>0</v>
      </c>
      <c r="AL401" s="56">
        <f t="shared" si="104"/>
        <v>0</v>
      </c>
      <c r="AM401" s="56">
        <f t="shared" si="104"/>
        <v>0</v>
      </c>
      <c r="AN401" s="56">
        <f t="shared" si="104"/>
        <v>0</v>
      </c>
      <c r="AO401" s="56">
        <f t="shared" si="104"/>
        <v>0</v>
      </c>
      <c r="AP401" s="29"/>
    </row>
    <row r="402" spans="1:42" hidden="1" outlineLevel="1" x14ac:dyDescent="0.25">
      <c r="A402" s="12"/>
      <c r="B402" s="13"/>
      <c r="C402" s="14"/>
      <c r="D402" s="14"/>
      <c r="E402" s="15"/>
      <c r="F402" s="16"/>
      <c r="G402" s="159"/>
      <c r="H402" s="159"/>
      <c r="I402" s="159"/>
      <c r="J402" s="159"/>
      <c r="K402" s="159"/>
      <c r="L402" s="159"/>
      <c r="M402" s="159"/>
      <c r="N402" s="159"/>
      <c r="O402" s="159"/>
      <c r="P402" s="159"/>
      <c r="Q402" s="159"/>
      <c r="R402" s="159"/>
      <c r="S402" s="159"/>
      <c r="T402" s="159"/>
      <c r="U402" s="159"/>
      <c r="V402" s="159"/>
      <c r="W402" s="159"/>
      <c r="X402" s="14"/>
      <c r="Y402" s="14"/>
      <c r="Z402" s="14"/>
      <c r="AA402" s="14"/>
      <c r="AB402" s="14"/>
      <c r="AC402" s="14"/>
      <c r="AD402" s="14"/>
      <c r="AE402" s="14"/>
      <c r="AF402" s="14"/>
      <c r="AG402" s="14"/>
      <c r="AH402" s="14"/>
      <c r="AI402" s="14"/>
      <c r="AJ402" s="14"/>
      <c r="AK402" s="14"/>
      <c r="AL402" s="14"/>
      <c r="AM402" s="14"/>
      <c r="AN402" s="14"/>
      <c r="AO402" s="14"/>
      <c r="AP402" s="14"/>
    </row>
    <row r="403" spans="1:42" hidden="1" outlineLevel="1" x14ac:dyDescent="0.25">
      <c r="A403" s="54"/>
      <c r="B403" s="13"/>
      <c r="C403" s="45" t="s">
        <v>205</v>
      </c>
      <c r="D403" s="14"/>
      <c r="E403" s="70" t="s">
        <v>474</v>
      </c>
      <c r="F403" s="200">
        <f>Data!$E$35/1000</f>
        <v>3.4099438202247192E-3</v>
      </c>
      <c r="G403" s="56"/>
      <c r="H403" s="56"/>
      <c r="I403" s="56">
        <f>$F$403*I395</f>
        <v>0.77158032385198883</v>
      </c>
      <c r="J403" s="56">
        <f t="shared" ref="J403:AO403" si="105">$F$403*J395</f>
        <v>0.77158032385198883</v>
      </c>
      <c r="K403" s="56">
        <f t="shared" si="105"/>
        <v>0.77158032385198883</v>
      </c>
      <c r="L403" s="56">
        <f t="shared" si="105"/>
        <v>0.77158032385198883</v>
      </c>
      <c r="M403" s="56">
        <f t="shared" si="105"/>
        <v>0.77158032385198883</v>
      </c>
      <c r="N403" s="56">
        <f t="shared" si="105"/>
        <v>0.77158032385198883</v>
      </c>
      <c r="O403" s="56">
        <f t="shared" si="105"/>
        <v>0.77158032385198883</v>
      </c>
      <c r="P403" s="56">
        <f t="shared" si="105"/>
        <v>0.77158032385198883</v>
      </c>
      <c r="Q403" s="56">
        <f t="shared" si="105"/>
        <v>0.77158032385198883</v>
      </c>
      <c r="R403" s="56">
        <f t="shared" si="105"/>
        <v>0.77158032385198883</v>
      </c>
      <c r="S403" s="56">
        <f t="shared" si="105"/>
        <v>0.77158032385198883</v>
      </c>
      <c r="T403" s="56">
        <f t="shared" si="105"/>
        <v>0.77158032385198883</v>
      </c>
      <c r="U403" s="56">
        <f t="shared" si="105"/>
        <v>0</v>
      </c>
      <c r="V403" s="56">
        <f t="shared" si="105"/>
        <v>0</v>
      </c>
      <c r="W403" s="56">
        <f t="shared" si="105"/>
        <v>0</v>
      </c>
      <c r="X403" s="56">
        <f t="shared" si="105"/>
        <v>0</v>
      </c>
      <c r="Y403" s="56">
        <f t="shared" si="105"/>
        <v>0</v>
      </c>
      <c r="Z403" s="56">
        <f t="shared" si="105"/>
        <v>0</v>
      </c>
      <c r="AA403" s="56">
        <f t="shared" si="105"/>
        <v>0</v>
      </c>
      <c r="AB403" s="56">
        <f t="shared" si="105"/>
        <v>0</v>
      </c>
      <c r="AC403" s="56">
        <f t="shared" si="105"/>
        <v>0</v>
      </c>
      <c r="AD403" s="56">
        <f t="shared" si="105"/>
        <v>0</v>
      </c>
      <c r="AE403" s="56">
        <f t="shared" si="105"/>
        <v>0</v>
      </c>
      <c r="AF403" s="56">
        <f t="shared" si="105"/>
        <v>0</v>
      </c>
      <c r="AG403" s="56">
        <f t="shared" si="105"/>
        <v>0</v>
      </c>
      <c r="AH403" s="56">
        <f t="shared" si="105"/>
        <v>0</v>
      </c>
      <c r="AI403" s="56">
        <f t="shared" si="105"/>
        <v>0</v>
      </c>
      <c r="AJ403" s="56">
        <f t="shared" si="105"/>
        <v>0</v>
      </c>
      <c r="AK403" s="56">
        <f t="shared" si="105"/>
        <v>0</v>
      </c>
      <c r="AL403" s="56">
        <f t="shared" si="105"/>
        <v>0</v>
      </c>
      <c r="AM403" s="56">
        <f t="shared" si="105"/>
        <v>0</v>
      </c>
      <c r="AN403" s="56">
        <f t="shared" si="105"/>
        <v>0</v>
      </c>
      <c r="AO403" s="56">
        <f t="shared" si="105"/>
        <v>0</v>
      </c>
      <c r="AP403" s="29"/>
    </row>
    <row r="404" spans="1:42" hidden="1" outlineLevel="1" x14ac:dyDescent="0.25">
      <c r="A404" s="54"/>
      <c r="B404" s="13"/>
      <c r="C404" s="45" t="s">
        <v>484</v>
      </c>
      <c r="D404" s="14"/>
      <c r="E404" s="70" t="s">
        <v>474</v>
      </c>
      <c r="F404" s="200"/>
      <c r="G404" s="56"/>
      <c r="H404" s="56"/>
      <c r="I404" s="56">
        <f>I$396*Data!H$16/1000</f>
        <v>13843.910969316496</v>
      </c>
      <c r="J404" s="56">
        <f>J$396*Data!I$16/1000</f>
        <v>15271.118285740877</v>
      </c>
      <c r="K404" s="56">
        <f>K$396*Data!J$16/1000</f>
        <v>16555.60487052282</v>
      </c>
      <c r="L404" s="56">
        <f>L$396*Data!K$16/1000</f>
        <v>17982.812186947202</v>
      </c>
      <c r="M404" s="56">
        <f>M$396*Data!L$16/1000</f>
        <v>19410.019503371583</v>
      </c>
      <c r="N404" s="56">
        <f>N$396*Data!M$16/1000</f>
        <v>20837.226819795964</v>
      </c>
      <c r="O404" s="56">
        <f>O$396*Data!N$16/1000</f>
        <v>22121.713404577902</v>
      </c>
      <c r="P404" s="56">
        <f>P$396*Data!O$16/1000</f>
        <v>22978.037794432537</v>
      </c>
      <c r="Q404" s="56">
        <f>Q$396*Data!P$16/1000</f>
        <v>23834.362184287162</v>
      </c>
      <c r="R404" s="56">
        <f>R$396*Data!Q$16/1000</f>
        <v>24833.407305784229</v>
      </c>
      <c r="S404" s="56">
        <f>S$396*Data!R$16/1000</f>
        <v>25689.731695638857</v>
      </c>
      <c r="T404" s="56">
        <f>T$396*Data!S$16/1000</f>
        <v>26546.056085493485</v>
      </c>
      <c r="U404" s="56">
        <f>U$396*Data!T$16/1000</f>
        <v>0</v>
      </c>
      <c r="V404" s="56">
        <f>V$396*Data!U$16/1000</f>
        <v>0</v>
      </c>
      <c r="W404" s="56">
        <f>W$396*Data!V$16/1000</f>
        <v>0</v>
      </c>
      <c r="X404" s="56">
        <f>X$396*Data!W$16/1000</f>
        <v>0</v>
      </c>
      <c r="Y404" s="56">
        <f>Y$396*Data!X$16/1000</f>
        <v>0</v>
      </c>
      <c r="Z404" s="56">
        <f>Z$396*Data!Y$16/1000</f>
        <v>0</v>
      </c>
      <c r="AA404" s="56">
        <f>AA$396*Data!Z$16/1000</f>
        <v>0</v>
      </c>
      <c r="AB404" s="56">
        <f>AB$396*Data!AA$16/1000</f>
        <v>0</v>
      </c>
      <c r="AC404" s="56">
        <f>AC$396*Data!AB$16/1000</f>
        <v>0</v>
      </c>
      <c r="AD404" s="56">
        <f>AD$396*Data!AC$16/1000</f>
        <v>0</v>
      </c>
      <c r="AE404" s="56">
        <f>AE$396*Data!AD$16/1000</f>
        <v>0</v>
      </c>
      <c r="AF404" s="56">
        <f>AF$396*Data!AE$16/1000</f>
        <v>0</v>
      </c>
      <c r="AG404" s="56">
        <f>AG$396*Data!AF$16/1000</f>
        <v>0</v>
      </c>
      <c r="AH404" s="56">
        <f>AH$396*Data!AG$16/1000</f>
        <v>0</v>
      </c>
      <c r="AI404" s="56">
        <f>AI$396*Data!AH$16/1000</f>
        <v>0</v>
      </c>
      <c r="AJ404" s="56">
        <f>AJ$396*Data!AI$16/1000</f>
        <v>0</v>
      </c>
      <c r="AK404" s="56">
        <f>AK$396*Data!AJ$16/1000</f>
        <v>0</v>
      </c>
      <c r="AL404" s="56">
        <f>AL$396*Data!AK$16/1000</f>
        <v>0</v>
      </c>
      <c r="AM404" s="56">
        <f>AM$396*Data!AL$16/1000</f>
        <v>0</v>
      </c>
      <c r="AN404" s="56">
        <f>AN$396*Data!AM$16/1000</f>
        <v>0</v>
      </c>
      <c r="AO404" s="56">
        <f>AO$396*Data!AN$16/1000</f>
        <v>0</v>
      </c>
      <c r="AP404" s="29"/>
    </row>
    <row r="405" spans="1:42" hidden="1" outlineLevel="1" x14ac:dyDescent="0.25">
      <c r="A405" s="54"/>
      <c r="B405" s="13"/>
      <c r="C405" s="45" t="s">
        <v>285</v>
      </c>
      <c r="D405" s="14"/>
      <c r="E405" s="70" t="s">
        <v>474</v>
      </c>
      <c r="F405" s="200">
        <f>Data!$E$36/1000</f>
        <v>1.0822865168539326</v>
      </c>
      <c r="G405" s="56"/>
      <c r="H405" s="56"/>
      <c r="I405" s="56">
        <f>I397*$F$405</f>
        <v>19.454660332738875</v>
      </c>
      <c r="J405" s="56">
        <f t="shared" ref="J405:AO405" si="106">J397*$F$405</f>
        <v>19.454660332738875</v>
      </c>
      <c r="K405" s="56">
        <f t="shared" si="106"/>
        <v>19.454660332738875</v>
      </c>
      <c r="L405" s="56">
        <f t="shared" si="106"/>
        <v>19.454660332738875</v>
      </c>
      <c r="M405" s="56">
        <f t="shared" si="106"/>
        <v>19.454660332738875</v>
      </c>
      <c r="N405" s="56">
        <f t="shared" si="106"/>
        <v>19.454660332738875</v>
      </c>
      <c r="O405" s="56">
        <f t="shared" si="106"/>
        <v>19.454660332738875</v>
      </c>
      <c r="P405" s="56">
        <f t="shared" si="106"/>
        <v>19.454660332738875</v>
      </c>
      <c r="Q405" s="56">
        <f t="shared" si="106"/>
        <v>19.454660332738875</v>
      </c>
      <c r="R405" s="56">
        <f t="shared" si="106"/>
        <v>19.454660332738875</v>
      </c>
      <c r="S405" s="56">
        <f t="shared" si="106"/>
        <v>19.454660332738875</v>
      </c>
      <c r="T405" s="56">
        <f t="shared" si="106"/>
        <v>19.454660332738875</v>
      </c>
      <c r="U405" s="56">
        <f t="shared" si="106"/>
        <v>0</v>
      </c>
      <c r="V405" s="56">
        <f t="shared" si="106"/>
        <v>0</v>
      </c>
      <c r="W405" s="56">
        <f t="shared" si="106"/>
        <v>0</v>
      </c>
      <c r="X405" s="56">
        <f t="shared" si="106"/>
        <v>0</v>
      </c>
      <c r="Y405" s="56">
        <f t="shared" si="106"/>
        <v>0</v>
      </c>
      <c r="Z405" s="56">
        <f t="shared" si="106"/>
        <v>0</v>
      </c>
      <c r="AA405" s="56">
        <f t="shared" si="106"/>
        <v>0</v>
      </c>
      <c r="AB405" s="56">
        <f t="shared" si="106"/>
        <v>0</v>
      </c>
      <c r="AC405" s="56">
        <f t="shared" si="106"/>
        <v>0</v>
      </c>
      <c r="AD405" s="56">
        <f t="shared" si="106"/>
        <v>0</v>
      </c>
      <c r="AE405" s="56">
        <f t="shared" si="106"/>
        <v>0</v>
      </c>
      <c r="AF405" s="56">
        <f t="shared" si="106"/>
        <v>0</v>
      </c>
      <c r="AG405" s="56">
        <f t="shared" si="106"/>
        <v>0</v>
      </c>
      <c r="AH405" s="56">
        <f t="shared" si="106"/>
        <v>0</v>
      </c>
      <c r="AI405" s="56">
        <f t="shared" si="106"/>
        <v>0</v>
      </c>
      <c r="AJ405" s="56">
        <f t="shared" si="106"/>
        <v>0</v>
      </c>
      <c r="AK405" s="56">
        <f t="shared" si="106"/>
        <v>0</v>
      </c>
      <c r="AL405" s="56">
        <f t="shared" si="106"/>
        <v>0</v>
      </c>
      <c r="AM405" s="56">
        <f t="shared" si="106"/>
        <v>0</v>
      </c>
      <c r="AN405" s="56">
        <f t="shared" si="106"/>
        <v>0</v>
      </c>
      <c r="AO405" s="56">
        <f t="shared" si="106"/>
        <v>0</v>
      </c>
      <c r="AP405" s="29"/>
    </row>
    <row r="406" spans="1:42" hidden="1" outlineLevel="1" x14ac:dyDescent="0.25">
      <c r="A406" s="54"/>
      <c r="B406" s="13"/>
      <c r="C406" s="45" t="s">
        <v>220</v>
      </c>
      <c r="D406" s="14"/>
      <c r="E406" s="70" t="s">
        <v>474</v>
      </c>
      <c r="F406" s="200">
        <f>Data!$E$37/1000</f>
        <v>371.00188764044947</v>
      </c>
      <c r="G406" s="56"/>
      <c r="H406" s="56"/>
      <c r="I406" s="56">
        <f>I398*$F$406</f>
        <v>296030.41123011144</v>
      </c>
      <c r="J406" s="56">
        <f t="shared" ref="J406:AO406" si="107">J398*$F$406</f>
        <v>296030.41123011144</v>
      </c>
      <c r="K406" s="56">
        <f t="shared" si="107"/>
        <v>296030.41123011144</v>
      </c>
      <c r="L406" s="56">
        <f t="shared" si="107"/>
        <v>296030.41123011144</v>
      </c>
      <c r="M406" s="56">
        <f t="shared" si="107"/>
        <v>296030.41123011144</v>
      </c>
      <c r="N406" s="56">
        <f t="shared" si="107"/>
        <v>296030.41123011144</v>
      </c>
      <c r="O406" s="56">
        <f t="shared" si="107"/>
        <v>296030.41123011144</v>
      </c>
      <c r="P406" s="56">
        <f t="shared" si="107"/>
        <v>296030.41123011144</v>
      </c>
      <c r="Q406" s="56">
        <f t="shared" si="107"/>
        <v>296030.41123011144</v>
      </c>
      <c r="R406" s="56">
        <f t="shared" si="107"/>
        <v>296030.41123011144</v>
      </c>
      <c r="S406" s="56">
        <f t="shared" si="107"/>
        <v>296030.41123011144</v>
      </c>
      <c r="T406" s="56">
        <f t="shared" si="107"/>
        <v>296030.41123011144</v>
      </c>
      <c r="U406" s="56">
        <f t="shared" si="107"/>
        <v>0</v>
      </c>
      <c r="V406" s="56">
        <f t="shared" si="107"/>
        <v>0</v>
      </c>
      <c r="W406" s="56">
        <f t="shared" si="107"/>
        <v>0</v>
      </c>
      <c r="X406" s="56">
        <f t="shared" si="107"/>
        <v>0</v>
      </c>
      <c r="Y406" s="56">
        <f t="shared" si="107"/>
        <v>0</v>
      </c>
      <c r="Z406" s="56">
        <f t="shared" si="107"/>
        <v>0</v>
      </c>
      <c r="AA406" s="56">
        <f t="shared" si="107"/>
        <v>0</v>
      </c>
      <c r="AB406" s="56">
        <f t="shared" si="107"/>
        <v>0</v>
      </c>
      <c r="AC406" s="56">
        <f t="shared" si="107"/>
        <v>0</v>
      </c>
      <c r="AD406" s="56">
        <f t="shared" si="107"/>
        <v>0</v>
      </c>
      <c r="AE406" s="56">
        <f t="shared" si="107"/>
        <v>0</v>
      </c>
      <c r="AF406" s="56">
        <f t="shared" si="107"/>
        <v>0</v>
      </c>
      <c r="AG406" s="56">
        <f t="shared" si="107"/>
        <v>0</v>
      </c>
      <c r="AH406" s="56">
        <f t="shared" si="107"/>
        <v>0</v>
      </c>
      <c r="AI406" s="56">
        <f t="shared" si="107"/>
        <v>0</v>
      </c>
      <c r="AJ406" s="56">
        <f t="shared" si="107"/>
        <v>0</v>
      </c>
      <c r="AK406" s="56">
        <f t="shared" si="107"/>
        <v>0</v>
      </c>
      <c r="AL406" s="56">
        <f t="shared" si="107"/>
        <v>0</v>
      </c>
      <c r="AM406" s="56">
        <f t="shared" si="107"/>
        <v>0</v>
      </c>
      <c r="AN406" s="56">
        <f t="shared" si="107"/>
        <v>0</v>
      </c>
      <c r="AO406" s="56">
        <f t="shared" si="107"/>
        <v>0</v>
      </c>
      <c r="AP406" s="29"/>
    </row>
    <row r="407" spans="1:42" hidden="1" outlineLevel="1" x14ac:dyDescent="0.25">
      <c r="A407" s="54"/>
      <c r="B407" s="13"/>
      <c r="C407" s="45" t="s">
        <v>212</v>
      </c>
      <c r="D407" s="14"/>
      <c r="E407" s="70" t="s">
        <v>474</v>
      </c>
      <c r="F407" s="200">
        <f>Data!$E$39/1000</f>
        <v>0</v>
      </c>
      <c r="G407" s="56"/>
      <c r="H407" s="56"/>
      <c r="I407" s="56">
        <f>I399*$F$407</f>
        <v>0</v>
      </c>
      <c r="J407" s="56">
        <f t="shared" ref="J407:AO407" si="108">J399*$F$407</f>
        <v>0</v>
      </c>
      <c r="K407" s="56">
        <f t="shared" si="108"/>
        <v>0</v>
      </c>
      <c r="L407" s="56">
        <f t="shared" si="108"/>
        <v>0</v>
      </c>
      <c r="M407" s="56">
        <f t="shared" si="108"/>
        <v>0</v>
      </c>
      <c r="N407" s="56">
        <f t="shared" si="108"/>
        <v>0</v>
      </c>
      <c r="O407" s="56">
        <f t="shared" si="108"/>
        <v>0</v>
      </c>
      <c r="P407" s="56">
        <f t="shared" si="108"/>
        <v>0</v>
      </c>
      <c r="Q407" s="56">
        <f t="shared" si="108"/>
        <v>0</v>
      </c>
      <c r="R407" s="56">
        <f t="shared" si="108"/>
        <v>0</v>
      </c>
      <c r="S407" s="56">
        <f t="shared" si="108"/>
        <v>0</v>
      </c>
      <c r="T407" s="56">
        <f t="shared" si="108"/>
        <v>0</v>
      </c>
      <c r="U407" s="56">
        <f t="shared" si="108"/>
        <v>0</v>
      </c>
      <c r="V407" s="56">
        <f t="shared" si="108"/>
        <v>0</v>
      </c>
      <c r="W407" s="56">
        <f t="shared" si="108"/>
        <v>0</v>
      </c>
      <c r="X407" s="56">
        <f t="shared" si="108"/>
        <v>0</v>
      </c>
      <c r="Y407" s="56">
        <f t="shared" si="108"/>
        <v>0</v>
      </c>
      <c r="Z407" s="56">
        <f t="shared" si="108"/>
        <v>0</v>
      </c>
      <c r="AA407" s="56">
        <f t="shared" si="108"/>
        <v>0</v>
      </c>
      <c r="AB407" s="56">
        <f t="shared" si="108"/>
        <v>0</v>
      </c>
      <c r="AC407" s="56">
        <f t="shared" si="108"/>
        <v>0</v>
      </c>
      <c r="AD407" s="56">
        <f t="shared" si="108"/>
        <v>0</v>
      </c>
      <c r="AE407" s="56">
        <f t="shared" si="108"/>
        <v>0</v>
      </c>
      <c r="AF407" s="56">
        <f t="shared" si="108"/>
        <v>0</v>
      </c>
      <c r="AG407" s="56">
        <f t="shared" si="108"/>
        <v>0</v>
      </c>
      <c r="AH407" s="56">
        <f t="shared" si="108"/>
        <v>0</v>
      </c>
      <c r="AI407" s="56">
        <f t="shared" si="108"/>
        <v>0</v>
      </c>
      <c r="AJ407" s="56">
        <f t="shared" si="108"/>
        <v>0</v>
      </c>
      <c r="AK407" s="56">
        <f t="shared" si="108"/>
        <v>0</v>
      </c>
      <c r="AL407" s="56">
        <f t="shared" si="108"/>
        <v>0</v>
      </c>
      <c r="AM407" s="56">
        <f t="shared" si="108"/>
        <v>0</v>
      </c>
      <c r="AN407" s="56">
        <f t="shared" si="108"/>
        <v>0</v>
      </c>
      <c r="AO407" s="56">
        <f t="shared" si="108"/>
        <v>0</v>
      </c>
      <c r="AP407" s="29"/>
    </row>
    <row r="408" spans="1:42" hidden="1" outlineLevel="1" x14ac:dyDescent="0.25">
      <c r="A408" s="54"/>
      <c r="B408" s="13"/>
      <c r="C408" s="45" t="s">
        <v>485</v>
      </c>
      <c r="D408" s="14"/>
      <c r="E408" s="70" t="s">
        <v>474</v>
      </c>
      <c r="F408" s="200">
        <f>Data!$E$40/1000</f>
        <v>605.20914606741576</v>
      </c>
      <c r="G408" s="56"/>
      <c r="H408" s="56"/>
      <c r="I408" s="56">
        <f>I400*$F$408</f>
        <v>11910.593269432351</v>
      </c>
      <c r="J408" s="56">
        <f t="shared" ref="J408:AO408" si="109">J400*$F$408</f>
        <v>11910.593269432351</v>
      </c>
      <c r="K408" s="56">
        <f t="shared" si="109"/>
        <v>11910.593269432351</v>
      </c>
      <c r="L408" s="56">
        <f t="shared" si="109"/>
        <v>11910.593269432351</v>
      </c>
      <c r="M408" s="56">
        <f t="shared" si="109"/>
        <v>11910.593269432351</v>
      </c>
      <c r="N408" s="56">
        <f t="shared" si="109"/>
        <v>11910.593269432351</v>
      </c>
      <c r="O408" s="56">
        <f t="shared" si="109"/>
        <v>11910.593269432351</v>
      </c>
      <c r="P408" s="56">
        <f t="shared" si="109"/>
        <v>11910.593269432351</v>
      </c>
      <c r="Q408" s="56">
        <f t="shared" si="109"/>
        <v>11910.593269432351</v>
      </c>
      <c r="R408" s="56">
        <f t="shared" si="109"/>
        <v>11910.593269432351</v>
      </c>
      <c r="S408" s="56">
        <f t="shared" si="109"/>
        <v>11910.593269432351</v>
      </c>
      <c r="T408" s="56">
        <f t="shared" si="109"/>
        <v>11910.593269432351</v>
      </c>
      <c r="U408" s="56">
        <f t="shared" si="109"/>
        <v>0</v>
      </c>
      <c r="V408" s="56">
        <f t="shared" si="109"/>
        <v>0</v>
      </c>
      <c r="W408" s="56">
        <f t="shared" si="109"/>
        <v>0</v>
      </c>
      <c r="X408" s="56">
        <f t="shared" si="109"/>
        <v>0</v>
      </c>
      <c r="Y408" s="56">
        <f t="shared" si="109"/>
        <v>0</v>
      </c>
      <c r="Z408" s="56">
        <f t="shared" si="109"/>
        <v>0</v>
      </c>
      <c r="AA408" s="56">
        <f t="shared" si="109"/>
        <v>0</v>
      </c>
      <c r="AB408" s="56">
        <f t="shared" si="109"/>
        <v>0</v>
      </c>
      <c r="AC408" s="56">
        <f t="shared" si="109"/>
        <v>0</v>
      </c>
      <c r="AD408" s="56">
        <f t="shared" si="109"/>
        <v>0</v>
      </c>
      <c r="AE408" s="56">
        <f t="shared" si="109"/>
        <v>0</v>
      </c>
      <c r="AF408" s="56">
        <f t="shared" si="109"/>
        <v>0</v>
      </c>
      <c r="AG408" s="56">
        <f t="shared" si="109"/>
        <v>0</v>
      </c>
      <c r="AH408" s="56">
        <f t="shared" si="109"/>
        <v>0</v>
      </c>
      <c r="AI408" s="56">
        <f t="shared" si="109"/>
        <v>0</v>
      </c>
      <c r="AJ408" s="56">
        <f t="shared" si="109"/>
        <v>0</v>
      </c>
      <c r="AK408" s="56">
        <f t="shared" si="109"/>
        <v>0</v>
      </c>
      <c r="AL408" s="56">
        <f t="shared" si="109"/>
        <v>0</v>
      </c>
      <c r="AM408" s="56">
        <f t="shared" si="109"/>
        <v>0</v>
      </c>
      <c r="AN408" s="56">
        <f t="shared" si="109"/>
        <v>0</v>
      </c>
      <c r="AO408" s="56">
        <f t="shared" si="109"/>
        <v>0</v>
      </c>
      <c r="AP408" s="29"/>
    </row>
    <row r="409" spans="1:42" hidden="1" outlineLevel="1" x14ac:dyDescent="0.25">
      <c r="A409" s="54"/>
      <c r="B409" s="13"/>
      <c r="C409" s="45" t="s">
        <v>214</v>
      </c>
      <c r="D409" s="14"/>
      <c r="E409" s="70" t="s">
        <v>474</v>
      </c>
      <c r="F409" s="200">
        <f>Data!$E$41/1000</f>
        <v>0</v>
      </c>
      <c r="G409" s="56"/>
      <c r="H409" s="56"/>
      <c r="I409" s="56">
        <f>I401*$F$409</f>
        <v>0</v>
      </c>
      <c r="J409" s="56">
        <f t="shared" ref="J409:AO409" si="110">J401*$F$409</f>
        <v>0</v>
      </c>
      <c r="K409" s="56">
        <f t="shared" si="110"/>
        <v>0</v>
      </c>
      <c r="L409" s="56">
        <f t="shared" si="110"/>
        <v>0</v>
      </c>
      <c r="M409" s="56">
        <f t="shared" si="110"/>
        <v>0</v>
      </c>
      <c r="N409" s="56">
        <f t="shared" si="110"/>
        <v>0</v>
      </c>
      <c r="O409" s="56">
        <f t="shared" si="110"/>
        <v>0</v>
      </c>
      <c r="P409" s="56">
        <f t="shared" si="110"/>
        <v>0</v>
      </c>
      <c r="Q409" s="56">
        <f t="shared" si="110"/>
        <v>0</v>
      </c>
      <c r="R409" s="56">
        <f t="shared" si="110"/>
        <v>0</v>
      </c>
      <c r="S409" s="56">
        <f t="shared" si="110"/>
        <v>0</v>
      </c>
      <c r="T409" s="56">
        <f t="shared" si="110"/>
        <v>0</v>
      </c>
      <c r="U409" s="56">
        <f t="shared" si="110"/>
        <v>0</v>
      </c>
      <c r="V409" s="56">
        <f t="shared" si="110"/>
        <v>0</v>
      </c>
      <c r="W409" s="56">
        <f t="shared" si="110"/>
        <v>0</v>
      </c>
      <c r="X409" s="56">
        <f t="shared" si="110"/>
        <v>0</v>
      </c>
      <c r="Y409" s="56">
        <f t="shared" si="110"/>
        <v>0</v>
      </c>
      <c r="Z409" s="56">
        <f t="shared" si="110"/>
        <v>0</v>
      </c>
      <c r="AA409" s="56">
        <f t="shared" si="110"/>
        <v>0</v>
      </c>
      <c r="AB409" s="56">
        <f t="shared" si="110"/>
        <v>0</v>
      </c>
      <c r="AC409" s="56">
        <f t="shared" si="110"/>
        <v>0</v>
      </c>
      <c r="AD409" s="56">
        <f t="shared" si="110"/>
        <v>0</v>
      </c>
      <c r="AE409" s="56">
        <f t="shared" si="110"/>
        <v>0</v>
      </c>
      <c r="AF409" s="56">
        <f t="shared" si="110"/>
        <v>0</v>
      </c>
      <c r="AG409" s="56">
        <f t="shared" si="110"/>
        <v>0</v>
      </c>
      <c r="AH409" s="56">
        <f t="shared" si="110"/>
        <v>0</v>
      </c>
      <c r="AI409" s="56">
        <f t="shared" si="110"/>
        <v>0</v>
      </c>
      <c r="AJ409" s="56">
        <f t="shared" si="110"/>
        <v>0</v>
      </c>
      <c r="AK409" s="56">
        <f t="shared" si="110"/>
        <v>0</v>
      </c>
      <c r="AL409" s="56">
        <f t="shared" si="110"/>
        <v>0</v>
      </c>
      <c r="AM409" s="56">
        <f t="shared" si="110"/>
        <v>0</v>
      </c>
      <c r="AN409" s="56">
        <f t="shared" si="110"/>
        <v>0</v>
      </c>
      <c r="AO409" s="56">
        <f t="shared" si="110"/>
        <v>0</v>
      </c>
      <c r="AP409" s="29"/>
    </row>
    <row r="410" spans="1:42" hidden="1" outlineLevel="1" x14ac:dyDescent="0.25">
      <c r="A410" s="12"/>
      <c r="B410" s="13"/>
      <c r="C410" s="20" t="s">
        <v>486</v>
      </c>
      <c r="D410" s="14"/>
      <c r="E410" s="70" t="s">
        <v>474</v>
      </c>
      <c r="F410" s="16"/>
      <c r="G410" s="159"/>
      <c r="H410" s="185"/>
      <c r="I410" s="185">
        <f>SUM(I403:I409)</f>
        <v>321805.14170951687</v>
      </c>
      <c r="J410" s="185">
        <f t="shared" ref="J410:AO410" si="111">SUM(J403:J409)</f>
        <v>323232.34902594128</v>
      </c>
      <c r="K410" s="185">
        <f t="shared" si="111"/>
        <v>324516.83561072324</v>
      </c>
      <c r="L410" s="185">
        <f t="shared" si="111"/>
        <v>325944.04292714759</v>
      </c>
      <c r="M410" s="185">
        <f t="shared" si="111"/>
        <v>327371.25024357199</v>
      </c>
      <c r="N410" s="185">
        <f t="shared" si="111"/>
        <v>328798.45755999634</v>
      </c>
      <c r="O410" s="185">
        <f t="shared" si="111"/>
        <v>330082.9441447783</v>
      </c>
      <c r="P410" s="185">
        <f t="shared" si="111"/>
        <v>330939.26853463292</v>
      </c>
      <c r="Q410" s="185">
        <f t="shared" si="111"/>
        <v>331795.59292448754</v>
      </c>
      <c r="R410" s="185">
        <f t="shared" si="111"/>
        <v>332794.63804598461</v>
      </c>
      <c r="S410" s="185">
        <f t="shared" si="111"/>
        <v>333650.96243583923</v>
      </c>
      <c r="T410" s="185">
        <f t="shared" si="111"/>
        <v>334507.28682569391</v>
      </c>
      <c r="U410" s="185">
        <f t="shared" si="111"/>
        <v>0</v>
      </c>
      <c r="V410" s="185">
        <f t="shared" si="111"/>
        <v>0</v>
      </c>
      <c r="W410" s="185">
        <f t="shared" si="111"/>
        <v>0</v>
      </c>
      <c r="X410" s="185">
        <f t="shared" si="111"/>
        <v>0</v>
      </c>
      <c r="Y410" s="185">
        <f t="shared" si="111"/>
        <v>0</v>
      </c>
      <c r="Z410" s="185">
        <f t="shared" si="111"/>
        <v>0</v>
      </c>
      <c r="AA410" s="185">
        <f t="shared" si="111"/>
        <v>0</v>
      </c>
      <c r="AB410" s="185">
        <f t="shared" si="111"/>
        <v>0</v>
      </c>
      <c r="AC410" s="185">
        <f t="shared" si="111"/>
        <v>0</v>
      </c>
      <c r="AD410" s="185">
        <f t="shared" si="111"/>
        <v>0</v>
      </c>
      <c r="AE410" s="185">
        <f t="shared" si="111"/>
        <v>0</v>
      </c>
      <c r="AF410" s="185">
        <f t="shared" si="111"/>
        <v>0</v>
      </c>
      <c r="AG410" s="185">
        <f t="shared" si="111"/>
        <v>0</v>
      </c>
      <c r="AH410" s="185">
        <f t="shared" si="111"/>
        <v>0</v>
      </c>
      <c r="AI410" s="185">
        <f t="shared" si="111"/>
        <v>0</v>
      </c>
      <c r="AJ410" s="185">
        <f t="shared" si="111"/>
        <v>0</v>
      </c>
      <c r="AK410" s="185">
        <f t="shared" si="111"/>
        <v>0</v>
      </c>
      <c r="AL410" s="185">
        <f t="shared" si="111"/>
        <v>0</v>
      </c>
      <c r="AM410" s="185">
        <f t="shared" si="111"/>
        <v>0</v>
      </c>
      <c r="AN410" s="185">
        <f t="shared" si="111"/>
        <v>0</v>
      </c>
      <c r="AO410" s="185">
        <f t="shared" si="111"/>
        <v>0</v>
      </c>
      <c r="AP410" s="14"/>
    </row>
    <row r="411" spans="1:42" hidden="1" outlineLevel="1" x14ac:dyDescent="0.25">
      <c r="A411" s="12"/>
      <c r="B411" s="13"/>
      <c r="C411" s="14" t="s">
        <v>487</v>
      </c>
      <c r="D411" s="14"/>
      <c r="E411" s="15" t="s">
        <v>474</v>
      </c>
      <c r="F411" s="48"/>
      <c r="G411" s="185"/>
      <c r="H411" s="185"/>
      <c r="I411" s="185">
        <f>I410*Data!H$9</f>
        <v>309428.02087453543</v>
      </c>
      <c r="J411" s="185">
        <f>J410*Data!I$9</f>
        <v>298846.47654025635</v>
      </c>
      <c r="K411" s="185">
        <f>K410*Data!J$9</f>
        <v>288494.28518534085</v>
      </c>
      <c r="L411" s="185">
        <f>L410*Data!K$9</f>
        <v>278618.33393529861</v>
      </c>
      <c r="M411" s="185">
        <f>M410*Data!L$9</f>
        <v>269075.3045488908</v>
      </c>
      <c r="N411" s="185">
        <f>N410*Data!M$9</f>
        <v>259854.19704733195</v>
      </c>
      <c r="O411" s="185">
        <f>O410*Data!N$9</f>
        <v>250835.90908979875</v>
      </c>
      <c r="P411" s="185">
        <f>P410*Data!O$9</f>
        <v>241814.08196877749</v>
      </c>
      <c r="Q411" s="185">
        <f>Q410*Data!P$9</f>
        <v>233115.18251225821</v>
      </c>
      <c r="R411" s="185">
        <f>R410*Data!Q$9</f>
        <v>224824.13304121807</v>
      </c>
      <c r="S411" s="185">
        <f>S410*Data!R$9</f>
        <v>216733.30299605336</v>
      </c>
      <c r="T411" s="185">
        <f>T410*Data!S$9</f>
        <v>208932.26441436101</v>
      </c>
      <c r="U411" s="185">
        <f>U410*Data!T$9</f>
        <v>0</v>
      </c>
      <c r="V411" s="185">
        <f>V410*Data!U$9</f>
        <v>0</v>
      </c>
      <c r="W411" s="185">
        <f>W410*Data!V$9</f>
        <v>0</v>
      </c>
      <c r="X411" s="185">
        <f>X410*Data!W$9</f>
        <v>0</v>
      </c>
      <c r="Y411" s="185">
        <f>Y410*Data!X$9</f>
        <v>0</v>
      </c>
      <c r="Z411" s="185">
        <f>Z410*Data!Y$9</f>
        <v>0</v>
      </c>
      <c r="AA411" s="185">
        <f>AA410*Data!Z$9</f>
        <v>0</v>
      </c>
      <c r="AB411" s="185">
        <f>AB410*Data!AA$9</f>
        <v>0</v>
      </c>
      <c r="AC411" s="185">
        <f>AC410*Data!AB$9</f>
        <v>0</v>
      </c>
      <c r="AD411" s="185">
        <f>AD410*Data!AC$9</f>
        <v>0</v>
      </c>
      <c r="AE411" s="185">
        <f>AE410*Data!AD$9</f>
        <v>0</v>
      </c>
      <c r="AF411" s="185">
        <f>AF410*Data!AE$9</f>
        <v>0</v>
      </c>
      <c r="AG411" s="185">
        <f>AG410*Data!AF$9</f>
        <v>0</v>
      </c>
      <c r="AH411" s="185">
        <f>AH410*Data!AG$9</f>
        <v>0</v>
      </c>
      <c r="AI411" s="185">
        <f>AI410*Data!AH$9</f>
        <v>0</v>
      </c>
      <c r="AJ411" s="185">
        <f>AJ410*Data!AI$9</f>
        <v>0</v>
      </c>
      <c r="AK411" s="185">
        <f>AK410*Data!AJ$9</f>
        <v>0</v>
      </c>
      <c r="AL411" s="185">
        <f>AL410*Data!AK$9</f>
        <v>0</v>
      </c>
      <c r="AM411" s="185">
        <f>AM410*Data!AL$9</f>
        <v>0</v>
      </c>
      <c r="AN411" s="185">
        <f>AN410*Data!AM$9</f>
        <v>0</v>
      </c>
      <c r="AO411" s="185">
        <f>AO410*Data!AN$9</f>
        <v>0</v>
      </c>
      <c r="AP411" s="14"/>
    </row>
    <row r="412" spans="1:42" hidden="1" outlineLevel="1" x14ac:dyDescent="0.25">
      <c r="A412" s="12"/>
      <c r="B412" s="13"/>
      <c r="C412" s="14" t="s">
        <v>489</v>
      </c>
      <c r="D412" s="14"/>
      <c r="E412" s="15"/>
      <c r="F412" s="48"/>
      <c r="G412" s="185">
        <f>SUM(H411:AP411)</f>
        <v>3080571.4921541209</v>
      </c>
      <c r="H412" s="185"/>
      <c r="I412" s="185"/>
      <c r="J412" s="185"/>
      <c r="K412" s="185"/>
      <c r="L412" s="185"/>
      <c r="M412" s="185"/>
      <c r="N412" s="185"/>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4"/>
    </row>
    <row r="413" spans="1:42" hidden="1" outlineLevel="1" x14ac:dyDescent="0.25">
      <c r="A413" s="12"/>
      <c r="B413" s="13"/>
      <c r="C413" s="41" t="s">
        <v>62</v>
      </c>
      <c r="D413" s="14"/>
      <c r="E413" s="15"/>
      <c r="F413" s="48"/>
      <c r="G413" s="184">
        <f>G412/SUM(H393:AP393)</f>
        <v>4.9866800896045724</v>
      </c>
      <c r="H413" s="185"/>
      <c r="I413" s="185"/>
      <c r="J413" s="185"/>
      <c r="K413" s="185"/>
      <c r="L413" s="185"/>
      <c r="M413" s="185"/>
      <c r="N413" s="185"/>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185"/>
      <c r="AP413" s="14"/>
    </row>
    <row r="414" spans="1:42" hidden="1" outlineLevel="1" x14ac:dyDescent="0.25">
      <c r="A414" s="12"/>
      <c r="B414" s="13"/>
      <c r="C414" s="41"/>
      <c r="D414" s="14"/>
      <c r="E414" s="15"/>
      <c r="F414" s="48"/>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185"/>
      <c r="AP414" s="14"/>
    </row>
    <row r="415" spans="1:42" hidden="1" outlineLevel="1" x14ac:dyDescent="0.25">
      <c r="A415" s="12"/>
      <c r="B415" s="13"/>
      <c r="C415" s="20" t="s">
        <v>489</v>
      </c>
      <c r="D415" s="19"/>
      <c r="E415" s="15" t="s">
        <v>261</v>
      </c>
      <c r="F415" s="16"/>
      <c r="G415" s="184">
        <f>G366+G390+G413</f>
        <v>4.9956031665276495</v>
      </c>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row>
    <row r="416" spans="1:42" ht="18.75" hidden="1" outlineLevel="1" x14ac:dyDescent="0.3">
      <c r="A416" s="12"/>
      <c r="B416" s="13"/>
      <c r="C416" s="226" t="str">
        <f>C300</f>
        <v>TCO 1: End-of-Life Diesel Bus Replacement with HFCB</v>
      </c>
      <c r="D416" s="225"/>
      <c r="E416" s="15" t="s">
        <v>261</v>
      </c>
      <c r="F416" s="16"/>
      <c r="G416" s="224">
        <f>G359+G415</f>
        <v>6.783763840194367</v>
      </c>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row>
    <row r="417" spans="1:42" hidden="1" outlineLevel="1" x14ac:dyDescent="0.25">
      <c r="A417" s="12"/>
      <c r="B417" s="13"/>
      <c r="C417" s="41"/>
      <c r="D417" s="41"/>
      <c r="E417" s="15"/>
      <c r="F417" s="16"/>
      <c r="G417" s="14"/>
      <c r="H417" s="141"/>
      <c r="I417" s="141"/>
      <c r="J417" s="141"/>
      <c r="K417" s="141"/>
      <c r="L417" s="141"/>
      <c r="M417" s="141"/>
      <c r="N417" s="141"/>
      <c r="O417" s="141"/>
      <c r="P417" s="141"/>
      <c r="Q417" s="141"/>
      <c r="R417" s="141"/>
      <c r="S417" s="141"/>
      <c r="T417" s="141"/>
      <c r="U417" s="141"/>
      <c r="V417" s="141"/>
      <c r="W417" s="141"/>
      <c r="X417" s="141"/>
      <c r="Y417" s="141"/>
      <c r="Z417" s="141"/>
      <c r="AA417" s="141"/>
      <c r="AB417" s="141"/>
      <c r="AC417" s="14"/>
      <c r="AD417" s="14"/>
      <c r="AE417" s="14"/>
      <c r="AF417" s="14"/>
      <c r="AG417" s="14"/>
      <c r="AH417" s="14"/>
      <c r="AI417" s="14"/>
      <c r="AJ417" s="14"/>
      <c r="AK417" s="14"/>
      <c r="AL417" s="14"/>
      <c r="AM417" s="14"/>
      <c r="AN417" s="14"/>
      <c r="AO417" s="14"/>
      <c r="AP417" s="17"/>
    </row>
    <row r="418" spans="1:42" collapsed="1" x14ac:dyDescent="0.25">
      <c r="A418" s="261"/>
      <c r="B418" s="261"/>
      <c r="C418" s="261" t="s">
        <v>603</v>
      </c>
      <c r="D418" s="261"/>
      <c r="E418" s="262"/>
      <c r="F418" s="263"/>
      <c r="G418" s="263"/>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3"/>
      <c r="AD418" s="263"/>
      <c r="AE418" s="263"/>
      <c r="AF418" s="263"/>
      <c r="AG418" s="263"/>
      <c r="AH418" s="263"/>
      <c r="AI418" s="263"/>
      <c r="AJ418" s="263"/>
      <c r="AK418" s="263"/>
      <c r="AL418" s="263"/>
      <c r="AM418" s="263"/>
      <c r="AN418" s="263"/>
      <c r="AO418" s="263"/>
      <c r="AP418" s="265"/>
    </row>
    <row r="419" spans="1:42" outlineLevel="1" x14ac:dyDescent="0.25">
      <c r="A419" s="12"/>
      <c r="B419" s="13"/>
      <c r="C419" s="41"/>
      <c r="D419" s="41"/>
      <c r="E419" s="15"/>
      <c r="F419" s="16"/>
      <c r="G419" s="14"/>
      <c r="H419" s="141"/>
      <c r="I419" s="141"/>
      <c r="J419" s="141"/>
      <c r="K419" s="141"/>
      <c r="L419" s="141"/>
      <c r="M419" s="141"/>
      <c r="N419" s="141"/>
      <c r="O419" s="141"/>
      <c r="P419" s="141"/>
      <c r="Q419" s="141"/>
      <c r="R419" s="141"/>
      <c r="S419" s="141"/>
      <c r="T419" s="141"/>
      <c r="U419" s="141"/>
      <c r="V419" s="141"/>
      <c r="W419" s="141"/>
      <c r="X419" s="141"/>
      <c r="Y419" s="141"/>
      <c r="Z419" s="141"/>
      <c r="AA419" s="141"/>
      <c r="AB419" s="141"/>
      <c r="AC419" s="14"/>
      <c r="AD419" s="14"/>
      <c r="AE419" s="14"/>
      <c r="AF419" s="14"/>
      <c r="AG419" s="14"/>
      <c r="AH419" s="14"/>
      <c r="AI419" s="14"/>
      <c r="AJ419" s="14"/>
      <c r="AK419" s="14"/>
      <c r="AL419" s="14"/>
      <c r="AM419" s="14"/>
      <c r="AN419" s="14"/>
      <c r="AO419" s="14"/>
      <c r="AP419" s="17"/>
    </row>
    <row r="420" spans="1:42" outlineLevel="1" x14ac:dyDescent="0.25">
      <c r="A420" s="12"/>
      <c r="B420" s="13"/>
      <c r="C420" s="37" t="s">
        <v>508</v>
      </c>
      <c r="D420" s="37"/>
      <c r="E420" s="38"/>
      <c r="F420" s="39"/>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17"/>
    </row>
    <row r="421" spans="1:42" outlineLevel="1" x14ac:dyDescent="0.25">
      <c r="A421" s="12"/>
      <c r="B421" s="13"/>
      <c r="C421" s="95" t="s">
        <v>559</v>
      </c>
      <c r="D421" s="14"/>
      <c r="E421" s="15"/>
      <c r="F421" s="16"/>
      <c r="G421" s="14"/>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29"/>
    </row>
    <row r="422" spans="1:42" outlineLevel="1" x14ac:dyDescent="0.25">
      <c r="A422" s="12"/>
      <c r="B422" s="13"/>
      <c r="C422" s="96" t="s">
        <v>120</v>
      </c>
      <c r="D422" s="14"/>
      <c r="E422" s="15" t="s">
        <v>142</v>
      </c>
      <c r="F422" s="158" t="str">
        <f>Dashboard!$I$53</f>
        <v>3 Axle rigid</v>
      </c>
      <c r="G422" s="14"/>
      <c r="H422" s="177">
        <f>IF(F422=C422,Data!$E$371,0)</f>
        <v>0</v>
      </c>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29"/>
    </row>
    <row r="423" spans="1:42" outlineLevel="1" x14ac:dyDescent="0.25">
      <c r="A423" s="12"/>
      <c r="B423" s="13"/>
      <c r="C423" s="96" t="s">
        <v>124</v>
      </c>
      <c r="D423" s="14"/>
      <c r="E423" s="15" t="s">
        <v>142</v>
      </c>
      <c r="F423" s="158" t="str">
        <f>Dashboard!$I$53</f>
        <v>3 Axle rigid</v>
      </c>
      <c r="G423" s="14"/>
      <c r="H423" s="177">
        <f>IF(F423=C423,Data!$E$372,0)</f>
        <v>890000</v>
      </c>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29"/>
    </row>
    <row r="424" spans="1:42" outlineLevel="1" x14ac:dyDescent="0.25">
      <c r="A424" s="12"/>
      <c r="B424" s="13"/>
      <c r="C424" s="96" t="s">
        <v>126</v>
      </c>
      <c r="D424" s="14"/>
      <c r="E424" s="15" t="s">
        <v>142</v>
      </c>
      <c r="F424" s="158" t="str">
        <f>Dashboard!$I$53</f>
        <v>3 Axle rigid</v>
      </c>
      <c r="G424" s="14"/>
      <c r="H424" s="177">
        <f>IF(F424=C424,Data!$E$373,0)</f>
        <v>0</v>
      </c>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29"/>
    </row>
    <row r="425" spans="1:42" outlineLevel="1" x14ac:dyDescent="0.25">
      <c r="A425" s="12"/>
      <c r="B425" s="13"/>
      <c r="C425" s="136"/>
      <c r="D425" s="14"/>
      <c r="E425" s="15"/>
      <c r="F425" s="16"/>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7"/>
    </row>
    <row r="426" spans="1:42" outlineLevel="1" x14ac:dyDescent="0.25">
      <c r="A426" s="12"/>
      <c r="B426" s="13"/>
      <c r="C426" s="19" t="s">
        <v>510</v>
      </c>
      <c r="D426" s="45"/>
      <c r="E426" s="15"/>
      <c r="F426" s="16"/>
      <c r="G426" s="14"/>
      <c r="H426" s="182">
        <f>SUM(H422:H425)</f>
        <v>890000</v>
      </c>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9"/>
    </row>
    <row r="427" spans="1:42" s="140" customFormat="1" outlineLevel="1" x14ac:dyDescent="0.25">
      <c r="A427" s="78"/>
      <c r="B427" s="19"/>
      <c r="C427" s="95" t="s">
        <v>561</v>
      </c>
      <c r="D427" s="20"/>
      <c r="E427" s="15" t="s">
        <v>142</v>
      </c>
      <c r="F427" s="48"/>
      <c r="G427" s="20"/>
      <c r="H427" s="20"/>
      <c r="I427" s="244">
        <f>IF(I296&gt;0,-PMT(Data!$E$10,Data!$E$386,HFCB!$H$426,0,0),0)</f>
        <v>65487.757792479715</v>
      </c>
      <c r="J427" s="244">
        <f>IF(J296&gt;0,-PMT(Data!$E$10,Data!$E$386,HFCB!$H$426,0,0),0)</f>
        <v>65487.757792479715</v>
      </c>
      <c r="K427" s="244">
        <f>IF(K296&gt;0,-PMT(Data!$E$10,Data!$E$386,HFCB!$H$426,0,0),0)</f>
        <v>65487.757792479715</v>
      </c>
      <c r="L427" s="244">
        <f>IF(L296&gt;0,-PMT(Data!$E$10,Data!$E$386,HFCB!$H$426,0,0),0)</f>
        <v>65487.757792479715</v>
      </c>
      <c r="M427" s="244">
        <f>IF(M296&gt;0,-PMT(Data!$E$10,Data!$E$386,HFCB!$H$426,0,0),0)</f>
        <v>65487.757792479715</v>
      </c>
      <c r="N427" s="244">
        <f>IF(N296&gt;0,-PMT(Data!$E$10,Data!$E$386,HFCB!$H$426,0,0),0)</f>
        <v>65487.757792479715</v>
      </c>
      <c r="O427" s="244">
        <f>IF(O296&gt;0,-PMT(Data!$E$10,Data!$E$386,HFCB!$H$426,0,0),0)</f>
        <v>65487.757792479715</v>
      </c>
      <c r="P427" s="244">
        <f>IF(P296&gt;0,-PMT(Data!$E$10,Data!$E$386,HFCB!$H$426,0,0),0)</f>
        <v>65487.757792479715</v>
      </c>
      <c r="Q427" s="244">
        <f>IF(Q296&gt;0,-PMT(Data!$E$10,Data!$E$386,HFCB!$H$426,0,0),0)</f>
        <v>65487.757792479715</v>
      </c>
      <c r="R427" s="244">
        <f>IF(R296&gt;0,-PMT(Data!$E$10,Data!$E$386,HFCB!$H$426,0,0),0)</f>
        <v>65487.757792479715</v>
      </c>
      <c r="S427" s="244">
        <f>IF(S296&gt;0,-PMT(Data!$E$10,Data!$E$386,HFCB!$H$426,0,0),0)</f>
        <v>65487.757792479715</v>
      </c>
      <c r="T427" s="244">
        <f>IF(T296&gt;0,-PMT(Data!$E$10,Data!$E$386,HFCB!$H$426,0,0),0)</f>
        <v>65487.757792479715</v>
      </c>
      <c r="U427" s="244">
        <f>IF(U296&gt;0,-PMT(Data!$E$10,Data!$E$386,HFCB!$H$426,0,0),0)</f>
        <v>65487.757792479715</v>
      </c>
      <c r="V427" s="244">
        <f>IF(V296&gt;0,-PMT(Data!$E$10,Data!$E$386,HFCB!$H$426,0,0),0)</f>
        <v>65487.757792479715</v>
      </c>
      <c r="W427" s="244">
        <f>IF(W296&gt;0,-PMT(Data!$E$10,Data!$E$386,HFCB!$H$426,0,0),0)</f>
        <v>65487.757792479715</v>
      </c>
      <c r="X427" s="244">
        <f>IF(X296&gt;0,-PMT(Data!$E$10,Data!$E$386,HFCB!$H$426,0,0),0)</f>
        <v>65487.757792479715</v>
      </c>
      <c r="Y427" s="244">
        <f>IF(Y296&gt;0,-PMT(Data!$E$10,Data!$E$386,HFCB!$H$426,0,0),0)</f>
        <v>65487.757792479715</v>
      </c>
      <c r="Z427" s="244">
        <f>IF(Z296&gt;0,-PMT(Data!$E$10,Data!$E$386,HFCB!$H$426,0,0),0)</f>
        <v>65487.757792479715</v>
      </c>
      <c r="AA427" s="244">
        <f>IF(AA296&gt;0,-PMT(Data!$E$10,Data!$E$386,HFCB!$H$426,0,0),0)</f>
        <v>65487.757792479715</v>
      </c>
      <c r="AB427" s="244">
        <f>IF(AB296&gt;0,-PMT(Data!$E$10,Data!$E$386,HFCB!$H$426,0,0),0)</f>
        <v>65487.757792479715</v>
      </c>
      <c r="AC427" s="244">
        <f>IF(AC296&gt;0,-PMT(Data!$E$10,Data!$E$386,HFCB!$H$426,0,0),0)</f>
        <v>0</v>
      </c>
      <c r="AD427" s="244">
        <f>IF(AD296&gt;0,-PMT(Data!$E$10,Data!$E$386,HFCB!$H$426,0,0),0)</f>
        <v>0</v>
      </c>
      <c r="AE427" s="244">
        <f>IF(AE296&gt;0,-PMT(Data!$E$10,Data!$E$386,HFCB!$H$426,0,0),0)</f>
        <v>0</v>
      </c>
      <c r="AF427" s="244">
        <f>IF(AF296&gt;0,-PMT(Data!$E$10,Data!$E$386,HFCB!$H$426,0,0),0)</f>
        <v>0</v>
      </c>
      <c r="AG427" s="244">
        <f>IF(AG296&gt;0,-PMT(Data!$E$10,Data!$E$386,HFCB!$H$426,0,0),0)</f>
        <v>0</v>
      </c>
      <c r="AH427" s="244">
        <f>IF(AH296&gt;0,-PMT(Data!$E$10,Data!$E$386,HFCB!$H$426,0,0),0)</f>
        <v>0</v>
      </c>
      <c r="AI427" s="244">
        <f>IF(AI296&gt;0,-PMT(Data!$E$10,Data!$E$386,HFCB!$H$426,0,0),0)</f>
        <v>0</v>
      </c>
      <c r="AJ427" s="244">
        <f>IF(AJ296&gt;0,-PMT(Data!$E$10,Data!$E$386,HFCB!$H$426,0,0),0)</f>
        <v>0</v>
      </c>
      <c r="AK427" s="244">
        <f>IF(AK296&gt;0,-PMT(Data!$E$10,Data!$E$386,HFCB!$H$426,0,0),0)</f>
        <v>0</v>
      </c>
      <c r="AL427" s="244">
        <f>IF(AL296&gt;0,-PMT(Data!$E$10,Data!$E$386,HFCB!$H$426,0,0),0)</f>
        <v>0</v>
      </c>
      <c r="AM427" s="244">
        <f>IF(AM296&gt;0,-PMT(Data!$E$10,Data!$E$386,HFCB!$H$426,0,0),0)</f>
        <v>0</v>
      </c>
      <c r="AN427" s="244">
        <f>IF(AN296&gt;0,-PMT(Data!$E$10,Data!$E$386,HFCB!$H$426,0,0),0)</f>
        <v>0</v>
      </c>
      <c r="AO427" s="244">
        <f>IF(AO296&gt;0,-PMT(Data!$E$10,Data!$E$386,HFCB!$H$426,0,0),0)</f>
        <v>0</v>
      </c>
      <c r="AP427" s="370"/>
    </row>
    <row r="428" spans="1:42" outlineLevel="1" x14ac:dyDescent="0.25">
      <c r="A428" s="12"/>
      <c r="B428" s="13"/>
      <c r="D428" s="14"/>
      <c r="E428" s="15"/>
      <c r="F428" s="16"/>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7"/>
    </row>
    <row r="429" spans="1:42" outlineLevel="1" x14ac:dyDescent="0.25">
      <c r="A429" s="12"/>
      <c r="B429" s="13"/>
      <c r="C429" s="37" t="s">
        <v>472</v>
      </c>
      <c r="D429" s="37"/>
      <c r="E429" s="38"/>
      <c r="F429" s="39"/>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17"/>
    </row>
    <row r="430" spans="1:42" outlineLevel="1" x14ac:dyDescent="0.25">
      <c r="A430" s="12"/>
      <c r="B430" s="13"/>
      <c r="C430" s="20" t="s">
        <v>258</v>
      </c>
      <c r="D430" s="44"/>
      <c r="E430" s="15"/>
      <c r="F430" s="16"/>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7"/>
    </row>
    <row r="431" spans="1:42" outlineLevel="1" x14ac:dyDescent="0.25">
      <c r="A431" s="12"/>
      <c r="B431" s="13"/>
      <c r="C431" s="96" t="s">
        <v>120</v>
      </c>
      <c r="D431" s="45"/>
      <c r="E431" s="15" t="s">
        <v>474</v>
      </c>
      <c r="F431" s="158" t="str">
        <f>Dashboard!$I$53</f>
        <v>3 Axle rigid</v>
      </c>
      <c r="G431" s="14"/>
      <c r="H431" s="177"/>
      <c r="I431" s="177">
        <f>IF($F$431=$C$431,Data!$E$377*I296,0)</f>
        <v>0</v>
      </c>
      <c r="J431" s="177">
        <f>IF($F$431=$C$431,Data!$E$377*J296,0)</f>
        <v>0</v>
      </c>
      <c r="K431" s="177">
        <f>IF($F$431=$C$431,Data!$E$377*K296,0)</f>
        <v>0</v>
      </c>
      <c r="L431" s="177">
        <f>IF($F$431=$C$431,Data!$E$377*L296,0)</f>
        <v>0</v>
      </c>
      <c r="M431" s="177">
        <f>IF($F$431=$C$431,Data!$E$377*M296,0)</f>
        <v>0</v>
      </c>
      <c r="N431" s="177">
        <f>IF($F$431=$C$431,Data!$E$377*N296,0)</f>
        <v>0</v>
      </c>
      <c r="O431" s="177">
        <f>IF($F$431=$C$431,Data!$E$377*O296,0)</f>
        <v>0</v>
      </c>
      <c r="P431" s="177">
        <f>IF($F$431=$C$431,Data!$E$377*P296,0)</f>
        <v>0</v>
      </c>
      <c r="Q431" s="177">
        <f>IF($F$431=$C$431,Data!$E$377*Q296,0)</f>
        <v>0</v>
      </c>
      <c r="R431" s="177">
        <f>IF($F$431=$C$431,Data!$E$377*R296,0)</f>
        <v>0</v>
      </c>
      <c r="S431" s="177">
        <f>IF($F$431=$C$431,Data!$E$377*S296,0)</f>
        <v>0</v>
      </c>
      <c r="T431" s="177">
        <f>IF($F$431=$C$431,Data!$E$377*T296,0)</f>
        <v>0</v>
      </c>
      <c r="U431" s="177">
        <f>IF($F$431=$C$431,Data!$E$377*U296,0)</f>
        <v>0</v>
      </c>
      <c r="V431" s="177">
        <f>IF($F$431=$C$431,Data!$E$377*V296,0)</f>
        <v>0</v>
      </c>
      <c r="W431" s="177">
        <f>IF($F$431=$C$431,Data!$E$377*W296,0)</f>
        <v>0</v>
      </c>
      <c r="X431" s="177">
        <f>IF($F$431=$C$431,Data!$E$377*X296,0)</f>
        <v>0</v>
      </c>
      <c r="Y431" s="177">
        <f>IF($F$431=$C$431,Data!$E$377*Y296,0)</f>
        <v>0</v>
      </c>
      <c r="Z431" s="177">
        <f>IF($F$431=$C$431,Data!$E$377*Z296,0)</f>
        <v>0</v>
      </c>
      <c r="AA431" s="177">
        <f>IF($F$431=$C$431,Data!$E$377*AA296,0)</f>
        <v>0</v>
      </c>
      <c r="AB431" s="177">
        <f>IF($F$431=$C$431,Data!$E$377*AB296,0)</f>
        <v>0</v>
      </c>
      <c r="AC431" s="177">
        <f>IF($F$431=$C$431,Data!$E$377*AC296,0)</f>
        <v>0</v>
      </c>
      <c r="AD431" s="177">
        <f>IF($F$431=$C$431,Data!$E$377*AD296,0)</f>
        <v>0</v>
      </c>
      <c r="AE431" s="177">
        <f>IF($F$431=$C$431,Data!$E$377*AE296,0)</f>
        <v>0</v>
      </c>
      <c r="AF431" s="177">
        <f>IF($F$431=$C$431,Data!$E$377*AF296,0)</f>
        <v>0</v>
      </c>
      <c r="AG431" s="177">
        <f>IF($F$431=$C$431,Data!$E$377*AG296,0)</f>
        <v>0</v>
      </c>
      <c r="AH431" s="177">
        <f>IF($F$431=$C$431,Data!$E$377*AH296,0)</f>
        <v>0</v>
      </c>
      <c r="AI431" s="177">
        <f>IF($F$431=$C$431,Data!$E$377*AI296,0)</f>
        <v>0</v>
      </c>
      <c r="AJ431" s="177">
        <f>IF($F$431=$C$431,Data!$E$377*AJ296,0)</f>
        <v>0</v>
      </c>
      <c r="AK431" s="177">
        <f>IF($F$431=$C$431,Data!$E$377*AK296,0)</f>
        <v>0</v>
      </c>
      <c r="AL431" s="177">
        <f>IF($F$431=$C$431,Data!$E$377*AL296,0)</f>
        <v>0</v>
      </c>
      <c r="AM431" s="177">
        <f>IF($F$431=$C$431,Data!$E$377*AM296,0)</f>
        <v>0</v>
      </c>
      <c r="AN431" s="177">
        <f>IF($F$431=$C$431,Data!$E$377*AN296,0)</f>
        <v>0</v>
      </c>
      <c r="AO431" s="177">
        <f>IF($F$431=$C$431,Data!$E$377*AO296,0)</f>
        <v>0</v>
      </c>
      <c r="AP431" s="29"/>
    </row>
    <row r="432" spans="1:42" outlineLevel="1" x14ac:dyDescent="0.25">
      <c r="A432" s="12"/>
      <c r="B432" s="13"/>
      <c r="C432" s="96" t="s">
        <v>124</v>
      </c>
      <c r="D432" s="45"/>
      <c r="E432" s="15" t="s">
        <v>474</v>
      </c>
      <c r="F432" s="158" t="str">
        <f>Dashboard!$I$53</f>
        <v>3 Axle rigid</v>
      </c>
      <c r="G432" s="14"/>
      <c r="H432" s="177"/>
      <c r="I432" s="177">
        <f>IF($F$432=$C$432,Data!$E$378*I296,0)</f>
        <v>29427.744059999997</v>
      </c>
      <c r="J432" s="177">
        <f>IF($F$432=$C$432,Data!$E$378*J296,0)</f>
        <v>29427.744059999997</v>
      </c>
      <c r="K432" s="177">
        <f>IF($F$432=$C$432,Data!$E$378*K296,0)</f>
        <v>29427.744059999997</v>
      </c>
      <c r="L432" s="177">
        <f>IF($F$432=$C$432,Data!$E$378*L296,0)</f>
        <v>29427.744059999997</v>
      </c>
      <c r="M432" s="177">
        <f>IF($F$432=$C$432,Data!$E$378*M296,0)</f>
        <v>29427.744059999997</v>
      </c>
      <c r="N432" s="177">
        <f>IF($F$432=$C$432,Data!$E$378*N296,0)</f>
        <v>29427.744059999997</v>
      </c>
      <c r="O432" s="177">
        <f>IF($F$432=$C$432,Data!$E$378*O296,0)</f>
        <v>29427.744059999997</v>
      </c>
      <c r="P432" s="177">
        <f>IF($F$432=$C$432,Data!$E$378*P296,0)</f>
        <v>29427.744059999997</v>
      </c>
      <c r="Q432" s="177">
        <f>IF($F$432=$C$432,Data!$E$378*Q296,0)</f>
        <v>29427.744059999997</v>
      </c>
      <c r="R432" s="177">
        <f>IF($F$432=$C$432,Data!$E$378*R296,0)</f>
        <v>29427.744059999997</v>
      </c>
      <c r="S432" s="177">
        <f>IF($F$432=$C$432,Data!$E$378*S296,0)</f>
        <v>29427.744059999997</v>
      </c>
      <c r="T432" s="177">
        <f>IF($F$432=$C$432,Data!$E$378*T296,0)</f>
        <v>29427.744059999997</v>
      </c>
      <c r="U432" s="177">
        <f>IF($F$432=$C$432,Data!$E$378*U296,0)</f>
        <v>29427.744059999997</v>
      </c>
      <c r="V432" s="177">
        <f>IF($F$432=$C$432,Data!$E$378*V296,0)</f>
        <v>29427.744059999997</v>
      </c>
      <c r="W432" s="177">
        <f>IF($F$432=$C$432,Data!$E$378*W296,0)</f>
        <v>29427.744059999997</v>
      </c>
      <c r="X432" s="177">
        <f>IF($F$432=$C$432,Data!$E$378*X296,0)</f>
        <v>29427.744059999997</v>
      </c>
      <c r="Y432" s="177">
        <f>IF($F$432=$C$432,Data!$E$378*Y296,0)</f>
        <v>29427.744059999997</v>
      </c>
      <c r="Z432" s="177">
        <f>IF($F$432=$C$432,Data!$E$378*Z296,0)</f>
        <v>29427.744059999997</v>
      </c>
      <c r="AA432" s="177">
        <f>IF($F$432=$C$432,Data!$E$378*AA296,0)</f>
        <v>29427.744059999997</v>
      </c>
      <c r="AB432" s="177">
        <f>IF($F$432=$C$432,Data!$E$378*AB296,0)</f>
        <v>29427.744059999997</v>
      </c>
      <c r="AC432" s="177">
        <f>IF($F$432=$C$432,Data!$E$378*AC296,0)</f>
        <v>0</v>
      </c>
      <c r="AD432" s="177">
        <f>IF($F$432=$C$432,Data!$E$378*AD296,0)</f>
        <v>0</v>
      </c>
      <c r="AE432" s="177">
        <f>IF($F$432=$C$432,Data!$E$378*AE296,0)</f>
        <v>0</v>
      </c>
      <c r="AF432" s="177">
        <f>IF($F$432=$C$432,Data!$E$378*AF296,0)</f>
        <v>0</v>
      </c>
      <c r="AG432" s="177">
        <f>IF($F$432=$C$432,Data!$E$378*AG296,0)</f>
        <v>0</v>
      </c>
      <c r="AH432" s="177">
        <f>IF($F$432=$C$432,Data!$E$378*AH296,0)</f>
        <v>0</v>
      </c>
      <c r="AI432" s="177">
        <f>IF($F$432=$C$432,Data!$E$378*AI296,0)</f>
        <v>0</v>
      </c>
      <c r="AJ432" s="177">
        <f>IF($F$432=$C$432,Data!$E$378*AJ296,0)</f>
        <v>0</v>
      </c>
      <c r="AK432" s="177">
        <f>IF($F$432=$C$432,Data!$E$378*AK296,0)</f>
        <v>0</v>
      </c>
      <c r="AL432" s="177">
        <f>IF($F$432=$C$432,Data!$E$378*AL296,0)</f>
        <v>0</v>
      </c>
      <c r="AM432" s="177">
        <f>IF($F$432=$C$432,Data!$E$378*AM296,0)</f>
        <v>0</v>
      </c>
      <c r="AN432" s="177">
        <f>IF($F$432=$C$432,Data!$E$378*AN296,0)</f>
        <v>0</v>
      </c>
      <c r="AO432" s="177">
        <f>IF($F$432=$C$432,Data!$E$378*AO296,0)</f>
        <v>0</v>
      </c>
      <c r="AP432" s="29"/>
    </row>
    <row r="433" spans="1:42" outlineLevel="1" x14ac:dyDescent="0.25">
      <c r="A433" s="12"/>
      <c r="B433" s="13"/>
      <c r="C433" s="96" t="s">
        <v>126</v>
      </c>
      <c r="D433" s="45"/>
      <c r="E433" s="15" t="s">
        <v>474</v>
      </c>
      <c r="F433" s="158" t="str">
        <f>Dashboard!$I$53</f>
        <v>3 Axle rigid</v>
      </c>
      <c r="G433" s="14"/>
      <c r="H433" s="177"/>
      <c r="I433" s="177">
        <f>IF($F$433=$C$433,Data!$E$379*I296,0)</f>
        <v>0</v>
      </c>
      <c r="J433" s="177">
        <f>IF($F$433=$C$433,Data!$E$379*J296,0)</f>
        <v>0</v>
      </c>
      <c r="K433" s="177">
        <f>IF($F$433=$C$433,Data!$E$379*K296,0)</f>
        <v>0</v>
      </c>
      <c r="L433" s="177">
        <f>IF($F$433=$C$433,Data!$E$379*L296,0)</f>
        <v>0</v>
      </c>
      <c r="M433" s="177">
        <f>IF($F$433=$C$433,Data!$E$379*M296,0)</f>
        <v>0</v>
      </c>
      <c r="N433" s="177">
        <f>IF($F$433=$C$433,Data!$E$379*N296,0)</f>
        <v>0</v>
      </c>
      <c r="O433" s="177">
        <f>IF($F$433=$C$433,Data!$E$379*O296,0)</f>
        <v>0</v>
      </c>
      <c r="P433" s="177">
        <f>IF($F$433=$C$433,Data!$E$379*P296,0)</f>
        <v>0</v>
      </c>
      <c r="Q433" s="177">
        <f>IF($F$433=$C$433,Data!$E$379*Q296,0)</f>
        <v>0</v>
      </c>
      <c r="R433" s="177">
        <f>IF($F$433=$C$433,Data!$E$379*R296,0)</f>
        <v>0</v>
      </c>
      <c r="S433" s="177">
        <f>IF($F$433=$C$433,Data!$E$379*S296,0)</f>
        <v>0</v>
      </c>
      <c r="T433" s="177">
        <f>IF($F$433=$C$433,Data!$E$379*T296,0)</f>
        <v>0</v>
      </c>
      <c r="U433" s="177">
        <f>IF($F$433=$C$433,Data!$E$379*U296,0)</f>
        <v>0</v>
      </c>
      <c r="V433" s="177">
        <f>IF($F$433=$C$433,Data!$E$379*V296,0)</f>
        <v>0</v>
      </c>
      <c r="W433" s="177">
        <f>IF($F$433=$C$433,Data!$E$379*W296,0)</f>
        <v>0</v>
      </c>
      <c r="X433" s="177">
        <f>IF($F$433=$C$433,Data!$E$379*X296,0)</f>
        <v>0</v>
      </c>
      <c r="Y433" s="177">
        <f>IF($F$433=$C$433,Data!$E$379*Y296,0)</f>
        <v>0</v>
      </c>
      <c r="Z433" s="177">
        <f>IF($F$433=$C$433,Data!$E$379*Z296,0)</f>
        <v>0</v>
      </c>
      <c r="AA433" s="177">
        <f>IF($F$433=$C$433,Data!$E$379*AA296,0)</f>
        <v>0</v>
      </c>
      <c r="AB433" s="177">
        <f>IF($F$433=$C$433,Data!$E$379*AB296,0)</f>
        <v>0</v>
      </c>
      <c r="AC433" s="177">
        <f>IF($F$433=$C$433,Data!$E$379*AC296,0)</f>
        <v>0</v>
      </c>
      <c r="AD433" s="177">
        <f>IF($F$433=$C$433,Data!$E$379*AD296,0)</f>
        <v>0</v>
      </c>
      <c r="AE433" s="177">
        <f>IF($F$433=$C$433,Data!$E$379*AE296,0)</f>
        <v>0</v>
      </c>
      <c r="AF433" s="177">
        <f>IF($F$433=$C$433,Data!$E$379*AF296,0)</f>
        <v>0</v>
      </c>
      <c r="AG433" s="177">
        <f>IF($F$433=$C$433,Data!$E$379*AG296,0)</f>
        <v>0</v>
      </c>
      <c r="AH433" s="177">
        <f>IF($F$433=$C$433,Data!$E$379*AH296,0)</f>
        <v>0</v>
      </c>
      <c r="AI433" s="177">
        <f>IF($F$433=$C$433,Data!$E$379*AI296,0)</f>
        <v>0</v>
      </c>
      <c r="AJ433" s="177">
        <f>IF($F$433=$C$433,Data!$E$379*AJ296,0)</f>
        <v>0</v>
      </c>
      <c r="AK433" s="177">
        <f>IF($F$433=$C$433,Data!$E$379*AK296,0)</f>
        <v>0</v>
      </c>
      <c r="AL433" s="177">
        <f>IF($F$433=$C$433,Data!$E$379*AL296,0)</f>
        <v>0</v>
      </c>
      <c r="AM433" s="177">
        <f>IF($F$433=$C$433,Data!$E$379*AM296,0)</f>
        <v>0</v>
      </c>
      <c r="AN433" s="177">
        <f>IF($F$433=$C$433,Data!$E$379*AN296,0)</f>
        <v>0</v>
      </c>
      <c r="AO433" s="177">
        <f>IF($F$433=$C$433,Data!$E$379*AO296,0)</f>
        <v>0</v>
      </c>
      <c r="AP433" s="29"/>
    </row>
    <row r="434" spans="1:42" outlineLevel="1" x14ac:dyDescent="0.25">
      <c r="A434" s="12"/>
      <c r="B434" s="13"/>
      <c r="C434" s="95" t="s">
        <v>570</v>
      </c>
      <c r="D434" s="45"/>
      <c r="E434" s="15"/>
      <c r="F434" s="16"/>
      <c r="G434" s="14"/>
      <c r="H434" s="28"/>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29"/>
    </row>
    <row r="435" spans="1:42" outlineLevel="1" x14ac:dyDescent="0.25">
      <c r="A435" s="12"/>
      <c r="B435" s="13"/>
      <c r="C435" s="96" t="s">
        <v>127</v>
      </c>
      <c r="D435" s="45"/>
      <c r="E435" s="15" t="s">
        <v>475</v>
      </c>
      <c r="F435" s="158" t="str">
        <f>Dashboard!$I$52</f>
        <v>Hilly (Gradient  6%)</v>
      </c>
      <c r="G435" s="14"/>
      <c r="H435" s="28"/>
      <c r="I435" s="178" cm="1">
        <f t="array" ref="I435">INDEX('Control panel'!$F$17:$F$19,MATCH($F435,'Control panel'!$C$17:$C$19,0),0)</f>
        <v>0.15</v>
      </c>
      <c r="J435" s="178" cm="1">
        <f t="array" ref="J435">INDEX('Control panel'!$F$17:$F$19,MATCH($F435,'Control panel'!$C$17:$C$19,0),0)</f>
        <v>0.15</v>
      </c>
      <c r="K435" s="178" cm="1">
        <f t="array" ref="K435">INDEX('Control panel'!$F$17:$F$19,MATCH($F435,'Control panel'!$C$17:$C$19,0),0)</f>
        <v>0.15</v>
      </c>
      <c r="L435" s="178" cm="1">
        <f t="array" ref="L435">INDEX('Control panel'!$F$17:$F$19,MATCH($F435,'Control panel'!$C$17:$C$19,0),0)</f>
        <v>0.15</v>
      </c>
      <c r="M435" s="178" cm="1">
        <f t="array" ref="M435">INDEX('Control panel'!$F$17:$F$19,MATCH($F435,'Control panel'!$C$17:$C$19,0),0)</f>
        <v>0.15</v>
      </c>
      <c r="N435" s="178" cm="1">
        <f t="array" ref="N435">INDEX('Control panel'!$F$17:$F$19,MATCH($F435,'Control panel'!$C$17:$C$19,0),0)</f>
        <v>0.15</v>
      </c>
      <c r="O435" s="178" cm="1">
        <f t="array" ref="O435">INDEX('Control panel'!$F$17:$F$19,MATCH($F435,'Control panel'!$C$17:$C$19,0),0)</f>
        <v>0.15</v>
      </c>
      <c r="P435" s="178" cm="1">
        <f t="array" ref="P435">INDEX('Control panel'!$F$17:$F$19,MATCH($F435,'Control panel'!$C$17:$C$19,0),0)</f>
        <v>0.15</v>
      </c>
      <c r="Q435" s="178" cm="1">
        <f t="array" ref="Q435">INDEX('Control panel'!$F$17:$F$19,MATCH($F435,'Control panel'!$C$17:$C$19,0),0)</f>
        <v>0.15</v>
      </c>
      <c r="R435" s="178" cm="1">
        <f t="array" ref="R435">INDEX('Control panel'!$F$17:$F$19,MATCH($F435,'Control panel'!$C$17:$C$19,0),0)</f>
        <v>0.15</v>
      </c>
      <c r="S435" s="178" cm="1">
        <f t="array" ref="S435">INDEX('Control panel'!$F$17:$F$19,MATCH($F435,'Control panel'!$C$17:$C$19,0),0)</f>
        <v>0.15</v>
      </c>
      <c r="T435" s="178" cm="1">
        <f t="array" ref="T435">INDEX('Control panel'!$F$17:$F$19,MATCH($F435,'Control panel'!$C$17:$C$19,0),0)</f>
        <v>0.15</v>
      </c>
      <c r="U435" s="178" cm="1">
        <f t="array" ref="U435">INDEX('Control panel'!$F$17:$F$19,MATCH($F435,'Control panel'!$C$17:$C$19,0),0)</f>
        <v>0.15</v>
      </c>
      <c r="V435" s="178" cm="1">
        <f t="array" ref="V435">INDEX('Control panel'!$F$17:$F$19,MATCH($F435,'Control panel'!$C$17:$C$19,0),0)</f>
        <v>0.15</v>
      </c>
      <c r="W435" s="178" cm="1">
        <f t="array" ref="W435">INDEX('Control panel'!$F$17:$F$19,MATCH($F435,'Control panel'!$C$17:$C$19,0),0)</f>
        <v>0.15</v>
      </c>
      <c r="X435" s="178" cm="1">
        <f t="array" ref="X435">INDEX('Control panel'!$F$17:$F$19,MATCH($F435,'Control panel'!$C$17:$C$19,0),0)</f>
        <v>0.15</v>
      </c>
      <c r="Y435" s="178" cm="1">
        <f t="array" ref="Y435">INDEX('Control panel'!$F$17:$F$19,MATCH($F435,'Control panel'!$C$17:$C$19,0),0)</f>
        <v>0.15</v>
      </c>
      <c r="Z435" s="178" cm="1">
        <f t="array" ref="Z435">INDEX('Control panel'!$F$17:$F$19,MATCH($F435,'Control panel'!$C$17:$C$19,0),0)</f>
        <v>0.15</v>
      </c>
      <c r="AA435" s="178" cm="1">
        <f t="array" ref="AA435">INDEX('Control panel'!$F$17:$F$19,MATCH($F435,'Control panel'!$C$17:$C$19,0),0)</f>
        <v>0.15</v>
      </c>
      <c r="AB435" s="178" cm="1">
        <f t="array" ref="AB435">INDEX('Control panel'!$F$17:$F$19,MATCH($F435,'Control panel'!$C$17:$C$19,0),0)</f>
        <v>0.15</v>
      </c>
      <c r="AC435" s="178" cm="1">
        <f t="array" ref="AC435">INDEX('Control panel'!$F$17:$F$19,MATCH($F435,'Control panel'!$C$17:$C$19,0),0)</f>
        <v>0.15</v>
      </c>
      <c r="AD435" s="178" cm="1">
        <f t="array" ref="AD435">INDEX('Control panel'!$F$17:$F$19,MATCH($F435,'Control panel'!$C$17:$C$19,0),0)</f>
        <v>0.15</v>
      </c>
      <c r="AE435" s="178" cm="1">
        <f t="array" ref="AE435">INDEX('Control panel'!$F$17:$F$19,MATCH($F435,'Control panel'!$C$17:$C$19,0),0)</f>
        <v>0.15</v>
      </c>
      <c r="AF435" s="178" cm="1">
        <f t="array" ref="AF435">INDEX('Control panel'!$F$17:$F$19,MATCH($F435,'Control panel'!$C$17:$C$19,0),0)</f>
        <v>0.15</v>
      </c>
      <c r="AG435" s="178" cm="1">
        <f t="array" ref="AG435">INDEX('Control panel'!$F$17:$F$19,MATCH($F435,'Control panel'!$C$17:$C$19,0),0)</f>
        <v>0.15</v>
      </c>
      <c r="AH435" s="178" cm="1">
        <f t="array" ref="AH435">INDEX('Control panel'!$F$17:$F$19,MATCH($F435,'Control panel'!$C$17:$C$19,0),0)</f>
        <v>0.15</v>
      </c>
      <c r="AI435" s="178" cm="1">
        <f t="array" ref="AI435">INDEX('Control panel'!$F$17:$F$19,MATCH($F435,'Control panel'!$C$17:$C$19,0),0)</f>
        <v>0.15</v>
      </c>
      <c r="AJ435" s="178" cm="1">
        <f t="array" ref="AJ435">INDEX('Control panel'!$F$17:$F$19,MATCH($F435,'Control panel'!$C$17:$C$19,0),0)</f>
        <v>0.15</v>
      </c>
      <c r="AK435" s="178" cm="1">
        <f t="array" ref="AK435">INDEX('Control panel'!$F$17:$F$19,MATCH($F435,'Control panel'!$C$17:$C$19,0),0)</f>
        <v>0.15</v>
      </c>
      <c r="AL435" s="178" cm="1">
        <f t="array" ref="AL435">INDEX('Control panel'!$F$17:$F$19,MATCH($F435,'Control panel'!$C$17:$C$19,0),0)</f>
        <v>0.15</v>
      </c>
      <c r="AM435" s="178" cm="1">
        <f t="array" ref="AM435">INDEX('Control panel'!$F$17:$F$19,MATCH($F435,'Control panel'!$C$17:$C$19,0),0)</f>
        <v>0.15</v>
      </c>
      <c r="AN435" s="178" cm="1">
        <f t="array" ref="AN435">INDEX('Control panel'!$F$17:$F$19,MATCH($F435,'Control panel'!$C$17:$C$19,0),0)</f>
        <v>0.15</v>
      </c>
      <c r="AO435" s="178" cm="1">
        <f t="array" ref="AO435">INDEX('Control panel'!$F$17:$F$19,MATCH($F435,'Control panel'!$C$17:$C$19,0),0)</f>
        <v>0.15</v>
      </c>
      <c r="AP435" s="29"/>
    </row>
    <row r="436" spans="1:42" ht="15.75" customHeight="1" outlineLevel="1" x14ac:dyDescent="0.25">
      <c r="A436" s="12"/>
      <c r="B436" s="13"/>
      <c r="C436" s="96" t="s">
        <v>120</v>
      </c>
      <c r="D436" s="45"/>
      <c r="E436" s="15"/>
      <c r="F436" s="158" t="str">
        <f>Dashboard!$I$53</f>
        <v>3 Axle rigid</v>
      </c>
      <c r="G436" s="14"/>
      <c r="H436" s="28"/>
      <c r="I436" s="56">
        <f>IF($C$436=$F$436,I296*Data!$E$389*Data!H$66,0)*(1+I435)*(1+Data!$E$92)</f>
        <v>0</v>
      </c>
      <c r="J436" s="56">
        <f>IF($C$436=$F$436,J296*Data!$E$389*Data!I$66,0)*(1+J435)*(1+Data!$E$92)</f>
        <v>0</v>
      </c>
      <c r="K436" s="56">
        <f>IF($C$436=$F$436,K296*Data!$E$389*Data!J$66,0)*(1+K435)*(1+Data!$E$92)</f>
        <v>0</v>
      </c>
      <c r="L436" s="56">
        <f>IF($C$436=$F$436,L296*Data!$E$389*Data!K$66,0)*(1+L435)*(1+Data!$E$92)</f>
        <v>0</v>
      </c>
      <c r="M436" s="56">
        <f>IF($C$436=$F$436,M296*Data!$E$389*Data!L$66,0)*(1+M435)*(1+Data!$E$92)</f>
        <v>0</v>
      </c>
      <c r="N436" s="56">
        <f>IF($C$436=$F$436,N296*Data!$E$389*Data!M$66,0)*(1+N435)*(1+Data!$E$92)</f>
        <v>0</v>
      </c>
      <c r="O436" s="56">
        <f>IF($C$436=$F$436,O296*Data!$E$389*Data!N$66,0)*(1+O435)*(1+Data!$E$92)</f>
        <v>0</v>
      </c>
      <c r="P436" s="56">
        <f>IF($C$436=$F$436,P296*Data!$E$389*Data!O$66,0)*(1+P435)*(1+Data!$E$92)</f>
        <v>0</v>
      </c>
      <c r="Q436" s="56">
        <f>IF($C$436=$F$436,Q296*Data!$E$389*Data!P$66,0)*(1+Q435)*(1+Data!$E$92)</f>
        <v>0</v>
      </c>
      <c r="R436" s="56">
        <f>IF($C$436=$F$436,R296*Data!$E$389*Data!Q$66,0)*(1+R435)*(1+Data!$E$92)</f>
        <v>0</v>
      </c>
      <c r="S436" s="56">
        <f>IF($C$436=$F$436,S296*Data!$E$389*Data!R$66,0)*(1+S435)*(1+Data!$E$92)</f>
        <v>0</v>
      </c>
      <c r="T436" s="56">
        <f>IF($C$436=$F$436,T296*Data!$E$389*Data!S$66,0)*(1+T435)*(1+Data!$E$92)</f>
        <v>0</v>
      </c>
      <c r="U436" s="56">
        <f>IF($C$436=$F$436,U296*Data!$E$389*Data!T$66,0)*(1+U435)*(1+Data!$E$92)</f>
        <v>0</v>
      </c>
      <c r="V436" s="56">
        <f>IF($C$436=$F$436,V296*Data!$E$389*Data!U$66,0)*(1+V435)*(1+Data!$E$92)</f>
        <v>0</v>
      </c>
      <c r="W436" s="56">
        <f>IF($C$436=$F$436,W296*Data!$E$389*Data!V$66,0)*(1+W435)*(1+Data!$E$92)</f>
        <v>0</v>
      </c>
      <c r="X436" s="56">
        <f>IF($C$436=$F$436,X296*Data!$E$389*Data!W$66,0)*(1+X435)*(1+Data!$E$92)</f>
        <v>0</v>
      </c>
      <c r="Y436" s="56">
        <f>IF($C$436=$F$436,Y296*Data!$E$389*Data!X$66,0)*(1+Y435)*(1+Data!$E$92)</f>
        <v>0</v>
      </c>
      <c r="Z436" s="56">
        <f>IF($C$436=$F$436,Z296*Data!$E$389*Data!Y$66,0)*(1+Z435)*(1+Data!$E$92)</f>
        <v>0</v>
      </c>
      <c r="AA436" s="56">
        <f>IF($C$436=$F$436,AA296*Data!$E$389*Data!Z$66,0)*(1+AA435)*(1+Data!$E$92)</f>
        <v>0</v>
      </c>
      <c r="AB436" s="56">
        <f>IF($C$436=$F$436,AB296*Data!$E$389*Data!AA$66,0)*(1+AB435)*(1+Data!$E$92)</f>
        <v>0</v>
      </c>
      <c r="AC436" s="56">
        <f>IF($C$436=$F$436,AC296*Data!$E$389*Data!AB$66,0)*(1+AC435)*(1+Data!$E$92)</f>
        <v>0</v>
      </c>
      <c r="AD436" s="56">
        <f>IF($C$436=$F$436,AD296*Data!$E$389*Data!AC$66,0)*(1+AD435)*(1+Data!$E$92)</f>
        <v>0</v>
      </c>
      <c r="AE436" s="56">
        <f>IF($C$436=$F$436,AE296*Data!$E$389*Data!AD$66,0)*(1+AE435)*(1+Data!$E$92)</f>
        <v>0</v>
      </c>
      <c r="AF436" s="56">
        <f>IF($C$436=$F$436,AF296*Data!$E$389*Data!AE$66,0)*(1+AF435)*(1+Data!$E$92)</f>
        <v>0</v>
      </c>
      <c r="AG436" s="56">
        <f>IF($C$436=$F$436,AG296*Data!$E$389*Data!AF$66,0)*(1+AG435)*(1+Data!$E$92)</f>
        <v>0</v>
      </c>
      <c r="AH436" s="56">
        <f>IF($C$436=$F$436,AH296*Data!$E$389*Data!AG$66,0)*(1+AH435)*(1+Data!$E$92)</f>
        <v>0</v>
      </c>
      <c r="AI436" s="56">
        <f>IF($C$436=$F$436,AI296*Data!$E$389*Data!AH$66,0)*(1+AI435)*(1+Data!$E$92)</f>
        <v>0</v>
      </c>
      <c r="AJ436" s="56">
        <f>IF($C$436=$F$436,AJ296*Data!$E$389*Data!AI$66,0)*(1+AJ435)*(1+Data!$E$92)</f>
        <v>0</v>
      </c>
      <c r="AK436" s="56">
        <f>IF($C$436=$F$436,AK296*Data!$E$389*Data!AJ$66,0)*(1+AK435)*(1+Data!$E$92)</f>
        <v>0</v>
      </c>
      <c r="AL436" s="56">
        <f>IF($C$436=$F$436,AL296*Data!$E$389*Data!AK$66,0)*(1+AL435)*(1+Data!$E$92)</f>
        <v>0</v>
      </c>
      <c r="AM436" s="56">
        <f>IF($C$436=$F$436,AM296*Data!$E$389*Data!AL$66,0)*(1+AM435)*(1+Data!$E$92)</f>
        <v>0</v>
      </c>
      <c r="AN436" s="56">
        <f>IF($C$436=$F$436,AN296*Data!$E$389*Data!AM$66,0)*(1+AN435)*(1+Data!$E$92)</f>
        <v>0</v>
      </c>
      <c r="AO436" s="56">
        <f>IF($C$436=$F$436,AO296*Data!$E$389*Data!AN$66,0)*(1+AO435)*(1+Data!$E$92)</f>
        <v>0</v>
      </c>
      <c r="AP436" s="29"/>
    </row>
    <row r="437" spans="1:42" outlineLevel="1" x14ac:dyDescent="0.25">
      <c r="A437" s="12"/>
      <c r="B437" s="13"/>
      <c r="C437" s="96" t="s">
        <v>124</v>
      </c>
      <c r="D437" s="45"/>
      <c r="E437" s="15"/>
      <c r="F437" s="158" t="str">
        <f>Dashboard!$I$53</f>
        <v>3 Axle rigid</v>
      </c>
      <c r="G437" s="14"/>
      <c r="H437" s="28"/>
      <c r="I437" s="56">
        <f>IF($C$437=$F$437,I296*Data!$E$390*Data!H$66,0)*(1+I435)*(1+Data!$E$92)</f>
        <v>80306.677143212117</v>
      </c>
      <c r="J437" s="56">
        <f>IF($C$437=$F$437,J296*Data!$E$390*Data!I$66,0)*(1+J435)*(1+Data!$E$92)</f>
        <v>72983.711839818177</v>
      </c>
      <c r="K437" s="56">
        <f>IF($C$437=$F$437,K296*Data!$E$390*Data!J$66,0)*(1+K435)*(1+Data!$E$92)</f>
        <v>65660.746536424253</v>
      </c>
      <c r="L437" s="56">
        <f>IF($C$437=$F$437,L296*Data!$E$390*Data!K$66,0)*(1+L435)*(1+Data!$E$92)</f>
        <v>58337.781233030328</v>
      </c>
      <c r="M437" s="56">
        <f>IF($C$437=$F$437,M296*Data!$E$390*Data!L$66,0)*(1+M435)*(1+Data!$E$92)</f>
        <v>51014.815929636403</v>
      </c>
      <c r="N437" s="56">
        <f>IF($C$437=$F$437,N296*Data!$E$390*Data!M$66,0)*(1+N435)*(1+Data!$E$92)</f>
        <v>43691.850626242471</v>
      </c>
      <c r="O437" s="56">
        <f>IF($C$437=$F$437,O296*Data!$E$390*Data!N$66,0)*(1+O435)*(1+Data!$E$92)</f>
        <v>36368.885322848546</v>
      </c>
      <c r="P437" s="56">
        <f>IF($C$437=$F$437,P296*Data!$E$390*Data!O$66,0)*(1+P435)*(1+Data!$E$92)</f>
        <v>29045.920019454617</v>
      </c>
      <c r="Q437" s="56">
        <f>IF($C$437=$F$437,Q296*Data!$E$390*Data!P$66,0)*(1+Q435)*(1+Data!$E$92)</f>
        <v>28513.215463804187</v>
      </c>
      <c r="R437" s="56">
        <f>IF($C$437=$F$437,R296*Data!$E$390*Data!Q$66,0)*(1+R435)*(1+Data!$E$92)</f>
        <v>27993.142968694654</v>
      </c>
      <c r="S437" s="56">
        <f>IF($C$437=$F$437,S296*Data!$E$390*Data!R$66,0)*(1+S435)*(1+Data!$E$92)</f>
        <v>27485.352624173105</v>
      </c>
      <c r="T437" s="56">
        <f>IF($C$437=$F$437,T296*Data!$E$390*Data!S$66,0)*(1+T435)*(1+Data!$E$92)</f>
        <v>26989.505268561232</v>
      </c>
      <c r="U437" s="56">
        <f>IF($C$437=$F$437,U296*Data!$E$390*Data!T$66,0)*(1+U435)*(1+Data!$E$92)</f>
        <v>26505.27213966379</v>
      </c>
      <c r="V437" s="56">
        <f>IF($C$437=$F$437,V296*Data!$E$390*Data!U$66,0)*(1+V435)*(1+Data!$E$92)</f>
        <v>26032.334537595256</v>
      </c>
      <c r="W437" s="56">
        <f>IF($C$437=$F$437,W296*Data!$E$390*Data!V$66,0)*(1+W435)*(1+Data!$E$92)</f>
        <v>25570.383498833333</v>
      </c>
      <c r="X437" s="56">
        <f>IF($C$437=$F$437,X296*Data!$E$390*Data!W$66,0)*(1+X435)*(1+Data!$E$92)</f>
        <v>25119.119481120848</v>
      </c>
      <c r="Y437" s="56">
        <f>IF($C$437=$F$437,Y296*Data!$E$390*Data!X$66,0)*(1+Y435)*(1+Data!$E$92)</f>
        <v>24678.252058850681</v>
      </c>
      <c r="Z437" s="56">
        <f>IF($C$437=$F$437,Z296*Data!$E$390*Data!Y$66,0)*(1+Z435)*(1+Data!$E$92)</f>
        <v>24247.499628580536</v>
      </c>
      <c r="AA437" s="56">
        <f>IF($C$437=$F$437,AA296*Data!$E$390*Data!Z$66,0)*(1+AA435)*(1+Data!$E$92)</f>
        <v>23826.58912433665</v>
      </c>
      <c r="AB437" s="56">
        <f>IF($C$437=$F$437,AB296*Data!$E$390*Data!AA$66,0)*(1+AB435)*(1+Data!$E$92)</f>
        <v>23415.255742376565</v>
      </c>
      <c r="AC437" s="56">
        <f>IF($C$437=$F$437,AC296*Data!$E$390*Data!AB$66,0)*(1+AC435)*(1+Data!$E$92)</f>
        <v>0</v>
      </c>
      <c r="AD437" s="56">
        <f>IF($C$437=$F$437,AD296*Data!$E$390*Data!AC$66,0)*(1+AD435)*(1+Data!$E$92)</f>
        <v>0</v>
      </c>
      <c r="AE437" s="56">
        <f>IF($C$437=$F$437,AE296*Data!$E$390*Data!AD$66,0)*(1+AE435)*(1+Data!$E$92)</f>
        <v>0</v>
      </c>
      <c r="AF437" s="56">
        <f>IF($C$437=$F$437,AF296*Data!$E$390*Data!AE$66,0)*(1+AF435)*(1+Data!$E$92)</f>
        <v>0</v>
      </c>
      <c r="AG437" s="56">
        <f>IF($C$437=$F$437,AG296*Data!$E$390*Data!AF$66,0)*(1+AG435)*(1+Data!$E$92)</f>
        <v>0</v>
      </c>
      <c r="AH437" s="56">
        <f>IF($C$437=$F$437,AH296*Data!$E$390*Data!AG$66,0)*(1+AH435)*(1+Data!$E$92)</f>
        <v>0</v>
      </c>
      <c r="AI437" s="56">
        <f>IF($C$437=$F$437,AI296*Data!$E$390*Data!AH$66,0)*(1+AI435)*(1+Data!$E$92)</f>
        <v>0</v>
      </c>
      <c r="AJ437" s="56">
        <f>IF($C$437=$F$437,AJ296*Data!$E$390*Data!AI$66,0)*(1+AJ435)*(1+Data!$E$92)</f>
        <v>0</v>
      </c>
      <c r="AK437" s="56">
        <f>IF($C$437=$F$437,AK296*Data!$E$390*Data!AJ$66,0)*(1+AK435)*(1+Data!$E$92)</f>
        <v>0</v>
      </c>
      <c r="AL437" s="56">
        <f>IF($C$437=$F$437,AL296*Data!$E$390*Data!AK$66,0)*(1+AL435)*(1+Data!$E$92)</f>
        <v>0</v>
      </c>
      <c r="AM437" s="56">
        <f>IF($C$437=$F$437,AM296*Data!$E$390*Data!AL$66,0)*(1+AM435)*(1+Data!$E$92)</f>
        <v>0</v>
      </c>
      <c r="AN437" s="56">
        <f>IF($C$437=$F$437,AN296*Data!$E$390*Data!AM$66,0)*(1+AN435)*(1+Data!$E$92)</f>
        <v>0</v>
      </c>
      <c r="AO437" s="56">
        <f>IF($C$437=$F$437,AO296*Data!$E$390*Data!AN$66,0)*(1+AO435)*(1+Data!$E$92)</f>
        <v>0</v>
      </c>
      <c r="AP437" s="29"/>
    </row>
    <row r="438" spans="1:42" outlineLevel="1" x14ac:dyDescent="0.25">
      <c r="A438" s="12"/>
      <c r="B438" s="13"/>
      <c r="C438" s="96" t="s">
        <v>126</v>
      </c>
      <c r="D438" s="45"/>
      <c r="E438" s="15"/>
      <c r="F438" s="158" t="str">
        <f>Dashboard!$I$53</f>
        <v>3 Axle rigid</v>
      </c>
      <c r="G438" s="14"/>
      <c r="H438" s="28"/>
      <c r="I438" s="56">
        <f>IF($C$438=$F$438,I296*Data!$E$391*Data!H$66,0)*(1+I435)*(1+Data!$E$92)</f>
        <v>0</v>
      </c>
      <c r="J438" s="56">
        <f>IF($C$438=$F$438,J296*Data!$E$391*Data!I$66,0)*(1+J435)*(1+Data!$E$92)</f>
        <v>0</v>
      </c>
      <c r="K438" s="56">
        <f>IF($C$438=$F$438,K296*Data!$E$391*Data!J$66,0)*(1+K435)*(1+Data!$E$92)</f>
        <v>0</v>
      </c>
      <c r="L438" s="56">
        <f>IF($C$438=$F$438,L296*Data!$E$391*Data!K$66,0)*(1+L435)*(1+Data!$E$92)</f>
        <v>0</v>
      </c>
      <c r="M438" s="56">
        <f>IF($C$438=$F$438,M296*Data!$E$391*Data!L$66,0)*(1+M435)*(1+Data!$E$92)</f>
        <v>0</v>
      </c>
      <c r="N438" s="56">
        <f>IF($C$438=$F$438,N296*Data!$E$391*Data!M$66,0)*(1+N435)*(1+Data!$E$92)</f>
        <v>0</v>
      </c>
      <c r="O438" s="56">
        <f>IF($C$438=$F$438,O296*Data!$E$391*Data!N$66,0)*(1+O435)*(1+Data!$E$92)</f>
        <v>0</v>
      </c>
      <c r="P438" s="56">
        <f>IF($C$438=$F$438,P296*Data!$E$391*Data!O$66,0)*(1+P435)*(1+Data!$E$92)</f>
        <v>0</v>
      </c>
      <c r="Q438" s="56">
        <f>IF($C$438=$F$438,Q296*Data!$E$391*Data!P$66,0)*(1+Q435)*(1+Data!$E$92)</f>
        <v>0</v>
      </c>
      <c r="R438" s="56">
        <f>IF($C$438=$F$438,R296*Data!$E$391*Data!Q$66,0)*(1+R435)*(1+Data!$E$92)</f>
        <v>0</v>
      </c>
      <c r="S438" s="56">
        <f>IF($C$438=$F$438,S296*Data!$E$391*Data!R$66,0)*(1+S435)*(1+Data!$E$92)</f>
        <v>0</v>
      </c>
      <c r="T438" s="56">
        <f>IF($C$438=$F$438,T296*Data!$E$391*Data!S$66,0)*(1+T435)*(1+Data!$E$92)</f>
        <v>0</v>
      </c>
      <c r="U438" s="56">
        <f>IF($C$438=$F$438,U296*Data!$E$391*Data!T$66,0)*(1+U435)*(1+Data!$E$92)</f>
        <v>0</v>
      </c>
      <c r="V438" s="56">
        <f>IF($C$438=$F$438,V296*Data!$E$391*Data!U$66,0)*(1+V435)*(1+Data!$E$92)</f>
        <v>0</v>
      </c>
      <c r="W438" s="56">
        <f>IF($C$438=$F$438,W296*Data!$E$391*Data!V$66,0)*(1+W435)*(1+Data!$E$92)</f>
        <v>0</v>
      </c>
      <c r="X438" s="56">
        <f>IF($C$438=$F$438,X296*Data!$E$391*Data!W$66,0)*(1+X435)*(1+Data!$E$92)</f>
        <v>0</v>
      </c>
      <c r="Y438" s="56">
        <f>IF($C$438=$F$438,Y296*Data!$E$391*Data!X$66,0)*(1+Y435)*(1+Data!$E$92)</f>
        <v>0</v>
      </c>
      <c r="Z438" s="56">
        <f>IF($C$438=$F$438,Z296*Data!$E$391*Data!Y$66,0)*(1+Z435)*(1+Data!$E$92)</f>
        <v>0</v>
      </c>
      <c r="AA438" s="56">
        <f>IF($C$438=$F$438,AA296*Data!$E$391*Data!Z$66,0)*(1+AA435)*(1+Data!$E$92)</f>
        <v>0</v>
      </c>
      <c r="AB438" s="56">
        <f>IF($C$438=$F$438,AB296*Data!$E$391*Data!AA$66,0)*(1+AB435)*(1+Data!$E$92)</f>
        <v>0</v>
      </c>
      <c r="AC438" s="56">
        <f>IF($C$438=$F$438,AC296*Data!$E$391*Data!AB$66,0)*(1+AC435)*(1+Data!$E$92)</f>
        <v>0</v>
      </c>
      <c r="AD438" s="56">
        <f>IF($C$438=$F$438,AD296*Data!$E$391*Data!AC$66,0)*(1+AD435)*(1+Data!$E$92)</f>
        <v>0</v>
      </c>
      <c r="AE438" s="56">
        <f>IF($C$438=$F$438,AE296*Data!$E$391*Data!AD$66,0)*(1+AE435)*(1+Data!$E$92)</f>
        <v>0</v>
      </c>
      <c r="AF438" s="56">
        <f>IF($C$438=$F$438,AF296*Data!$E$391*Data!AE$66,0)*(1+AF435)*(1+Data!$E$92)</f>
        <v>0</v>
      </c>
      <c r="AG438" s="56">
        <f>IF($C$438=$F$438,AG296*Data!$E$391*Data!AF$66,0)*(1+AG435)*(1+Data!$E$92)</f>
        <v>0</v>
      </c>
      <c r="AH438" s="56">
        <f>IF($C$438=$F$438,AH296*Data!$E$391*Data!AG$66,0)*(1+AH435)*(1+Data!$E$92)</f>
        <v>0</v>
      </c>
      <c r="AI438" s="56">
        <f>IF($C$438=$F$438,AI296*Data!$E$391*Data!AH$66,0)*(1+AI435)*(1+Data!$E$92)</f>
        <v>0</v>
      </c>
      <c r="AJ438" s="56">
        <f>IF($C$438=$F$438,AJ296*Data!$E$391*Data!AI$66,0)*(1+AJ435)*(1+Data!$E$92)</f>
        <v>0</v>
      </c>
      <c r="AK438" s="56">
        <f>IF($C$438=$F$438,AK296*Data!$E$391*Data!AJ$66,0)*(1+AK435)*(1+Data!$E$92)</f>
        <v>0</v>
      </c>
      <c r="AL438" s="56">
        <f>IF($C$438=$F$438,AL296*Data!$E$391*Data!AK$66,0)*(1+AL435)*(1+Data!$E$92)</f>
        <v>0</v>
      </c>
      <c r="AM438" s="56">
        <f>IF($C$438=$F$438,AM296*Data!$E$391*Data!AL$66,0)*(1+AM435)*(1+Data!$E$92)</f>
        <v>0</v>
      </c>
      <c r="AN438" s="56">
        <f>IF($C$438=$F$438,AN296*Data!$E$391*Data!AM$66,0)*(1+AN435)*(1+Data!$E$92)</f>
        <v>0</v>
      </c>
      <c r="AO438" s="56">
        <f>IF($C$438=$F$438,AO296*Data!$E$391*Data!AN$66,0)*(1+AO435)*(1+Data!$E$92)</f>
        <v>0</v>
      </c>
      <c r="AP438" s="29"/>
    </row>
    <row r="439" spans="1:42" outlineLevel="1" x14ac:dyDescent="0.25">
      <c r="A439" s="12"/>
      <c r="B439" s="13"/>
      <c r="C439" s="96"/>
      <c r="D439" s="45"/>
      <c r="E439" s="15"/>
      <c r="F439" s="158"/>
      <c r="G439" s="14"/>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9"/>
    </row>
    <row r="440" spans="1:42" outlineLevel="1" x14ac:dyDescent="0.25">
      <c r="A440" s="12"/>
      <c r="B440" s="13"/>
      <c r="C440" s="19" t="s">
        <v>512</v>
      </c>
      <c r="D440" s="45"/>
      <c r="E440" s="15"/>
      <c r="F440" s="158"/>
      <c r="G440" s="14"/>
      <c r="H440" s="28"/>
      <c r="I440" s="182">
        <f>SUM(I431:I433)+SUM(I436:I438)</f>
        <v>109734.42120321211</v>
      </c>
      <c r="J440" s="182">
        <f t="shared" ref="J440:AO440" si="112">SUM(J431:J433)+SUM(J436:J438)</f>
        <v>102411.45589981817</v>
      </c>
      <c r="K440" s="182">
        <f t="shared" si="112"/>
        <v>95088.49059642425</v>
      </c>
      <c r="L440" s="182">
        <f t="shared" si="112"/>
        <v>87765.525293030325</v>
      </c>
      <c r="M440" s="182">
        <f t="shared" si="112"/>
        <v>80442.5599896364</v>
      </c>
      <c r="N440" s="182">
        <f t="shared" si="112"/>
        <v>73119.594686242461</v>
      </c>
      <c r="O440" s="182">
        <f t="shared" si="112"/>
        <v>65796.629382848536</v>
      </c>
      <c r="P440" s="182">
        <f t="shared" si="112"/>
        <v>58473.664079454611</v>
      </c>
      <c r="Q440" s="182">
        <f t="shared" si="112"/>
        <v>57940.95952380418</v>
      </c>
      <c r="R440" s="182">
        <f t="shared" si="112"/>
        <v>57420.887028694648</v>
      </c>
      <c r="S440" s="182">
        <f t="shared" si="112"/>
        <v>56913.096684173099</v>
      </c>
      <c r="T440" s="182">
        <f t="shared" si="112"/>
        <v>56417.249328561229</v>
      </c>
      <c r="U440" s="182">
        <f t="shared" si="112"/>
        <v>55933.016199663791</v>
      </c>
      <c r="V440" s="182">
        <f t="shared" si="112"/>
        <v>55460.078597595253</v>
      </c>
      <c r="W440" s="182">
        <f t="shared" si="112"/>
        <v>54998.12755883333</v>
      </c>
      <c r="X440" s="182">
        <f t="shared" si="112"/>
        <v>54546.863541120845</v>
      </c>
      <c r="Y440" s="182">
        <f t="shared" si="112"/>
        <v>54105.996118850679</v>
      </c>
      <c r="Z440" s="182">
        <f t="shared" si="112"/>
        <v>53675.243688580536</v>
      </c>
      <c r="AA440" s="182">
        <f t="shared" si="112"/>
        <v>53254.333184336647</v>
      </c>
      <c r="AB440" s="182">
        <f t="shared" si="112"/>
        <v>52842.999802376566</v>
      </c>
      <c r="AC440" s="182">
        <f t="shared" si="112"/>
        <v>0</v>
      </c>
      <c r="AD440" s="182">
        <f t="shared" si="112"/>
        <v>0</v>
      </c>
      <c r="AE440" s="182">
        <f t="shared" si="112"/>
        <v>0</v>
      </c>
      <c r="AF440" s="182">
        <f t="shared" si="112"/>
        <v>0</v>
      </c>
      <c r="AG440" s="182">
        <f t="shared" si="112"/>
        <v>0</v>
      </c>
      <c r="AH440" s="182">
        <f t="shared" si="112"/>
        <v>0</v>
      </c>
      <c r="AI440" s="182">
        <f t="shared" si="112"/>
        <v>0</v>
      </c>
      <c r="AJ440" s="182">
        <f t="shared" si="112"/>
        <v>0</v>
      </c>
      <c r="AK440" s="182">
        <f t="shared" si="112"/>
        <v>0</v>
      </c>
      <c r="AL440" s="182">
        <f t="shared" si="112"/>
        <v>0</v>
      </c>
      <c r="AM440" s="182">
        <f t="shared" si="112"/>
        <v>0</v>
      </c>
      <c r="AN440" s="182">
        <f t="shared" si="112"/>
        <v>0</v>
      </c>
      <c r="AO440" s="182">
        <f t="shared" si="112"/>
        <v>0</v>
      </c>
      <c r="AP440" s="29"/>
    </row>
    <row r="441" spans="1:42" outlineLevel="1" x14ac:dyDescent="0.25">
      <c r="A441" s="12"/>
      <c r="B441" s="13"/>
      <c r="C441" s="96"/>
      <c r="D441" s="45"/>
      <c r="E441" s="15"/>
      <c r="F441" s="158"/>
      <c r="G441" s="14"/>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9"/>
    </row>
    <row r="442" spans="1:42" outlineLevel="1" x14ac:dyDescent="0.25">
      <c r="A442" s="12"/>
      <c r="B442" s="13"/>
      <c r="C442" s="45"/>
      <c r="D442" s="45"/>
      <c r="E442" s="15"/>
      <c r="F442" s="16"/>
      <c r="G442" s="14"/>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9"/>
    </row>
    <row r="443" spans="1:42" outlineLevel="1" x14ac:dyDescent="0.25">
      <c r="A443" s="12"/>
      <c r="B443" s="13"/>
      <c r="C443" s="37" t="s">
        <v>513</v>
      </c>
      <c r="D443" s="37"/>
      <c r="E443" s="38"/>
      <c r="F443" s="39"/>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17"/>
    </row>
    <row r="444" spans="1:42" s="140" customFormat="1" outlineLevel="1" x14ac:dyDescent="0.25">
      <c r="A444" s="78"/>
      <c r="B444" s="19"/>
      <c r="C444" s="95" t="s">
        <v>249</v>
      </c>
      <c r="D444" s="44"/>
      <c r="E444" s="21" t="s">
        <v>142</v>
      </c>
      <c r="F444" s="48"/>
      <c r="G444" s="20"/>
      <c r="H444" s="182">
        <f>-U353</f>
        <v>60000</v>
      </c>
      <c r="I444" s="49"/>
      <c r="J444" s="49"/>
      <c r="K444" s="49"/>
      <c r="L444" s="49"/>
      <c r="M444" s="49"/>
      <c r="N444" s="49"/>
      <c r="O444" s="49"/>
      <c r="P444" s="49"/>
      <c r="Q444" s="49"/>
      <c r="R444" s="49"/>
      <c r="S444" s="49"/>
      <c r="T444" s="49"/>
      <c r="V444" s="49"/>
      <c r="W444" s="49"/>
      <c r="X444" s="49"/>
      <c r="Y444" s="49"/>
      <c r="Z444" s="49"/>
      <c r="AA444" s="49"/>
      <c r="AB444" s="49"/>
      <c r="AC444" s="182">
        <f>SUM(H422:H424)*Data!$E$359</f>
        <v>133500</v>
      </c>
      <c r="AD444" s="49"/>
      <c r="AE444" s="49"/>
      <c r="AF444" s="49"/>
      <c r="AG444" s="49"/>
      <c r="AH444" s="49"/>
      <c r="AI444" s="49"/>
      <c r="AJ444" s="49"/>
      <c r="AK444" s="49"/>
      <c r="AL444" s="49"/>
      <c r="AM444" s="49"/>
      <c r="AN444" s="49"/>
      <c r="AO444" s="49"/>
      <c r="AP444" s="50"/>
    </row>
    <row r="445" spans="1:42" outlineLevel="1" x14ac:dyDescent="0.25">
      <c r="A445" s="12"/>
      <c r="B445" s="13"/>
      <c r="C445" s="14"/>
      <c r="D445" s="14"/>
      <c r="E445" s="15"/>
      <c r="F445" s="16"/>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7"/>
    </row>
    <row r="446" spans="1:42" outlineLevel="1" x14ac:dyDescent="0.25">
      <c r="A446" s="12"/>
      <c r="B446" s="13"/>
      <c r="C446" s="37" t="s">
        <v>479</v>
      </c>
      <c r="D446" s="37"/>
      <c r="E446" s="38"/>
      <c r="F446" s="39"/>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17"/>
    </row>
    <row r="447" spans="1:42" outlineLevel="1" x14ac:dyDescent="0.25">
      <c r="A447" s="12"/>
      <c r="B447" s="13"/>
      <c r="C447" s="14" t="s">
        <v>479</v>
      </c>
      <c r="D447" s="14"/>
      <c r="E447" s="15" t="s">
        <v>318</v>
      </c>
      <c r="F447" s="16"/>
      <c r="G447" s="14"/>
      <c r="H447" s="371">
        <f>H427+H440-H444</f>
        <v>-60000</v>
      </c>
      <c r="I447" s="371">
        <f>I427+I440-I444</f>
        <v>175222.17899569182</v>
      </c>
      <c r="J447" s="371">
        <f t="shared" ref="J447:AO447" si="113">J427+J440-J444</f>
        <v>167899.2136922979</v>
      </c>
      <c r="K447" s="371">
        <f t="shared" si="113"/>
        <v>160576.24838890397</v>
      </c>
      <c r="L447" s="371">
        <f t="shared" si="113"/>
        <v>153253.28308551005</v>
      </c>
      <c r="M447" s="371">
        <f t="shared" si="113"/>
        <v>145930.31778211612</v>
      </c>
      <c r="N447" s="371">
        <f t="shared" si="113"/>
        <v>138607.35247872217</v>
      </c>
      <c r="O447" s="371">
        <f t="shared" si="113"/>
        <v>131284.38717532824</v>
      </c>
      <c r="P447" s="371">
        <f t="shared" si="113"/>
        <v>123961.42187193432</v>
      </c>
      <c r="Q447" s="371">
        <f t="shared" si="113"/>
        <v>123428.7173162839</v>
      </c>
      <c r="R447" s="371">
        <f t="shared" si="113"/>
        <v>122908.64482117436</v>
      </c>
      <c r="S447" s="371">
        <f t="shared" si="113"/>
        <v>122400.85447665281</v>
      </c>
      <c r="T447" s="371">
        <f t="shared" si="113"/>
        <v>121905.00712104095</v>
      </c>
      <c r="U447" s="371">
        <f t="shared" si="113"/>
        <v>121420.77399214351</v>
      </c>
      <c r="V447" s="371">
        <f t="shared" si="113"/>
        <v>120947.83639007497</v>
      </c>
      <c r="W447" s="371">
        <f t="shared" si="113"/>
        <v>120485.88535131305</v>
      </c>
      <c r="X447" s="371">
        <f t="shared" si="113"/>
        <v>120034.62133360056</v>
      </c>
      <c r="Y447" s="371">
        <f t="shared" si="113"/>
        <v>119593.75391133039</v>
      </c>
      <c r="Z447" s="371">
        <f t="shared" si="113"/>
        <v>119163.00148106026</v>
      </c>
      <c r="AA447" s="371">
        <f t="shared" si="113"/>
        <v>118742.09097681637</v>
      </c>
      <c r="AB447" s="371">
        <f t="shared" si="113"/>
        <v>118330.75759485629</v>
      </c>
      <c r="AC447" s="371">
        <f t="shared" si="113"/>
        <v>-133500</v>
      </c>
      <c r="AD447" s="371">
        <f t="shared" si="113"/>
        <v>0</v>
      </c>
      <c r="AE447" s="371">
        <f t="shared" si="113"/>
        <v>0</v>
      </c>
      <c r="AF447" s="371">
        <f t="shared" si="113"/>
        <v>0</v>
      </c>
      <c r="AG447" s="371">
        <f t="shared" si="113"/>
        <v>0</v>
      </c>
      <c r="AH447" s="371">
        <f t="shared" si="113"/>
        <v>0</v>
      </c>
      <c r="AI447" s="371">
        <f t="shared" si="113"/>
        <v>0</v>
      </c>
      <c r="AJ447" s="371">
        <f t="shared" si="113"/>
        <v>0</v>
      </c>
      <c r="AK447" s="371">
        <f t="shared" si="113"/>
        <v>0</v>
      </c>
      <c r="AL447" s="371">
        <f t="shared" si="113"/>
        <v>0</v>
      </c>
      <c r="AM447" s="371">
        <f t="shared" si="113"/>
        <v>0</v>
      </c>
      <c r="AN447" s="371">
        <f t="shared" si="113"/>
        <v>0</v>
      </c>
      <c r="AO447" s="371">
        <f t="shared" si="113"/>
        <v>0</v>
      </c>
      <c r="AP447" s="29"/>
    </row>
    <row r="448" spans="1:42" s="140" customFormat="1" outlineLevel="1" x14ac:dyDescent="0.25">
      <c r="A448" s="78"/>
      <c r="B448" s="19"/>
      <c r="C448" s="20" t="s">
        <v>480</v>
      </c>
      <c r="D448" s="20"/>
      <c r="E448" s="21" t="s">
        <v>318</v>
      </c>
      <c r="F448" s="48"/>
      <c r="G448" s="20"/>
      <c r="H448" s="182">
        <f>H447*Data!G$9</f>
        <v>-60000</v>
      </c>
      <c r="I448" s="182">
        <f>I447*Data!H$9</f>
        <v>168482.86441893442</v>
      </c>
      <c r="J448" s="182">
        <f>J447*Data!I$9</f>
        <v>155232.26118000914</v>
      </c>
      <c r="K448" s="182">
        <f>K447*Data!J$9</f>
        <v>142751.70010677198</v>
      </c>
      <c r="L448" s="182">
        <f>L447*Data!K$9</f>
        <v>131001.54867055896</v>
      </c>
      <c r="M448" s="182">
        <f>M447*Data!L$9</f>
        <v>119944.08388312746</v>
      </c>
      <c r="N448" s="182">
        <f>N447*Data!M$9</f>
        <v>109543.40403693245</v>
      </c>
      <c r="O448" s="182">
        <f>O447*Data!N$9</f>
        <v>99765.344409848447</v>
      </c>
      <c r="P448" s="182">
        <f>P447*Data!O$9</f>
        <v>90577.396759941083</v>
      </c>
      <c r="Q448" s="182">
        <f>Q447*Data!P$9</f>
        <v>86719.379575930172</v>
      </c>
      <c r="R448" s="182">
        <f>R447*Data!Q$9</f>
        <v>83032.67648012194</v>
      </c>
      <c r="S448" s="182">
        <f>S447*Data!R$9</f>
        <v>79509.261075084127</v>
      </c>
      <c r="T448" s="182">
        <f>T447*Data!S$9</f>
        <v>76141.507776839004</v>
      </c>
      <c r="U448" s="182">
        <f>U447*Data!T$9</f>
        <v>72922.170378096867</v>
      </c>
      <c r="V448" s="182">
        <f>V447*Data!U$9</f>
        <v>69844.361836476761</v>
      </c>
      <c r="W448" s="182">
        <f>W447*Data!V$9</f>
        <v>66901.535213565468</v>
      </c>
      <c r="X448" s="182">
        <f>X447*Data!W$9</f>
        <v>64087.465695363411</v>
      </c>
      <c r="Y448" s="182">
        <f>Y447*Data!X$9</f>
        <v>61396.233629057526</v>
      </c>
      <c r="Z448" s="182">
        <f>Z447*Data!Y$9</f>
        <v>58822.208515164617</v>
      </c>
      <c r="AA448" s="182">
        <f>AA447*Data!Z$9</f>
        <v>56360.033897923829</v>
      </c>
      <c r="AB448" s="182">
        <f>AB447*Data!AA$9</f>
        <v>54004.61310040181</v>
      </c>
      <c r="AC448" s="372">
        <f>AC447*Data!AB$9</f>
        <v>-58584.285882569689</v>
      </c>
      <c r="AD448" s="49"/>
      <c r="AE448" s="49"/>
      <c r="AF448" s="49"/>
      <c r="AG448" s="49"/>
      <c r="AH448" s="49"/>
      <c r="AI448" s="49"/>
      <c r="AJ448" s="49"/>
      <c r="AK448" s="49"/>
      <c r="AL448" s="49"/>
      <c r="AM448" s="49"/>
      <c r="AN448" s="49"/>
      <c r="AO448" s="49"/>
      <c r="AP448" s="50"/>
    </row>
    <row r="449" spans="1:42" outlineLevel="1" x14ac:dyDescent="0.25">
      <c r="A449" s="12"/>
      <c r="B449" s="13"/>
      <c r="C449" s="14" t="s">
        <v>479</v>
      </c>
      <c r="D449" s="14"/>
      <c r="E449" s="15" t="s">
        <v>54</v>
      </c>
      <c r="F449" s="16"/>
      <c r="G449" s="185">
        <f>SUM(H448:AC448)</f>
        <v>1728455.7647575799</v>
      </c>
      <c r="H449" s="165"/>
      <c r="I449" s="165"/>
      <c r="J449" s="165"/>
      <c r="K449" s="165"/>
      <c r="L449" s="165"/>
      <c r="M449" s="165"/>
      <c r="N449" s="165"/>
      <c r="O449" s="165"/>
      <c r="P449" s="165"/>
      <c r="Q449" s="165"/>
      <c r="R449" s="165"/>
      <c r="S449" s="165"/>
      <c r="T449" s="165"/>
      <c r="U449" s="165"/>
      <c r="V449" s="165"/>
      <c r="W449" s="28"/>
      <c r="X449" s="28"/>
      <c r="Y449" s="28"/>
      <c r="Z449" s="28"/>
      <c r="AA449" s="28"/>
      <c r="AB449" s="28"/>
      <c r="AC449" s="28"/>
      <c r="AD449" s="28"/>
      <c r="AE449" s="28"/>
      <c r="AF449" s="28"/>
      <c r="AG449" s="28"/>
      <c r="AH449" s="28"/>
      <c r="AI449" s="28"/>
      <c r="AJ449" s="28"/>
      <c r="AK449" s="28"/>
      <c r="AL449" s="28"/>
      <c r="AM449" s="28"/>
      <c r="AN449" s="28"/>
      <c r="AO449" s="28"/>
      <c r="AP449" s="29"/>
    </row>
    <row r="450" spans="1:42" outlineLevel="1" x14ac:dyDescent="0.25">
      <c r="A450" s="12"/>
      <c r="B450" s="13"/>
      <c r="C450" s="44" t="s">
        <v>481</v>
      </c>
      <c r="D450" s="45"/>
      <c r="E450" s="15" t="s">
        <v>261</v>
      </c>
      <c r="F450" s="16"/>
      <c r="G450" s="183">
        <f>G449/(SUM(H296:AN296))</f>
        <v>1.6787643402851398</v>
      </c>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9"/>
    </row>
    <row r="451" spans="1:42" outlineLevel="1" x14ac:dyDescent="0.25">
      <c r="A451" s="12"/>
      <c r="B451" s="13"/>
      <c r="C451" s="14"/>
      <c r="D451" s="14"/>
      <c r="E451" s="15"/>
      <c r="F451" s="16"/>
      <c r="G451" s="14"/>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17"/>
    </row>
    <row r="452" spans="1:42" outlineLevel="1" x14ac:dyDescent="0.25">
      <c r="A452" s="12"/>
      <c r="B452" s="13"/>
      <c r="C452" s="37" t="s">
        <v>515</v>
      </c>
      <c r="D452" s="37"/>
      <c r="E452" s="38"/>
      <c r="F452" s="39"/>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17"/>
    </row>
    <row r="453" spans="1:42" outlineLevel="1" x14ac:dyDescent="0.25">
      <c r="A453" s="12"/>
      <c r="B453" s="13"/>
      <c r="C453" s="14"/>
      <c r="D453" s="14"/>
      <c r="E453" s="15"/>
      <c r="F453" s="16"/>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row>
    <row r="454" spans="1:42" outlineLevel="1" x14ac:dyDescent="0.25">
      <c r="A454" s="12"/>
      <c r="B454" s="13"/>
      <c r="C454" s="20" t="s">
        <v>516</v>
      </c>
      <c r="D454" s="45"/>
      <c r="E454" s="15"/>
      <c r="F454" s="16"/>
      <c r="G454" s="165"/>
      <c r="H454" s="165"/>
      <c r="I454" s="165"/>
      <c r="J454" s="165"/>
      <c r="K454" s="165"/>
      <c r="L454" s="165"/>
      <c r="M454" s="165"/>
      <c r="N454" s="165"/>
      <c r="O454" s="165"/>
      <c r="P454" s="165"/>
      <c r="Q454" s="165"/>
      <c r="R454" s="165"/>
      <c r="S454" s="165"/>
      <c r="T454" s="165"/>
      <c r="U454" s="28"/>
      <c r="V454" s="28"/>
      <c r="W454" s="28"/>
      <c r="X454" s="28"/>
      <c r="Y454" s="28"/>
      <c r="Z454" s="28"/>
      <c r="AA454" s="28"/>
      <c r="AB454" s="28"/>
      <c r="AC454" s="28"/>
      <c r="AD454" s="28"/>
      <c r="AE454" s="28"/>
      <c r="AF454" s="28"/>
      <c r="AG454" s="28"/>
      <c r="AH454" s="28"/>
      <c r="AI454" s="28"/>
      <c r="AJ454" s="28"/>
      <c r="AK454" s="28"/>
      <c r="AL454" s="28"/>
      <c r="AM454" s="28"/>
      <c r="AN454" s="28"/>
      <c r="AO454" s="28"/>
      <c r="AP454" s="29"/>
    </row>
    <row r="455" spans="1:42" outlineLevel="1" x14ac:dyDescent="0.25">
      <c r="A455" s="12"/>
      <c r="B455" s="13"/>
      <c r="C455" s="45" t="s">
        <v>517</v>
      </c>
      <c r="D455" s="45"/>
      <c r="E455" s="15" t="s">
        <v>342</v>
      </c>
      <c r="F455" s="179">
        <f>Data!$E$396</f>
        <v>105600</v>
      </c>
      <c r="G455" s="165"/>
      <c r="H455" s="165"/>
      <c r="I455" s="165"/>
      <c r="J455" s="165"/>
      <c r="K455" s="165"/>
      <c r="L455" s="165"/>
      <c r="M455" s="165"/>
      <c r="N455" s="165"/>
      <c r="O455" s="165"/>
      <c r="P455" s="165"/>
      <c r="Q455" s="165"/>
      <c r="R455" s="165"/>
      <c r="S455" s="165"/>
      <c r="T455" s="165"/>
      <c r="U455" s="28"/>
      <c r="V455" s="28"/>
      <c r="W455" s="28"/>
      <c r="X455" s="28"/>
      <c r="Y455" s="28"/>
      <c r="Z455" s="28"/>
      <c r="AA455" s="28"/>
      <c r="AB455" s="28"/>
      <c r="AC455" s="28"/>
      <c r="AD455" s="28"/>
      <c r="AE455" s="28"/>
      <c r="AF455" s="28"/>
      <c r="AG455" s="28"/>
      <c r="AH455" s="28"/>
      <c r="AI455" s="28"/>
      <c r="AJ455" s="28"/>
      <c r="AK455" s="28"/>
      <c r="AL455" s="28"/>
      <c r="AM455" s="28"/>
      <c r="AN455" s="28"/>
      <c r="AO455" s="28"/>
      <c r="AP455" s="29"/>
    </row>
    <row r="456" spans="1:42" outlineLevel="1" x14ac:dyDescent="0.25">
      <c r="A456" s="12"/>
      <c r="B456" s="13"/>
      <c r="C456" s="45" t="s">
        <v>518</v>
      </c>
      <c r="D456" s="45"/>
      <c r="E456" s="15" t="s">
        <v>142</v>
      </c>
      <c r="F456" s="179"/>
      <c r="G456" s="186">
        <f>F455*Data!$G$16/1000</f>
        <v>9187.2000000000007</v>
      </c>
      <c r="H456" s="165"/>
      <c r="I456" s="165"/>
      <c r="J456" s="165"/>
      <c r="K456" s="165"/>
      <c r="L456" s="165"/>
      <c r="M456" s="165"/>
      <c r="N456" s="165"/>
      <c r="O456" s="165"/>
      <c r="P456" s="165"/>
      <c r="Q456" s="165"/>
      <c r="R456" s="165"/>
      <c r="S456" s="165"/>
      <c r="T456" s="165"/>
      <c r="U456" s="28"/>
      <c r="V456" s="28"/>
      <c r="W456" s="28"/>
      <c r="X456" s="28"/>
      <c r="Y456" s="28"/>
      <c r="Z456" s="28"/>
      <c r="AA456" s="28"/>
      <c r="AB456" s="28"/>
      <c r="AC456" s="28"/>
      <c r="AD456" s="28"/>
      <c r="AE456" s="28"/>
      <c r="AF456" s="28"/>
      <c r="AG456" s="28"/>
      <c r="AH456" s="28"/>
      <c r="AI456" s="28"/>
      <c r="AJ456" s="28"/>
      <c r="AK456" s="28"/>
      <c r="AL456" s="28"/>
      <c r="AM456" s="28"/>
      <c r="AN456" s="28"/>
      <c r="AO456" s="28"/>
      <c r="AP456" s="29"/>
    </row>
    <row r="457" spans="1:42" outlineLevel="1" x14ac:dyDescent="0.25">
      <c r="A457" s="12"/>
      <c r="B457" s="13"/>
      <c r="C457" s="45" t="s">
        <v>518</v>
      </c>
      <c r="D457" s="45"/>
      <c r="E457" s="15" t="s">
        <v>261</v>
      </c>
      <c r="F457" s="179"/>
      <c r="G457" s="184">
        <f>G456/(SUM(I296:AN296))</f>
        <v>8.9230769230769242E-3</v>
      </c>
      <c r="H457" s="165"/>
      <c r="I457" s="165"/>
      <c r="J457" s="165"/>
      <c r="K457" s="165"/>
      <c r="L457" s="165"/>
      <c r="M457" s="165"/>
      <c r="N457" s="165"/>
      <c r="O457" s="165"/>
      <c r="P457" s="165"/>
      <c r="Q457" s="165"/>
      <c r="R457" s="165"/>
      <c r="S457" s="165"/>
      <c r="T457" s="165"/>
      <c r="U457" s="28"/>
      <c r="V457" s="28"/>
      <c r="W457" s="28"/>
      <c r="X457" s="28"/>
      <c r="Y457" s="28"/>
      <c r="Z457" s="28"/>
      <c r="AA457" s="28"/>
      <c r="AB457" s="28"/>
      <c r="AC457" s="28"/>
      <c r="AD457" s="28"/>
      <c r="AE457" s="28"/>
      <c r="AF457" s="28"/>
      <c r="AG457" s="28"/>
      <c r="AH457" s="28"/>
      <c r="AI457" s="28"/>
      <c r="AJ457" s="28"/>
      <c r="AK457" s="28"/>
      <c r="AL457" s="28"/>
      <c r="AM457" s="28"/>
      <c r="AN457" s="28"/>
      <c r="AO457" s="28"/>
      <c r="AP457" s="29"/>
    </row>
    <row r="458" spans="1:42" outlineLevel="1" x14ac:dyDescent="0.25">
      <c r="A458" s="12"/>
      <c r="B458" s="13"/>
      <c r="C458" s="20"/>
      <c r="D458" s="19"/>
      <c r="E458" s="15"/>
      <c r="F458" s="16"/>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7"/>
    </row>
    <row r="459" spans="1:42" outlineLevel="1" x14ac:dyDescent="0.25">
      <c r="A459" s="12"/>
      <c r="B459" s="13"/>
      <c r="C459" s="20" t="s">
        <v>519</v>
      </c>
      <c r="D459" s="19"/>
      <c r="E459" s="15"/>
      <c r="F459" s="16"/>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7"/>
    </row>
    <row r="460" spans="1:42" outlineLevel="1" x14ac:dyDescent="0.25">
      <c r="A460" s="12"/>
      <c r="B460" s="13"/>
      <c r="C460" t="s">
        <v>520</v>
      </c>
      <c r="D460" s="14"/>
      <c r="E460" s="15" t="s">
        <v>521</v>
      </c>
      <c r="F460" s="16"/>
      <c r="G460" s="14"/>
      <c r="H460" s="141"/>
      <c r="I460" s="141">
        <f t="shared" ref="I460:AD460" si="114">I296</f>
        <v>51480</v>
      </c>
      <c r="J460" s="141">
        <f t="shared" si="114"/>
        <v>51480</v>
      </c>
      <c r="K460" s="141">
        <f t="shared" si="114"/>
        <v>51480</v>
      </c>
      <c r="L460" s="141">
        <f t="shared" si="114"/>
        <v>51480</v>
      </c>
      <c r="M460" s="141">
        <f t="shared" si="114"/>
        <v>51480</v>
      </c>
      <c r="N460" s="141">
        <f t="shared" si="114"/>
        <v>51480</v>
      </c>
      <c r="O460" s="141">
        <f t="shared" si="114"/>
        <v>51480</v>
      </c>
      <c r="P460" s="141">
        <f t="shared" si="114"/>
        <v>51480</v>
      </c>
      <c r="Q460" s="141">
        <f t="shared" si="114"/>
        <v>51480</v>
      </c>
      <c r="R460" s="141">
        <f t="shared" si="114"/>
        <v>51480</v>
      </c>
      <c r="S460" s="141">
        <f t="shared" si="114"/>
        <v>51480</v>
      </c>
      <c r="T460" s="141">
        <f t="shared" si="114"/>
        <v>51480</v>
      </c>
      <c r="U460" s="141">
        <f t="shared" si="114"/>
        <v>51480</v>
      </c>
      <c r="V460" s="141">
        <f t="shared" si="114"/>
        <v>51480</v>
      </c>
      <c r="W460" s="141">
        <f t="shared" si="114"/>
        <v>51480</v>
      </c>
      <c r="X460" s="141">
        <f t="shared" si="114"/>
        <v>51480</v>
      </c>
      <c r="Y460" s="141">
        <f t="shared" si="114"/>
        <v>51480</v>
      </c>
      <c r="Z460" s="141">
        <f t="shared" si="114"/>
        <v>51480</v>
      </c>
      <c r="AA460" s="141">
        <f t="shared" si="114"/>
        <v>51480</v>
      </c>
      <c r="AB460" s="141">
        <f t="shared" si="114"/>
        <v>51480</v>
      </c>
      <c r="AC460" s="141">
        <f t="shared" si="114"/>
        <v>0</v>
      </c>
      <c r="AD460" s="141">
        <f t="shared" si="114"/>
        <v>0</v>
      </c>
      <c r="AE460" s="141">
        <f t="shared" ref="AE460:AN460" si="115">AE417</f>
        <v>0</v>
      </c>
      <c r="AF460" s="141">
        <f t="shared" si="115"/>
        <v>0</v>
      </c>
      <c r="AG460" s="141">
        <f t="shared" si="115"/>
        <v>0</v>
      </c>
      <c r="AH460" s="141">
        <f t="shared" si="115"/>
        <v>0</v>
      </c>
      <c r="AI460" s="141">
        <f t="shared" si="115"/>
        <v>0</v>
      </c>
      <c r="AJ460" s="141">
        <f t="shared" si="115"/>
        <v>0</v>
      </c>
      <c r="AK460" s="141">
        <f t="shared" si="115"/>
        <v>0</v>
      </c>
      <c r="AL460" s="141">
        <f t="shared" si="115"/>
        <v>0</v>
      </c>
      <c r="AM460" s="141">
        <f t="shared" si="115"/>
        <v>0</v>
      </c>
      <c r="AN460" s="141">
        <f t="shared" si="115"/>
        <v>0</v>
      </c>
      <c r="AO460" s="141"/>
      <c r="AP460" s="14"/>
    </row>
    <row r="461" spans="1:42" outlineLevel="1" x14ac:dyDescent="0.25">
      <c r="A461" s="12"/>
      <c r="B461" s="13"/>
      <c r="C461" s="20" t="s">
        <v>483</v>
      </c>
      <c r="D461" s="14"/>
      <c r="E461" s="15"/>
      <c r="F461" s="16"/>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159"/>
      <c r="AG461" s="14"/>
      <c r="AH461" s="14"/>
      <c r="AI461" s="14"/>
      <c r="AJ461" s="14"/>
      <c r="AK461" s="14"/>
      <c r="AL461" s="14"/>
      <c r="AM461" s="14"/>
      <c r="AN461" s="14"/>
      <c r="AO461" s="14"/>
      <c r="AP461" s="14"/>
    </row>
    <row r="462" spans="1:42" ht="14.25" customHeight="1" outlineLevel="1" x14ac:dyDescent="0.25">
      <c r="A462" s="54"/>
      <c r="B462" s="13"/>
      <c r="C462" s="14" t="s">
        <v>205</v>
      </c>
      <c r="D462" s="14"/>
      <c r="E462" s="70" t="s">
        <v>352</v>
      </c>
      <c r="F462" s="201">
        <f>Data!E535/1000</f>
        <v>0</v>
      </c>
      <c r="G462" s="56"/>
      <c r="H462" s="56"/>
      <c r="I462" s="56">
        <f t="shared" ref="I462:I468" si="116">I$460*$F462</f>
        <v>0</v>
      </c>
      <c r="J462" s="56">
        <f t="shared" ref="J462:AC468" si="117">J$460*$F462</f>
        <v>0</v>
      </c>
      <c r="K462" s="56">
        <f t="shared" si="117"/>
        <v>0</v>
      </c>
      <c r="L462" s="56">
        <f t="shared" si="117"/>
        <v>0</v>
      </c>
      <c r="M462" s="56">
        <f t="shared" si="117"/>
        <v>0</v>
      </c>
      <c r="N462" s="56">
        <f t="shared" si="117"/>
        <v>0</v>
      </c>
      <c r="O462" s="56">
        <f t="shared" si="117"/>
        <v>0</v>
      </c>
      <c r="P462" s="56">
        <f t="shared" si="117"/>
        <v>0</v>
      </c>
      <c r="Q462" s="56">
        <f t="shared" si="117"/>
        <v>0</v>
      </c>
      <c r="R462" s="56">
        <f t="shared" si="117"/>
        <v>0</v>
      </c>
      <c r="S462" s="56">
        <f t="shared" si="117"/>
        <v>0</v>
      </c>
      <c r="T462" s="56">
        <f t="shared" si="117"/>
        <v>0</v>
      </c>
      <c r="U462" s="56">
        <f t="shared" si="117"/>
        <v>0</v>
      </c>
      <c r="V462" s="56">
        <f t="shared" si="117"/>
        <v>0</v>
      </c>
      <c r="W462" s="56">
        <f t="shared" si="117"/>
        <v>0</v>
      </c>
      <c r="X462" s="56">
        <f t="shared" si="117"/>
        <v>0</v>
      </c>
      <c r="Y462" s="56">
        <f t="shared" si="117"/>
        <v>0</v>
      </c>
      <c r="Z462" s="56">
        <f t="shared" si="117"/>
        <v>0</v>
      </c>
      <c r="AA462" s="56">
        <f t="shared" si="117"/>
        <v>0</v>
      </c>
      <c r="AB462" s="56">
        <f t="shared" si="117"/>
        <v>0</v>
      </c>
      <c r="AC462" s="56">
        <f t="shared" si="117"/>
        <v>0</v>
      </c>
      <c r="AD462" s="56"/>
      <c r="AE462" s="56"/>
      <c r="AF462" s="56"/>
      <c r="AG462" s="56"/>
      <c r="AH462" s="56"/>
      <c r="AI462" s="56"/>
      <c r="AJ462" s="56"/>
      <c r="AK462" s="56"/>
      <c r="AL462" s="56"/>
      <c r="AM462" s="56"/>
      <c r="AN462" s="56"/>
      <c r="AO462" s="56"/>
      <c r="AP462" s="29"/>
    </row>
    <row r="463" spans="1:42" outlineLevel="1" x14ac:dyDescent="0.25">
      <c r="A463" s="54"/>
      <c r="B463" s="13"/>
      <c r="C463" s="14" t="s">
        <v>484</v>
      </c>
      <c r="D463" s="14"/>
      <c r="E463" s="70" t="s">
        <v>352</v>
      </c>
      <c r="F463" s="223">
        <f>Data!E536</f>
        <v>0</v>
      </c>
      <c r="G463" s="56"/>
      <c r="H463" s="56"/>
      <c r="I463" s="56">
        <f t="shared" si="116"/>
        <v>0</v>
      </c>
      <c r="J463" s="56">
        <f t="shared" si="117"/>
        <v>0</v>
      </c>
      <c r="K463" s="56">
        <f t="shared" si="117"/>
        <v>0</v>
      </c>
      <c r="L463" s="56">
        <f t="shared" si="117"/>
        <v>0</v>
      </c>
      <c r="M463" s="56">
        <f t="shared" si="117"/>
        <v>0</v>
      </c>
      <c r="N463" s="56">
        <f t="shared" si="117"/>
        <v>0</v>
      </c>
      <c r="O463" s="56">
        <f t="shared" si="117"/>
        <v>0</v>
      </c>
      <c r="P463" s="56">
        <f t="shared" si="117"/>
        <v>0</v>
      </c>
      <c r="Q463" s="56">
        <f t="shared" si="117"/>
        <v>0</v>
      </c>
      <c r="R463" s="56">
        <f t="shared" si="117"/>
        <v>0</v>
      </c>
      <c r="S463" s="56">
        <f t="shared" si="117"/>
        <v>0</v>
      </c>
      <c r="T463" s="56">
        <f t="shared" si="117"/>
        <v>0</v>
      </c>
      <c r="U463" s="56">
        <f t="shared" si="117"/>
        <v>0</v>
      </c>
      <c r="V463" s="56">
        <f t="shared" si="117"/>
        <v>0</v>
      </c>
      <c r="W463" s="56">
        <f t="shared" si="117"/>
        <v>0</v>
      </c>
      <c r="X463" s="56">
        <f t="shared" si="117"/>
        <v>0</v>
      </c>
      <c r="Y463" s="56">
        <f t="shared" si="117"/>
        <v>0</v>
      </c>
      <c r="Z463" s="56">
        <f t="shared" si="117"/>
        <v>0</v>
      </c>
      <c r="AA463" s="56">
        <f t="shared" si="117"/>
        <v>0</v>
      </c>
      <c r="AB463" s="56">
        <f t="shared" si="117"/>
        <v>0</v>
      </c>
      <c r="AC463" s="56">
        <f t="shared" si="117"/>
        <v>0</v>
      </c>
      <c r="AD463" s="56"/>
      <c r="AE463" s="56"/>
      <c r="AF463" s="56"/>
      <c r="AG463" s="56"/>
      <c r="AH463" s="56"/>
      <c r="AI463" s="56"/>
      <c r="AJ463" s="56"/>
      <c r="AK463" s="56"/>
      <c r="AL463" s="56"/>
      <c r="AM463" s="56"/>
      <c r="AN463" s="56"/>
      <c r="AO463" s="56"/>
      <c r="AP463" s="29"/>
    </row>
    <row r="464" spans="1:42" outlineLevel="1" x14ac:dyDescent="0.25">
      <c r="A464" s="54"/>
      <c r="B464" s="13"/>
      <c r="C464" s="14" t="s">
        <v>285</v>
      </c>
      <c r="D464" s="14"/>
      <c r="E464" s="70" t="s">
        <v>352</v>
      </c>
      <c r="F464" s="201">
        <f>Data!E537/1000</f>
        <v>0</v>
      </c>
      <c r="G464" s="56"/>
      <c r="H464" s="56"/>
      <c r="I464" s="56">
        <f t="shared" si="116"/>
        <v>0</v>
      </c>
      <c r="J464" s="56">
        <f t="shared" si="117"/>
        <v>0</v>
      </c>
      <c r="K464" s="56">
        <f t="shared" si="117"/>
        <v>0</v>
      </c>
      <c r="L464" s="56">
        <f t="shared" si="117"/>
        <v>0</v>
      </c>
      <c r="M464" s="56">
        <f t="shared" si="117"/>
        <v>0</v>
      </c>
      <c r="N464" s="56">
        <f t="shared" si="117"/>
        <v>0</v>
      </c>
      <c r="O464" s="56">
        <f t="shared" si="117"/>
        <v>0</v>
      </c>
      <c r="P464" s="56">
        <f t="shared" si="117"/>
        <v>0</v>
      </c>
      <c r="Q464" s="56">
        <f t="shared" si="117"/>
        <v>0</v>
      </c>
      <c r="R464" s="56">
        <f t="shared" si="117"/>
        <v>0</v>
      </c>
      <c r="S464" s="56">
        <f t="shared" si="117"/>
        <v>0</v>
      </c>
      <c r="T464" s="56">
        <f t="shared" si="117"/>
        <v>0</v>
      </c>
      <c r="U464" s="56">
        <f t="shared" si="117"/>
        <v>0</v>
      </c>
      <c r="V464" s="56">
        <f t="shared" si="117"/>
        <v>0</v>
      </c>
      <c r="W464" s="56">
        <f t="shared" si="117"/>
        <v>0</v>
      </c>
      <c r="X464" s="56">
        <f t="shared" si="117"/>
        <v>0</v>
      </c>
      <c r="Y464" s="56">
        <f t="shared" si="117"/>
        <v>0</v>
      </c>
      <c r="Z464" s="56">
        <f t="shared" si="117"/>
        <v>0</v>
      </c>
      <c r="AA464" s="56">
        <f t="shared" si="117"/>
        <v>0</v>
      </c>
      <c r="AB464" s="56">
        <f t="shared" si="117"/>
        <v>0</v>
      </c>
      <c r="AC464" s="56">
        <f t="shared" si="117"/>
        <v>0</v>
      </c>
      <c r="AD464" s="56"/>
      <c r="AE464" s="56"/>
      <c r="AF464" s="56"/>
      <c r="AG464" s="56"/>
      <c r="AH464" s="56"/>
      <c r="AI464" s="56"/>
      <c r="AJ464" s="56"/>
      <c r="AK464" s="56"/>
      <c r="AL464" s="56"/>
      <c r="AM464" s="56"/>
      <c r="AN464" s="56"/>
      <c r="AO464" s="56"/>
      <c r="AP464" s="29"/>
    </row>
    <row r="465" spans="1:42" outlineLevel="1" x14ac:dyDescent="0.25">
      <c r="A465" s="54"/>
      <c r="B465" s="13"/>
      <c r="C465" s="14" t="s">
        <v>220</v>
      </c>
      <c r="D465" s="14"/>
      <c r="E465" s="70" t="s">
        <v>352</v>
      </c>
      <c r="F465" s="201">
        <f>Data!E538/1000</f>
        <v>0</v>
      </c>
      <c r="G465" s="56"/>
      <c r="H465" s="56"/>
      <c r="I465" s="56">
        <f t="shared" si="116"/>
        <v>0</v>
      </c>
      <c r="J465" s="56">
        <f t="shared" si="117"/>
        <v>0</v>
      </c>
      <c r="K465" s="56">
        <f t="shared" si="117"/>
        <v>0</v>
      </c>
      <c r="L465" s="56">
        <f t="shared" si="117"/>
        <v>0</v>
      </c>
      <c r="M465" s="56">
        <f t="shared" si="117"/>
        <v>0</v>
      </c>
      <c r="N465" s="56">
        <f t="shared" si="117"/>
        <v>0</v>
      </c>
      <c r="O465" s="56">
        <f t="shared" si="117"/>
        <v>0</v>
      </c>
      <c r="P465" s="56">
        <f t="shared" si="117"/>
        <v>0</v>
      </c>
      <c r="Q465" s="56">
        <f t="shared" si="117"/>
        <v>0</v>
      </c>
      <c r="R465" s="56">
        <f t="shared" si="117"/>
        <v>0</v>
      </c>
      <c r="S465" s="56">
        <f t="shared" si="117"/>
        <v>0</v>
      </c>
      <c r="T465" s="56">
        <f t="shared" si="117"/>
        <v>0</v>
      </c>
      <c r="U465" s="56">
        <f t="shared" si="117"/>
        <v>0</v>
      </c>
      <c r="V465" s="56">
        <f t="shared" si="117"/>
        <v>0</v>
      </c>
      <c r="W465" s="56">
        <f t="shared" si="117"/>
        <v>0</v>
      </c>
      <c r="X465" s="56">
        <f t="shared" si="117"/>
        <v>0</v>
      </c>
      <c r="Y465" s="56">
        <f t="shared" si="117"/>
        <v>0</v>
      </c>
      <c r="Z465" s="56">
        <f t="shared" si="117"/>
        <v>0</v>
      </c>
      <c r="AA465" s="56">
        <f t="shared" si="117"/>
        <v>0</v>
      </c>
      <c r="AB465" s="56">
        <f t="shared" si="117"/>
        <v>0</v>
      </c>
      <c r="AC465" s="56">
        <f t="shared" si="117"/>
        <v>0</v>
      </c>
      <c r="AD465" s="56"/>
      <c r="AE465" s="56"/>
      <c r="AF465" s="56"/>
      <c r="AG465" s="56"/>
      <c r="AH465" s="56"/>
      <c r="AI465" s="56"/>
      <c r="AJ465" s="56"/>
      <c r="AK465" s="56"/>
      <c r="AL465" s="56"/>
      <c r="AM465" s="56"/>
      <c r="AN465" s="56"/>
      <c r="AO465" s="56"/>
      <c r="AP465" s="29"/>
    </row>
    <row r="466" spans="1:42" outlineLevel="1" x14ac:dyDescent="0.25">
      <c r="A466" s="54"/>
      <c r="B466" s="13"/>
      <c r="C466" s="14" t="s">
        <v>212</v>
      </c>
      <c r="D466" s="14"/>
      <c r="E466" s="70" t="s">
        <v>352</v>
      </c>
      <c r="F466" s="201">
        <f>Data!E539/1000</f>
        <v>0</v>
      </c>
      <c r="G466" s="56"/>
      <c r="H466" s="56"/>
      <c r="I466" s="56">
        <f t="shared" si="116"/>
        <v>0</v>
      </c>
      <c r="J466" s="56">
        <f t="shared" si="117"/>
        <v>0</v>
      </c>
      <c r="K466" s="56">
        <f t="shared" si="117"/>
        <v>0</v>
      </c>
      <c r="L466" s="56">
        <f t="shared" si="117"/>
        <v>0</v>
      </c>
      <c r="M466" s="56">
        <f t="shared" si="117"/>
        <v>0</v>
      </c>
      <c r="N466" s="56">
        <f t="shared" si="117"/>
        <v>0</v>
      </c>
      <c r="O466" s="56">
        <f t="shared" si="117"/>
        <v>0</v>
      </c>
      <c r="P466" s="56">
        <f t="shared" si="117"/>
        <v>0</v>
      </c>
      <c r="Q466" s="56">
        <f t="shared" si="117"/>
        <v>0</v>
      </c>
      <c r="R466" s="56">
        <f t="shared" si="117"/>
        <v>0</v>
      </c>
      <c r="S466" s="56">
        <f t="shared" si="117"/>
        <v>0</v>
      </c>
      <c r="T466" s="56">
        <f t="shared" si="117"/>
        <v>0</v>
      </c>
      <c r="U466" s="56">
        <f t="shared" si="117"/>
        <v>0</v>
      </c>
      <c r="V466" s="56">
        <f t="shared" si="117"/>
        <v>0</v>
      </c>
      <c r="W466" s="56">
        <f t="shared" si="117"/>
        <v>0</v>
      </c>
      <c r="X466" s="56">
        <f t="shared" si="117"/>
        <v>0</v>
      </c>
      <c r="Y466" s="56">
        <f t="shared" si="117"/>
        <v>0</v>
      </c>
      <c r="Z466" s="56">
        <f t="shared" si="117"/>
        <v>0</v>
      </c>
      <c r="AA466" s="56">
        <f t="shared" si="117"/>
        <v>0</v>
      </c>
      <c r="AB466" s="56">
        <f t="shared" si="117"/>
        <v>0</v>
      </c>
      <c r="AC466" s="56">
        <f t="shared" si="117"/>
        <v>0</v>
      </c>
      <c r="AD466" s="56"/>
      <c r="AE466" s="56"/>
      <c r="AF466" s="56"/>
      <c r="AG466" s="56"/>
      <c r="AH466" s="56"/>
      <c r="AI466" s="56"/>
      <c r="AJ466" s="56"/>
      <c r="AK466" s="56"/>
      <c r="AL466" s="56"/>
      <c r="AM466" s="56"/>
      <c r="AN466" s="56"/>
      <c r="AO466" s="56"/>
      <c r="AP466" s="29"/>
    </row>
    <row r="467" spans="1:42" outlineLevel="1" x14ac:dyDescent="0.25">
      <c r="A467" s="54"/>
      <c r="B467" s="13"/>
      <c r="C467" s="14" t="s">
        <v>485</v>
      </c>
      <c r="D467" s="14"/>
      <c r="E467" s="70" t="s">
        <v>352</v>
      </c>
      <c r="F467" s="201">
        <f>Data!E540/1000</f>
        <v>0</v>
      </c>
      <c r="G467" s="56"/>
      <c r="H467" s="56"/>
      <c r="I467" s="56">
        <f t="shared" si="116"/>
        <v>0</v>
      </c>
      <c r="J467" s="56">
        <f t="shared" si="117"/>
        <v>0</v>
      </c>
      <c r="K467" s="56">
        <f t="shared" si="117"/>
        <v>0</v>
      </c>
      <c r="L467" s="56">
        <f t="shared" si="117"/>
        <v>0</v>
      </c>
      <c r="M467" s="56">
        <f t="shared" si="117"/>
        <v>0</v>
      </c>
      <c r="N467" s="56">
        <f t="shared" si="117"/>
        <v>0</v>
      </c>
      <c r="O467" s="56">
        <f t="shared" si="117"/>
        <v>0</v>
      </c>
      <c r="P467" s="56">
        <f t="shared" si="117"/>
        <v>0</v>
      </c>
      <c r="Q467" s="56">
        <f t="shared" si="117"/>
        <v>0</v>
      </c>
      <c r="R467" s="56">
        <f t="shared" si="117"/>
        <v>0</v>
      </c>
      <c r="S467" s="56">
        <f t="shared" si="117"/>
        <v>0</v>
      </c>
      <c r="T467" s="56">
        <f t="shared" si="117"/>
        <v>0</v>
      </c>
      <c r="U467" s="56">
        <f t="shared" si="117"/>
        <v>0</v>
      </c>
      <c r="V467" s="56">
        <f t="shared" si="117"/>
        <v>0</v>
      </c>
      <c r="W467" s="56">
        <f t="shared" si="117"/>
        <v>0</v>
      </c>
      <c r="X467" s="56">
        <f t="shared" si="117"/>
        <v>0</v>
      </c>
      <c r="Y467" s="56">
        <f t="shared" si="117"/>
        <v>0</v>
      </c>
      <c r="Z467" s="56">
        <f t="shared" si="117"/>
        <v>0</v>
      </c>
      <c r="AA467" s="56">
        <f t="shared" si="117"/>
        <v>0</v>
      </c>
      <c r="AB467" s="56">
        <f t="shared" si="117"/>
        <v>0</v>
      </c>
      <c r="AC467" s="56">
        <f t="shared" si="117"/>
        <v>0</v>
      </c>
      <c r="AD467" s="56"/>
      <c r="AE467" s="56"/>
      <c r="AF467" s="56"/>
      <c r="AG467" s="56"/>
      <c r="AH467" s="56"/>
      <c r="AI467" s="56"/>
      <c r="AJ467" s="56"/>
      <c r="AK467" s="56"/>
      <c r="AL467" s="56"/>
      <c r="AM467" s="56"/>
      <c r="AN467" s="56"/>
      <c r="AO467" s="56"/>
      <c r="AP467" s="29"/>
    </row>
    <row r="468" spans="1:42" outlineLevel="1" x14ac:dyDescent="0.25">
      <c r="A468" s="54"/>
      <c r="B468" s="13"/>
      <c r="C468" s="14" t="s">
        <v>214</v>
      </c>
      <c r="D468" s="14"/>
      <c r="E468" s="70" t="s">
        <v>352</v>
      </c>
      <c r="F468" s="201">
        <f>Data!E541/1000</f>
        <v>0</v>
      </c>
      <c r="G468" s="56"/>
      <c r="H468" s="56"/>
      <c r="I468" s="56">
        <f t="shared" si="116"/>
        <v>0</v>
      </c>
      <c r="J468" s="56">
        <f t="shared" si="117"/>
        <v>0</v>
      </c>
      <c r="K468" s="56">
        <f t="shared" si="117"/>
        <v>0</v>
      </c>
      <c r="L468" s="56">
        <f t="shared" si="117"/>
        <v>0</v>
      </c>
      <c r="M468" s="56">
        <f t="shared" si="117"/>
        <v>0</v>
      </c>
      <c r="N468" s="56">
        <f t="shared" si="117"/>
        <v>0</v>
      </c>
      <c r="O468" s="56">
        <f t="shared" si="117"/>
        <v>0</v>
      </c>
      <c r="P468" s="56">
        <f t="shared" si="117"/>
        <v>0</v>
      </c>
      <c r="Q468" s="56">
        <f t="shared" si="117"/>
        <v>0</v>
      </c>
      <c r="R468" s="56">
        <f t="shared" si="117"/>
        <v>0</v>
      </c>
      <c r="S468" s="56">
        <f t="shared" si="117"/>
        <v>0</v>
      </c>
      <c r="T468" s="56">
        <f t="shared" si="117"/>
        <v>0</v>
      </c>
      <c r="U468" s="56">
        <f t="shared" si="117"/>
        <v>0</v>
      </c>
      <c r="V468" s="56">
        <f t="shared" si="117"/>
        <v>0</v>
      </c>
      <c r="W468" s="56">
        <f t="shared" si="117"/>
        <v>0</v>
      </c>
      <c r="X468" s="56">
        <f t="shared" si="117"/>
        <v>0</v>
      </c>
      <c r="Y468" s="56">
        <f t="shared" si="117"/>
        <v>0</v>
      </c>
      <c r="Z468" s="56">
        <f t="shared" si="117"/>
        <v>0</v>
      </c>
      <c r="AA468" s="56">
        <f t="shared" si="117"/>
        <v>0</v>
      </c>
      <c r="AB468" s="56">
        <f t="shared" si="117"/>
        <v>0</v>
      </c>
      <c r="AC468" s="56">
        <f t="shared" si="117"/>
        <v>0</v>
      </c>
      <c r="AD468" s="56"/>
      <c r="AE468" s="56"/>
      <c r="AF468" s="56"/>
      <c r="AG468" s="56"/>
      <c r="AH468" s="56"/>
      <c r="AI468" s="56"/>
      <c r="AJ468" s="56"/>
      <c r="AK468" s="56"/>
      <c r="AL468" s="56"/>
      <c r="AM468" s="56"/>
      <c r="AN468" s="56"/>
      <c r="AO468" s="56"/>
      <c r="AP468" s="29"/>
    </row>
    <row r="469" spans="1:42" outlineLevel="1" x14ac:dyDescent="0.25">
      <c r="A469" s="12"/>
      <c r="B469" s="13"/>
      <c r="C469" s="14"/>
      <c r="D469" s="14"/>
      <c r="E469" s="15"/>
      <c r="F469" s="16"/>
      <c r="G469" s="159"/>
      <c r="H469" s="159"/>
      <c r="I469" s="56"/>
      <c r="J469" s="56"/>
      <c r="K469" s="56"/>
      <c r="L469" s="56"/>
      <c r="M469" s="56"/>
      <c r="N469" s="56"/>
      <c r="O469" s="56"/>
      <c r="P469" s="56"/>
      <c r="Q469" s="56"/>
      <c r="R469" s="56"/>
      <c r="S469" s="56"/>
      <c r="T469" s="56"/>
      <c r="U469" s="56"/>
      <c r="V469" s="56"/>
      <c r="W469" s="56"/>
      <c r="X469" s="56"/>
      <c r="Y469" s="56"/>
      <c r="Z469" s="56"/>
      <c r="AA469" s="56"/>
      <c r="AB469" s="56"/>
      <c r="AC469" s="14"/>
      <c r="AD469" s="14"/>
      <c r="AE469" s="14"/>
      <c r="AF469" s="14"/>
      <c r="AG469" s="14"/>
      <c r="AH469" s="14"/>
      <c r="AI469" s="14"/>
      <c r="AJ469" s="14"/>
      <c r="AK469" s="14"/>
      <c r="AL469" s="14"/>
      <c r="AM469" s="14"/>
      <c r="AN469" s="14"/>
      <c r="AO469" s="14"/>
      <c r="AP469" s="14"/>
    </row>
    <row r="470" spans="1:42" outlineLevel="1" x14ac:dyDescent="0.25">
      <c r="A470" s="54"/>
      <c r="B470" s="13"/>
      <c r="C470" s="14" t="s">
        <v>205</v>
      </c>
      <c r="D470" s="14"/>
      <c r="E470" s="70" t="s">
        <v>474</v>
      </c>
      <c r="F470" s="200">
        <f>Data!$E$35/1000</f>
        <v>3.4099438202247192E-3</v>
      </c>
      <c r="G470" s="56"/>
      <c r="H470" s="56"/>
      <c r="I470" s="56">
        <f>I462*$F470</f>
        <v>0</v>
      </c>
      <c r="J470" s="56">
        <f t="shared" ref="J470:AC470" si="118">J462*$F470</f>
        <v>0</v>
      </c>
      <c r="K470" s="56">
        <f t="shared" si="118"/>
        <v>0</v>
      </c>
      <c r="L470" s="56">
        <f t="shared" si="118"/>
        <v>0</v>
      </c>
      <c r="M470" s="56">
        <f t="shared" si="118"/>
        <v>0</v>
      </c>
      <c r="N470" s="56">
        <f t="shared" si="118"/>
        <v>0</v>
      </c>
      <c r="O470" s="56">
        <f t="shared" si="118"/>
        <v>0</v>
      </c>
      <c r="P470" s="56">
        <f t="shared" si="118"/>
        <v>0</v>
      </c>
      <c r="Q470" s="56">
        <f t="shared" si="118"/>
        <v>0</v>
      </c>
      <c r="R470" s="56">
        <f t="shared" si="118"/>
        <v>0</v>
      </c>
      <c r="S470" s="56">
        <f t="shared" si="118"/>
        <v>0</v>
      </c>
      <c r="T470" s="56">
        <f t="shared" si="118"/>
        <v>0</v>
      </c>
      <c r="U470" s="56">
        <f t="shared" si="118"/>
        <v>0</v>
      </c>
      <c r="V470" s="56">
        <f t="shared" si="118"/>
        <v>0</v>
      </c>
      <c r="W470" s="56">
        <f t="shared" si="118"/>
        <v>0</v>
      </c>
      <c r="X470" s="56">
        <f t="shared" si="118"/>
        <v>0</v>
      </c>
      <c r="Y470" s="56">
        <f t="shared" si="118"/>
        <v>0</v>
      </c>
      <c r="Z470" s="56">
        <f t="shared" si="118"/>
        <v>0</v>
      </c>
      <c r="AA470" s="56">
        <f t="shared" si="118"/>
        <v>0</v>
      </c>
      <c r="AB470" s="56">
        <f t="shared" si="118"/>
        <v>0</v>
      </c>
      <c r="AC470" s="56">
        <f t="shared" si="118"/>
        <v>0</v>
      </c>
      <c r="AD470" s="56"/>
      <c r="AE470" s="56"/>
      <c r="AF470" s="56"/>
      <c r="AG470" s="56"/>
      <c r="AH470" s="56"/>
      <c r="AI470" s="56"/>
      <c r="AJ470" s="56"/>
      <c r="AK470" s="56"/>
      <c r="AL470" s="56"/>
      <c r="AM470" s="56"/>
      <c r="AN470" s="56"/>
      <c r="AO470" s="56"/>
      <c r="AP470" s="29"/>
    </row>
    <row r="471" spans="1:42" outlineLevel="1" x14ac:dyDescent="0.25">
      <c r="A471" s="54"/>
      <c r="B471" s="13"/>
      <c r="C471" s="14" t="s">
        <v>484</v>
      </c>
      <c r="D471" s="14"/>
      <c r="E471" s="70" t="s">
        <v>474</v>
      </c>
      <c r="F471" s="200"/>
      <c r="G471" s="56"/>
      <c r="H471" s="56"/>
      <c r="I471" s="56">
        <f>I463*Data!H$16/1000</f>
        <v>0</v>
      </c>
      <c r="J471" s="56">
        <f>J463*Data!I$16/1000</f>
        <v>0</v>
      </c>
      <c r="K471" s="56">
        <f>K463*Data!J$16/1000</f>
        <v>0</v>
      </c>
      <c r="L471" s="56">
        <f>L463*Data!K$16/1000</f>
        <v>0</v>
      </c>
      <c r="M471" s="56">
        <f>M463*Data!L$16/1000</f>
        <v>0</v>
      </c>
      <c r="N471" s="56">
        <f>N463*Data!M$16/1000</f>
        <v>0</v>
      </c>
      <c r="O471" s="56">
        <f>O463*Data!N$16/1000</f>
        <v>0</v>
      </c>
      <c r="P471" s="56">
        <f>P463*Data!O$16/1000</f>
        <v>0</v>
      </c>
      <c r="Q471" s="56">
        <f>Q463*Data!P$16/1000</f>
        <v>0</v>
      </c>
      <c r="R471" s="56">
        <f>R463*Data!Q$16/1000</f>
        <v>0</v>
      </c>
      <c r="S471" s="56">
        <f>S463*Data!R$16/1000</f>
        <v>0</v>
      </c>
      <c r="T471" s="56">
        <f>T463*Data!S$16/1000</f>
        <v>0</v>
      </c>
      <c r="U471" s="56">
        <f>U463*Data!T$16/1000</f>
        <v>0</v>
      </c>
      <c r="V471" s="56">
        <f>V463*Data!U$16/1000</f>
        <v>0</v>
      </c>
      <c r="W471" s="56">
        <f>W463*Data!V$16/1000</f>
        <v>0</v>
      </c>
      <c r="X471" s="56">
        <f>X463*Data!W$16/1000</f>
        <v>0</v>
      </c>
      <c r="Y471" s="56">
        <f>Y463*Data!X$16/1000</f>
        <v>0</v>
      </c>
      <c r="Z471" s="56">
        <f>Z463*Data!Y$16/1000</f>
        <v>0</v>
      </c>
      <c r="AA471" s="56">
        <f>AA463*Data!Z$16/1000</f>
        <v>0</v>
      </c>
      <c r="AB471" s="56">
        <f>AB463*Data!AA$16/1000</f>
        <v>0</v>
      </c>
      <c r="AC471" s="56">
        <f>AC463*Data!AB$16/1000</f>
        <v>0</v>
      </c>
      <c r="AD471" s="56"/>
      <c r="AE471" s="56"/>
      <c r="AF471" s="56"/>
      <c r="AG471" s="56"/>
      <c r="AH471" s="56"/>
      <c r="AI471" s="56"/>
      <c r="AJ471" s="56"/>
      <c r="AK471" s="56"/>
      <c r="AL471" s="56"/>
      <c r="AM471" s="56"/>
      <c r="AN471" s="56"/>
      <c r="AO471" s="56"/>
      <c r="AP471" s="29"/>
    </row>
    <row r="472" spans="1:42" outlineLevel="1" x14ac:dyDescent="0.25">
      <c r="A472" s="54"/>
      <c r="B472" s="13"/>
      <c r="C472" s="14" t="s">
        <v>285</v>
      </c>
      <c r="D472" s="14"/>
      <c r="E472" s="70" t="s">
        <v>474</v>
      </c>
      <c r="F472" s="200">
        <f>Data!$E$36/1000</f>
        <v>1.0822865168539326</v>
      </c>
      <c r="G472" s="56"/>
      <c r="H472" s="56"/>
      <c r="I472" s="56">
        <f>I464*$F472</f>
        <v>0</v>
      </c>
      <c r="J472" s="56">
        <f t="shared" ref="J472:AC475" si="119">J464*$F472</f>
        <v>0</v>
      </c>
      <c r="K472" s="56">
        <f t="shared" si="119"/>
        <v>0</v>
      </c>
      <c r="L472" s="56">
        <f t="shared" si="119"/>
        <v>0</v>
      </c>
      <c r="M472" s="56">
        <f t="shared" si="119"/>
        <v>0</v>
      </c>
      <c r="N472" s="56">
        <f t="shared" si="119"/>
        <v>0</v>
      </c>
      <c r="O472" s="56">
        <f t="shared" si="119"/>
        <v>0</v>
      </c>
      <c r="P472" s="56">
        <f t="shared" si="119"/>
        <v>0</v>
      </c>
      <c r="Q472" s="56">
        <f t="shared" si="119"/>
        <v>0</v>
      </c>
      <c r="R472" s="56">
        <f t="shared" si="119"/>
        <v>0</v>
      </c>
      <c r="S472" s="56">
        <f t="shared" si="119"/>
        <v>0</v>
      </c>
      <c r="T472" s="56">
        <f t="shared" si="119"/>
        <v>0</v>
      </c>
      <c r="U472" s="56">
        <f t="shared" si="119"/>
        <v>0</v>
      </c>
      <c r="V472" s="56">
        <f t="shared" si="119"/>
        <v>0</v>
      </c>
      <c r="W472" s="56">
        <f t="shared" si="119"/>
        <v>0</v>
      </c>
      <c r="X472" s="56">
        <f t="shared" si="119"/>
        <v>0</v>
      </c>
      <c r="Y472" s="56">
        <f t="shared" si="119"/>
        <v>0</v>
      </c>
      <c r="Z472" s="56">
        <f t="shared" si="119"/>
        <v>0</v>
      </c>
      <c r="AA472" s="56">
        <f t="shared" si="119"/>
        <v>0</v>
      </c>
      <c r="AB472" s="56">
        <f t="shared" si="119"/>
        <v>0</v>
      </c>
      <c r="AC472" s="56">
        <f t="shared" si="119"/>
        <v>0</v>
      </c>
      <c r="AD472" s="56"/>
      <c r="AE472" s="56"/>
      <c r="AF472" s="56"/>
      <c r="AG472" s="56"/>
      <c r="AH472" s="56"/>
      <c r="AI472" s="56"/>
      <c r="AJ472" s="56"/>
      <c r="AK472" s="56"/>
      <c r="AL472" s="56"/>
      <c r="AM472" s="56"/>
      <c r="AN472" s="56"/>
      <c r="AO472" s="56"/>
      <c r="AP472" s="29"/>
    </row>
    <row r="473" spans="1:42" outlineLevel="1" x14ac:dyDescent="0.25">
      <c r="A473" s="54"/>
      <c r="B473" s="13"/>
      <c r="C473" s="14" t="s">
        <v>220</v>
      </c>
      <c r="D473" s="14"/>
      <c r="E473" s="70" t="s">
        <v>474</v>
      </c>
      <c r="F473" s="200">
        <f>Data!$E$37/1000</f>
        <v>371.00188764044947</v>
      </c>
      <c r="G473" s="56"/>
      <c r="H473" s="56"/>
      <c r="I473" s="56">
        <f t="shared" ref="I473:X475" si="120">I465*$F473</f>
        <v>0</v>
      </c>
      <c r="J473" s="56">
        <f t="shared" si="120"/>
        <v>0</v>
      </c>
      <c r="K473" s="56">
        <f t="shared" si="120"/>
        <v>0</v>
      </c>
      <c r="L473" s="56">
        <f t="shared" si="120"/>
        <v>0</v>
      </c>
      <c r="M473" s="56">
        <f t="shared" si="120"/>
        <v>0</v>
      </c>
      <c r="N473" s="56">
        <f t="shared" si="120"/>
        <v>0</v>
      </c>
      <c r="O473" s="56">
        <f t="shared" si="120"/>
        <v>0</v>
      </c>
      <c r="P473" s="56">
        <f t="shared" si="120"/>
        <v>0</v>
      </c>
      <c r="Q473" s="56">
        <f t="shared" si="120"/>
        <v>0</v>
      </c>
      <c r="R473" s="56">
        <f t="shared" si="120"/>
        <v>0</v>
      </c>
      <c r="S473" s="56">
        <f t="shared" si="120"/>
        <v>0</v>
      </c>
      <c r="T473" s="56">
        <f t="shared" si="120"/>
        <v>0</v>
      </c>
      <c r="U473" s="56">
        <f t="shared" si="120"/>
        <v>0</v>
      </c>
      <c r="V473" s="56">
        <f t="shared" si="120"/>
        <v>0</v>
      </c>
      <c r="W473" s="56">
        <f t="shared" si="120"/>
        <v>0</v>
      </c>
      <c r="X473" s="56">
        <f t="shared" si="120"/>
        <v>0</v>
      </c>
      <c r="Y473" s="56">
        <f t="shared" si="119"/>
        <v>0</v>
      </c>
      <c r="Z473" s="56">
        <f t="shared" si="119"/>
        <v>0</v>
      </c>
      <c r="AA473" s="56">
        <f t="shared" si="119"/>
        <v>0</v>
      </c>
      <c r="AB473" s="56">
        <f t="shared" si="119"/>
        <v>0</v>
      </c>
      <c r="AC473" s="56">
        <f t="shared" si="119"/>
        <v>0</v>
      </c>
      <c r="AD473" s="56"/>
      <c r="AE473" s="56"/>
      <c r="AF473" s="56"/>
      <c r="AG473" s="56"/>
      <c r="AH473" s="56"/>
      <c r="AI473" s="56"/>
      <c r="AJ473" s="56"/>
      <c r="AK473" s="56"/>
      <c r="AL473" s="56"/>
      <c r="AM473" s="56"/>
      <c r="AN473" s="56"/>
      <c r="AO473" s="56"/>
      <c r="AP473" s="29"/>
    </row>
    <row r="474" spans="1:42" outlineLevel="1" x14ac:dyDescent="0.25">
      <c r="A474" s="54"/>
      <c r="B474" s="13"/>
      <c r="C474" s="14" t="s">
        <v>212</v>
      </c>
      <c r="D474" s="14"/>
      <c r="E474" s="70" t="s">
        <v>474</v>
      </c>
      <c r="F474" s="200">
        <f>Data!$E$39/1000</f>
        <v>0</v>
      </c>
      <c r="G474" s="56"/>
      <c r="H474" s="56"/>
      <c r="I474" s="56">
        <f t="shared" si="120"/>
        <v>0</v>
      </c>
      <c r="J474" s="56">
        <f>J466*$F474</f>
        <v>0</v>
      </c>
      <c r="K474" s="56">
        <f t="shared" si="119"/>
        <v>0</v>
      </c>
      <c r="L474" s="56">
        <f t="shared" si="119"/>
        <v>0</v>
      </c>
      <c r="M474" s="56">
        <f t="shared" si="119"/>
        <v>0</v>
      </c>
      <c r="N474" s="56">
        <f t="shared" si="119"/>
        <v>0</v>
      </c>
      <c r="O474" s="56">
        <f t="shared" si="119"/>
        <v>0</v>
      </c>
      <c r="P474" s="56">
        <f t="shared" si="119"/>
        <v>0</v>
      </c>
      <c r="Q474" s="56">
        <f t="shared" si="119"/>
        <v>0</v>
      </c>
      <c r="R474" s="56">
        <f t="shared" si="119"/>
        <v>0</v>
      </c>
      <c r="S474" s="56">
        <f t="shared" si="119"/>
        <v>0</v>
      </c>
      <c r="T474" s="56">
        <f t="shared" si="119"/>
        <v>0</v>
      </c>
      <c r="U474" s="56">
        <f t="shared" si="119"/>
        <v>0</v>
      </c>
      <c r="V474" s="56">
        <f t="shared" si="119"/>
        <v>0</v>
      </c>
      <c r="W474" s="56">
        <f t="shared" si="119"/>
        <v>0</v>
      </c>
      <c r="X474" s="56">
        <f t="shared" si="119"/>
        <v>0</v>
      </c>
      <c r="Y474" s="56">
        <f t="shared" si="119"/>
        <v>0</v>
      </c>
      <c r="Z474" s="56">
        <f t="shared" si="119"/>
        <v>0</v>
      </c>
      <c r="AA474" s="56">
        <f t="shared" si="119"/>
        <v>0</v>
      </c>
      <c r="AB474" s="56">
        <f t="shared" si="119"/>
        <v>0</v>
      </c>
      <c r="AC474" s="56">
        <f t="shared" si="119"/>
        <v>0</v>
      </c>
      <c r="AD474" s="56"/>
      <c r="AE474" s="56"/>
      <c r="AF474" s="56"/>
      <c r="AG474" s="56"/>
      <c r="AH474" s="56"/>
      <c r="AI474" s="56"/>
      <c r="AJ474" s="56"/>
      <c r="AK474" s="56"/>
      <c r="AL474" s="56"/>
      <c r="AM474" s="56"/>
      <c r="AN474" s="56"/>
      <c r="AO474" s="56"/>
      <c r="AP474" s="29"/>
    </row>
    <row r="475" spans="1:42" outlineLevel="1" x14ac:dyDescent="0.25">
      <c r="A475" s="54"/>
      <c r="B475" s="13"/>
      <c r="C475" s="14" t="s">
        <v>485</v>
      </c>
      <c r="D475" s="14"/>
      <c r="E475" s="70" t="s">
        <v>474</v>
      </c>
      <c r="F475" s="200">
        <f>Data!$E$40/1000</f>
        <v>605.20914606741576</v>
      </c>
      <c r="G475" s="56"/>
      <c r="H475" s="56"/>
      <c r="I475" s="56">
        <f t="shared" si="120"/>
        <v>0</v>
      </c>
      <c r="J475" s="56">
        <f t="shared" si="119"/>
        <v>0</v>
      </c>
      <c r="K475" s="56">
        <f t="shared" si="119"/>
        <v>0</v>
      </c>
      <c r="L475" s="56">
        <f t="shared" si="119"/>
        <v>0</v>
      </c>
      <c r="M475" s="56">
        <f t="shared" si="119"/>
        <v>0</v>
      </c>
      <c r="N475" s="56">
        <f t="shared" si="119"/>
        <v>0</v>
      </c>
      <c r="O475" s="56">
        <f t="shared" si="119"/>
        <v>0</v>
      </c>
      <c r="P475" s="56">
        <f t="shared" si="119"/>
        <v>0</v>
      </c>
      <c r="Q475" s="56">
        <f t="shared" si="119"/>
        <v>0</v>
      </c>
      <c r="R475" s="56">
        <f t="shared" si="119"/>
        <v>0</v>
      </c>
      <c r="S475" s="56">
        <f t="shared" si="119"/>
        <v>0</v>
      </c>
      <c r="T475" s="56">
        <f t="shared" si="119"/>
        <v>0</v>
      </c>
      <c r="U475" s="56">
        <f t="shared" si="119"/>
        <v>0</v>
      </c>
      <c r="V475" s="56">
        <f t="shared" si="119"/>
        <v>0</v>
      </c>
      <c r="W475" s="56">
        <f t="shared" si="119"/>
        <v>0</v>
      </c>
      <c r="X475" s="56">
        <f t="shared" si="119"/>
        <v>0</v>
      </c>
      <c r="Y475" s="56">
        <f t="shared" si="119"/>
        <v>0</v>
      </c>
      <c r="Z475" s="56">
        <f t="shared" si="119"/>
        <v>0</v>
      </c>
      <c r="AA475" s="56">
        <f t="shared" si="119"/>
        <v>0</v>
      </c>
      <c r="AB475" s="56">
        <f t="shared" si="119"/>
        <v>0</v>
      </c>
      <c r="AC475" s="56">
        <f t="shared" si="119"/>
        <v>0</v>
      </c>
      <c r="AD475" s="56"/>
      <c r="AE475" s="56"/>
      <c r="AF475" s="56"/>
      <c r="AG475" s="56"/>
      <c r="AH475" s="56"/>
      <c r="AI475" s="56"/>
      <c r="AJ475" s="56"/>
      <c r="AK475" s="56"/>
      <c r="AL475" s="56"/>
      <c r="AM475" s="56"/>
      <c r="AN475" s="56"/>
      <c r="AO475" s="56"/>
      <c r="AP475" s="29"/>
    </row>
    <row r="476" spans="1:42" outlineLevel="1" x14ac:dyDescent="0.25">
      <c r="A476" s="54"/>
      <c r="B476" s="13"/>
      <c r="C476" s="14" t="s">
        <v>214</v>
      </c>
      <c r="D476" s="14"/>
      <c r="E476" s="70" t="s">
        <v>474</v>
      </c>
      <c r="F476" s="200">
        <f>Data!$E$41/1000</f>
        <v>0</v>
      </c>
      <c r="G476" s="56"/>
      <c r="H476" s="56"/>
      <c r="I476" s="56">
        <f>I468*$F476</f>
        <v>0</v>
      </c>
      <c r="J476" s="56">
        <f t="shared" ref="J476:AC476" si="121">J468*$F476</f>
        <v>0</v>
      </c>
      <c r="K476" s="56">
        <f t="shared" si="121"/>
        <v>0</v>
      </c>
      <c r="L476" s="56">
        <f t="shared" si="121"/>
        <v>0</v>
      </c>
      <c r="M476" s="56">
        <f t="shared" si="121"/>
        <v>0</v>
      </c>
      <c r="N476" s="56">
        <f t="shared" si="121"/>
        <v>0</v>
      </c>
      <c r="O476" s="56">
        <f t="shared" si="121"/>
        <v>0</v>
      </c>
      <c r="P476" s="56">
        <f t="shared" si="121"/>
        <v>0</v>
      </c>
      <c r="Q476" s="56">
        <f t="shared" si="121"/>
        <v>0</v>
      </c>
      <c r="R476" s="56">
        <f t="shared" si="121"/>
        <v>0</v>
      </c>
      <c r="S476" s="56">
        <f t="shared" si="121"/>
        <v>0</v>
      </c>
      <c r="T476" s="56">
        <f t="shared" si="121"/>
        <v>0</v>
      </c>
      <c r="U476" s="56">
        <f t="shared" si="121"/>
        <v>0</v>
      </c>
      <c r="V476" s="56">
        <f t="shared" si="121"/>
        <v>0</v>
      </c>
      <c r="W476" s="56">
        <f t="shared" si="121"/>
        <v>0</v>
      </c>
      <c r="X476" s="56">
        <f t="shared" si="121"/>
        <v>0</v>
      </c>
      <c r="Y476" s="56">
        <f t="shared" si="121"/>
        <v>0</v>
      </c>
      <c r="Z476" s="56">
        <f t="shared" si="121"/>
        <v>0</v>
      </c>
      <c r="AA476" s="56">
        <f t="shared" si="121"/>
        <v>0</v>
      </c>
      <c r="AB476" s="56">
        <f t="shared" si="121"/>
        <v>0</v>
      </c>
      <c r="AC476" s="56">
        <f t="shared" si="121"/>
        <v>0</v>
      </c>
      <c r="AD476" s="56"/>
      <c r="AE476" s="56"/>
      <c r="AF476" s="56"/>
      <c r="AG476" s="56"/>
      <c r="AH476" s="56"/>
      <c r="AI476" s="56"/>
      <c r="AJ476" s="56"/>
      <c r="AK476" s="56"/>
      <c r="AL476" s="56"/>
      <c r="AM476" s="56"/>
      <c r="AN476" s="56"/>
      <c r="AO476" s="56"/>
      <c r="AP476" s="29"/>
    </row>
    <row r="477" spans="1:42" outlineLevel="1" x14ac:dyDescent="0.25">
      <c r="A477" s="12"/>
      <c r="B477" s="13"/>
      <c r="C477" s="20" t="s">
        <v>536</v>
      </c>
      <c r="D477" s="14"/>
      <c r="E477" s="70" t="s">
        <v>474</v>
      </c>
      <c r="F477" s="16"/>
      <c r="G477" s="159"/>
      <c r="H477" s="185"/>
      <c r="I477" s="185">
        <f>SUM(I470:I476)</f>
        <v>0</v>
      </c>
      <c r="J477" s="185">
        <f t="shared" ref="J477:AC477" si="122">SUM(J470:J476)</f>
        <v>0</v>
      </c>
      <c r="K477" s="185">
        <f t="shared" si="122"/>
        <v>0</v>
      </c>
      <c r="L477" s="185">
        <f t="shared" si="122"/>
        <v>0</v>
      </c>
      <c r="M477" s="185">
        <f t="shared" si="122"/>
        <v>0</v>
      </c>
      <c r="N477" s="185">
        <f t="shared" si="122"/>
        <v>0</v>
      </c>
      <c r="O477" s="185">
        <f t="shared" si="122"/>
        <v>0</v>
      </c>
      <c r="P477" s="185">
        <f t="shared" si="122"/>
        <v>0</v>
      </c>
      <c r="Q477" s="185">
        <f t="shared" si="122"/>
        <v>0</v>
      </c>
      <c r="R477" s="185">
        <f t="shared" si="122"/>
        <v>0</v>
      </c>
      <c r="S477" s="185">
        <f t="shared" si="122"/>
        <v>0</v>
      </c>
      <c r="T477" s="185">
        <f t="shared" si="122"/>
        <v>0</v>
      </c>
      <c r="U477" s="185">
        <f t="shared" si="122"/>
        <v>0</v>
      </c>
      <c r="V477" s="185">
        <f t="shared" si="122"/>
        <v>0</v>
      </c>
      <c r="W477" s="185">
        <f t="shared" si="122"/>
        <v>0</v>
      </c>
      <c r="X477" s="185">
        <f t="shared" si="122"/>
        <v>0</v>
      </c>
      <c r="Y477" s="185">
        <f t="shared" si="122"/>
        <v>0</v>
      </c>
      <c r="Z477" s="185">
        <f t="shared" si="122"/>
        <v>0</v>
      </c>
      <c r="AA477" s="185">
        <f t="shared" si="122"/>
        <v>0</v>
      </c>
      <c r="AB477" s="185">
        <f t="shared" si="122"/>
        <v>0</v>
      </c>
      <c r="AC477" s="185">
        <f t="shared" si="122"/>
        <v>0</v>
      </c>
      <c r="AD477" s="185">
        <f t="shared" ref="AD477:AO477" si="123">SUM(AD470:AD476)</f>
        <v>0</v>
      </c>
      <c r="AE477" s="185">
        <f t="shared" si="123"/>
        <v>0</v>
      </c>
      <c r="AF477" s="185">
        <f t="shared" si="123"/>
        <v>0</v>
      </c>
      <c r="AG477" s="185">
        <f t="shared" si="123"/>
        <v>0</v>
      </c>
      <c r="AH477" s="185">
        <f t="shared" si="123"/>
        <v>0</v>
      </c>
      <c r="AI477" s="185">
        <f t="shared" si="123"/>
        <v>0</v>
      </c>
      <c r="AJ477" s="185">
        <f t="shared" si="123"/>
        <v>0</v>
      </c>
      <c r="AK477" s="185">
        <f t="shared" si="123"/>
        <v>0</v>
      </c>
      <c r="AL477" s="185">
        <f t="shared" si="123"/>
        <v>0</v>
      </c>
      <c r="AM477" s="185">
        <f t="shared" si="123"/>
        <v>0</v>
      </c>
      <c r="AN477" s="185">
        <f t="shared" si="123"/>
        <v>0</v>
      </c>
      <c r="AO477" s="185">
        <f t="shared" si="123"/>
        <v>0</v>
      </c>
      <c r="AP477" s="14"/>
    </row>
    <row r="478" spans="1:42" outlineLevel="1" x14ac:dyDescent="0.25">
      <c r="A478" s="12"/>
      <c r="B478" s="13"/>
      <c r="C478" s="14"/>
      <c r="D478" s="14"/>
      <c r="E478" s="15"/>
      <c r="F478" s="16"/>
      <c r="G478" s="159"/>
      <c r="H478" s="159"/>
      <c r="I478" s="159"/>
      <c r="J478" s="159"/>
      <c r="K478" s="159"/>
      <c r="L478" s="159"/>
      <c r="M478" s="159"/>
      <c r="N478" s="159"/>
      <c r="O478" s="159"/>
      <c r="P478" s="159"/>
      <c r="Q478" s="159"/>
      <c r="R478" s="159"/>
      <c r="S478" s="159"/>
      <c r="T478" s="159"/>
      <c r="U478" s="159"/>
      <c r="V478" s="159"/>
      <c r="W478" s="159"/>
      <c r="X478" s="14"/>
      <c r="Y478" s="14"/>
      <c r="Z478" s="14"/>
      <c r="AA478" s="14"/>
      <c r="AB478" s="14"/>
      <c r="AC478" s="14"/>
      <c r="AD478" s="14"/>
      <c r="AE478" s="14"/>
      <c r="AF478" s="14"/>
      <c r="AG478" s="14"/>
      <c r="AH478" s="14"/>
      <c r="AI478" s="14"/>
      <c r="AJ478" s="14"/>
      <c r="AK478" s="14"/>
      <c r="AL478" s="14"/>
      <c r="AM478" s="14"/>
      <c r="AN478" s="14"/>
      <c r="AO478" s="14"/>
      <c r="AP478" s="14"/>
    </row>
    <row r="479" spans="1:42" outlineLevel="1" x14ac:dyDescent="0.25">
      <c r="A479" s="12"/>
      <c r="B479" s="13"/>
      <c r="C479" s="14" t="s">
        <v>523</v>
      </c>
      <c r="D479" s="14"/>
      <c r="E479" s="15" t="s">
        <v>474</v>
      </c>
      <c r="F479" s="48"/>
      <c r="G479" s="185"/>
      <c r="H479" s="185"/>
      <c r="I479" s="185">
        <f>I477*Data!H$9</f>
        <v>0</v>
      </c>
      <c r="J479" s="185">
        <f>J477*Data!I$9</f>
        <v>0</v>
      </c>
      <c r="K479" s="185">
        <f>K477*Data!J$9</f>
        <v>0</v>
      </c>
      <c r="L479" s="185">
        <f>L477*Data!K$9</f>
        <v>0</v>
      </c>
      <c r="M479" s="185">
        <f>M477*Data!L$9</f>
        <v>0</v>
      </c>
      <c r="N479" s="185">
        <f>N477*Data!M$9</f>
        <v>0</v>
      </c>
      <c r="O479" s="185">
        <f>O477*Data!N$9</f>
        <v>0</v>
      </c>
      <c r="P479" s="185">
        <f>P477*Data!O$9</f>
        <v>0</v>
      </c>
      <c r="Q479" s="185">
        <f>Q477*Data!P$9</f>
        <v>0</v>
      </c>
      <c r="R479" s="185">
        <f>R477*Data!Q$9</f>
        <v>0</v>
      </c>
      <c r="S479" s="185">
        <f>S477*Data!R$9</f>
        <v>0</v>
      </c>
      <c r="T479" s="185">
        <f>T477*Data!S$9</f>
        <v>0</v>
      </c>
      <c r="U479" s="185">
        <f>U477*Data!T$9</f>
        <v>0</v>
      </c>
      <c r="V479" s="185">
        <f>V477*Data!U$9</f>
        <v>0</v>
      </c>
      <c r="W479" s="185">
        <f>W477*Data!V$9</f>
        <v>0</v>
      </c>
      <c r="X479" s="185">
        <f>X477*Data!W$9</f>
        <v>0</v>
      </c>
      <c r="Y479" s="185">
        <f>Y477*Data!X$9</f>
        <v>0</v>
      </c>
      <c r="Z479" s="185">
        <f>Z477*Data!Y$9</f>
        <v>0</v>
      </c>
      <c r="AA479" s="185">
        <f>AA477*Data!Z$9</f>
        <v>0</v>
      </c>
      <c r="AB479" s="185">
        <f>AB477*Data!AA$9</f>
        <v>0</v>
      </c>
      <c r="AC479" s="185">
        <f>AC477*Data!AB$9</f>
        <v>0</v>
      </c>
      <c r="AD479" s="185">
        <f>AD477*Data!AC$9</f>
        <v>0</v>
      </c>
      <c r="AE479" s="185">
        <f>AE477*Data!AD$9</f>
        <v>0</v>
      </c>
      <c r="AF479" s="185">
        <f>AF477*Data!AE$9</f>
        <v>0</v>
      </c>
      <c r="AG479" s="185">
        <f>AG477*Data!AF$9</f>
        <v>0</v>
      </c>
      <c r="AH479" s="185">
        <f>AH477*Data!AG$9</f>
        <v>0</v>
      </c>
      <c r="AI479" s="185">
        <f>AI477*Data!AH$9</f>
        <v>0</v>
      </c>
      <c r="AJ479" s="185">
        <f>AJ477*Data!AI$9</f>
        <v>0</v>
      </c>
      <c r="AK479" s="185">
        <f>AK477*Data!AJ$9</f>
        <v>0</v>
      </c>
      <c r="AL479" s="185">
        <f>AL477*Data!AK$9</f>
        <v>0</v>
      </c>
      <c r="AM479" s="185">
        <f>AM477*Data!AL$9</f>
        <v>0</v>
      </c>
      <c r="AN479" s="185">
        <f>AN477*Data!AM$9</f>
        <v>0</v>
      </c>
      <c r="AO479" s="185">
        <f>AO477*Data!AN$9</f>
        <v>0</v>
      </c>
      <c r="AP479" s="14"/>
    </row>
    <row r="480" spans="1:42" outlineLevel="1" x14ac:dyDescent="0.25">
      <c r="A480" s="12"/>
      <c r="B480" s="13"/>
      <c r="C480" s="14" t="s">
        <v>489</v>
      </c>
      <c r="D480" s="13"/>
      <c r="E480" s="15" t="s">
        <v>142</v>
      </c>
      <c r="F480" s="16"/>
      <c r="G480" s="159">
        <f>SUM(H479:AO479)</f>
        <v>0</v>
      </c>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row>
    <row r="481" spans="1:42" outlineLevel="1" x14ac:dyDescent="0.25">
      <c r="A481" s="12"/>
      <c r="B481" s="13"/>
      <c r="C481" s="41" t="s">
        <v>62</v>
      </c>
      <c r="D481" s="41"/>
      <c r="E481" s="15" t="s">
        <v>261</v>
      </c>
      <c r="F481" s="16"/>
      <c r="G481" s="184">
        <f>G480/(SUM(H460:AO460))</f>
        <v>0</v>
      </c>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7"/>
    </row>
    <row r="482" spans="1:42" outlineLevel="1" x14ac:dyDescent="0.25">
      <c r="A482" s="12"/>
      <c r="B482" s="13"/>
      <c r="C482" s="14"/>
      <c r="D482" s="14"/>
      <c r="E482" s="15"/>
      <c r="F482" s="16"/>
      <c r="G482" s="14"/>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17"/>
    </row>
    <row r="483" spans="1:42" outlineLevel="1" x14ac:dyDescent="0.25">
      <c r="A483" s="12"/>
      <c r="B483" s="13"/>
      <c r="C483" s="45"/>
      <c r="D483" s="45"/>
      <c r="E483" s="15"/>
      <c r="F483" s="16"/>
      <c r="G483" s="14"/>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9"/>
    </row>
    <row r="484" spans="1:42" outlineLevel="1" x14ac:dyDescent="0.25">
      <c r="A484" s="12"/>
      <c r="B484" s="13"/>
      <c r="C484" s="37" t="s">
        <v>578</v>
      </c>
      <c r="D484" s="37"/>
      <c r="E484" s="38"/>
      <c r="F484" s="39"/>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17"/>
    </row>
    <row r="485" spans="1:42" outlineLevel="1" x14ac:dyDescent="0.25">
      <c r="A485" s="12"/>
      <c r="B485" s="13"/>
      <c r="C485" s="14"/>
      <c r="D485" s="14"/>
      <c r="E485" s="15"/>
      <c r="F485" s="16"/>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7"/>
    </row>
    <row r="486" spans="1:42" outlineLevel="1" x14ac:dyDescent="0.25">
      <c r="A486" s="12"/>
      <c r="B486" s="13"/>
      <c r="C486" s="20" t="s">
        <v>252</v>
      </c>
      <c r="D486" s="14"/>
      <c r="E486" s="15"/>
      <c r="F486" s="16"/>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row>
    <row r="487" spans="1:42" outlineLevel="1" x14ac:dyDescent="0.25">
      <c r="A487" s="12"/>
      <c r="B487" s="13"/>
      <c r="C487" t="s">
        <v>520</v>
      </c>
      <c r="D487" s="14"/>
      <c r="E487" s="15" t="s">
        <v>521</v>
      </c>
      <c r="F487" s="16"/>
      <c r="G487" s="14"/>
      <c r="H487" s="141"/>
      <c r="I487" s="141">
        <f t="shared" ref="I487:AO487" si="124">I291</f>
        <v>51480</v>
      </c>
      <c r="J487" s="141">
        <f t="shared" si="124"/>
        <v>51480</v>
      </c>
      <c r="K487" s="141">
        <f t="shared" si="124"/>
        <v>51480</v>
      </c>
      <c r="L487" s="141">
        <f t="shared" si="124"/>
        <v>51480</v>
      </c>
      <c r="M487" s="141">
        <f t="shared" si="124"/>
        <v>51480</v>
      </c>
      <c r="N487" s="141">
        <f t="shared" si="124"/>
        <v>51480</v>
      </c>
      <c r="O487" s="141">
        <f t="shared" si="124"/>
        <v>51480</v>
      </c>
      <c r="P487" s="141">
        <f t="shared" si="124"/>
        <v>51480</v>
      </c>
      <c r="Q487" s="141">
        <f t="shared" si="124"/>
        <v>51480</v>
      </c>
      <c r="R487" s="141">
        <f t="shared" si="124"/>
        <v>51480</v>
      </c>
      <c r="S487" s="141">
        <f t="shared" si="124"/>
        <v>51480</v>
      </c>
      <c r="T487" s="141">
        <f t="shared" si="124"/>
        <v>51480</v>
      </c>
      <c r="U487" s="141">
        <f t="shared" si="124"/>
        <v>0</v>
      </c>
      <c r="V487" s="141">
        <f t="shared" si="124"/>
        <v>0</v>
      </c>
      <c r="W487" s="141">
        <f t="shared" si="124"/>
        <v>0</v>
      </c>
      <c r="X487" s="141">
        <f t="shared" si="124"/>
        <v>0</v>
      </c>
      <c r="Y487" s="141">
        <f t="shared" si="124"/>
        <v>0</v>
      </c>
      <c r="Z487" s="141">
        <f t="shared" si="124"/>
        <v>0</v>
      </c>
      <c r="AA487" s="141">
        <f t="shared" si="124"/>
        <v>0</v>
      </c>
      <c r="AB487" s="141">
        <f t="shared" si="124"/>
        <v>0</v>
      </c>
      <c r="AC487" s="141">
        <f t="shared" si="124"/>
        <v>0</v>
      </c>
      <c r="AD487" s="141">
        <f t="shared" si="124"/>
        <v>0</v>
      </c>
      <c r="AE487" s="141">
        <f t="shared" si="124"/>
        <v>0</v>
      </c>
      <c r="AF487" s="141">
        <f t="shared" si="124"/>
        <v>0</v>
      </c>
      <c r="AG487" s="141">
        <f t="shared" si="124"/>
        <v>0</v>
      </c>
      <c r="AH487" s="141">
        <f t="shared" si="124"/>
        <v>0</v>
      </c>
      <c r="AI487" s="141">
        <f t="shared" si="124"/>
        <v>0</v>
      </c>
      <c r="AJ487" s="141">
        <f t="shared" si="124"/>
        <v>0</v>
      </c>
      <c r="AK487" s="141">
        <f t="shared" si="124"/>
        <v>0</v>
      </c>
      <c r="AL487" s="141">
        <f t="shared" si="124"/>
        <v>0</v>
      </c>
      <c r="AM487" s="141">
        <f t="shared" si="124"/>
        <v>0</v>
      </c>
      <c r="AN487" s="141">
        <f t="shared" si="124"/>
        <v>0</v>
      </c>
      <c r="AO487" s="141">
        <f t="shared" si="124"/>
        <v>0</v>
      </c>
      <c r="AP487" s="141">
        <f>AP296</f>
        <v>0</v>
      </c>
    </row>
    <row r="488" spans="1:42" outlineLevel="1" x14ac:dyDescent="0.25">
      <c r="A488" s="12"/>
      <c r="B488" s="13"/>
      <c r="C488" s="14" t="s">
        <v>535</v>
      </c>
      <c r="D488" s="14"/>
      <c r="E488" s="15"/>
      <c r="F488" s="16"/>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row>
    <row r="489" spans="1:42" ht="14.25" customHeight="1" outlineLevel="1" x14ac:dyDescent="0.25">
      <c r="A489" s="54"/>
      <c r="B489" s="13"/>
      <c r="C489" s="14" t="s">
        <v>205</v>
      </c>
      <c r="D489" s="14"/>
      <c r="E489" s="70" t="s">
        <v>352</v>
      </c>
      <c r="F489" s="201">
        <f>Data!E485/1000</f>
        <v>4.3953694163207466E-3</v>
      </c>
      <c r="G489" s="56"/>
      <c r="H489" s="56"/>
      <c r="I489" s="56">
        <f>I$487*$F$489</f>
        <v>226.27361755219204</v>
      </c>
      <c r="J489" s="56">
        <f t="shared" ref="J489:AO489" si="125">J$487*$F$489</f>
        <v>226.27361755219204</v>
      </c>
      <c r="K489" s="56">
        <f t="shared" si="125"/>
        <v>226.27361755219204</v>
      </c>
      <c r="L489" s="56">
        <f t="shared" si="125"/>
        <v>226.27361755219204</v>
      </c>
      <c r="M489" s="56">
        <f t="shared" si="125"/>
        <v>226.27361755219204</v>
      </c>
      <c r="N489" s="56">
        <f t="shared" si="125"/>
        <v>226.27361755219204</v>
      </c>
      <c r="O489" s="56">
        <f t="shared" si="125"/>
        <v>226.27361755219204</v>
      </c>
      <c r="P489" s="56">
        <f t="shared" si="125"/>
        <v>226.27361755219204</v>
      </c>
      <c r="Q489" s="56">
        <f t="shared" si="125"/>
        <v>226.27361755219204</v>
      </c>
      <c r="R489" s="56">
        <f t="shared" si="125"/>
        <v>226.27361755219204</v>
      </c>
      <c r="S489" s="56">
        <f t="shared" si="125"/>
        <v>226.27361755219204</v>
      </c>
      <c r="T489" s="56">
        <f t="shared" si="125"/>
        <v>226.27361755219204</v>
      </c>
      <c r="U489" s="56">
        <f t="shared" si="125"/>
        <v>0</v>
      </c>
      <c r="V489" s="56">
        <f t="shared" si="125"/>
        <v>0</v>
      </c>
      <c r="W489" s="56">
        <f t="shared" si="125"/>
        <v>0</v>
      </c>
      <c r="X489" s="56">
        <f t="shared" si="125"/>
        <v>0</v>
      </c>
      <c r="Y489" s="56">
        <f t="shared" si="125"/>
        <v>0</v>
      </c>
      <c r="Z489" s="56">
        <f t="shared" si="125"/>
        <v>0</v>
      </c>
      <c r="AA489" s="56">
        <f t="shared" si="125"/>
        <v>0</v>
      </c>
      <c r="AB489" s="56">
        <f t="shared" si="125"/>
        <v>0</v>
      </c>
      <c r="AC489" s="56">
        <f t="shared" si="125"/>
        <v>0</v>
      </c>
      <c r="AD489" s="56">
        <f t="shared" si="125"/>
        <v>0</v>
      </c>
      <c r="AE489" s="56">
        <f t="shared" si="125"/>
        <v>0</v>
      </c>
      <c r="AF489" s="56">
        <f t="shared" si="125"/>
        <v>0</v>
      </c>
      <c r="AG489" s="56">
        <f t="shared" si="125"/>
        <v>0</v>
      </c>
      <c r="AH489" s="56">
        <f t="shared" si="125"/>
        <v>0</v>
      </c>
      <c r="AI489" s="56">
        <f t="shared" si="125"/>
        <v>0</v>
      </c>
      <c r="AJ489" s="56">
        <f t="shared" si="125"/>
        <v>0</v>
      </c>
      <c r="AK489" s="56">
        <f t="shared" si="125"/>
        <v>0</v>
      </c>
      <c r="AL489" s="56">
        <f t="shared" si="125"/>
        <v>0</v>
      </c>
      <c r="AM489" s="56">
        <f t="shared" si="125"/>
        <v>0</v>
      </c>
      <c r="AN489" s="56">
        <f t="shared" si="125"/>
        <v>0</v>
      </c>
      <c r="AO489" s="56">
        <f t="shared" si="125"/>
        <v>0</v>
      </c>
      <c r="AP489" s="56">
        <f t="shared" ref="AP489" si="126">AP$222*$F$224</f>
        <v>0</v>
      </c>
    </row>
    <row r="490" spans="1:42" outlineLevel="1" x14ac:dyDescent="0.25">
      <c r="A490" s="54"/>
      <c r="B490" s="13"/>
      <c r="C490" s="14" t="s">
        <v>484</v>
      </c>
      <c r="D490" s="14"/>
      <c r="E490" s="70" t="s">
        <v>352</v>
      </c>
      <c r="F490" s="201">
        <f>Data!E486/1000</f>
        <v>2.7723529845073447</v>
      </c>
      <c r="G490" s="56"/>
      <c r="H490" s="56"/>
      <c r="I490" s="56">
        <f>I$487*$F$490</f>
        <v>142720.7316424381</v>
      </c>
      <c r="J490" s="56">
        <f t="shared" ref="J490:AO490" si="127">J$487*$F$490</f>
        <v>142720.7316424381</v>
      </c>
      <c r="K490" s="56">
        <f t="shared" si="127"/>
        <v>142720.7316424381</v>
      </c>
      <c r="L490" s="56">
        <f t="shared" si="127"/>
        <v>142720.7316424381</v>
      </c>
      <c r="M490" s="56">
        <f t="shared" si="127"/>
        <v>142720.7316424381</v>
      </c>
      <c r="N490" s="56">
        <f t="shared" si="127"/>
        <v>142720.7316424381</v>
      </c>
      <c r="O490" s="56">
        <f t="shared" si="127"/>
        <v>142720.7316424381</v>
      </c>
      <c r="P490" s="56">
        <f t="shared" si="127"/>
        <v>142720.7316424381</v>
      </c>
      <c r="Q490" s="56">
        <f t="shared" si="127"/>
        <v>142720.7316424381</v>
      </c>
      <c r="R490" s="56">
        <f t="shared" si="127"/>
        <v>142720.7316424381</v>
      </c>
      <c r="S490" s="56">
        <f t="shared" si="127"/>
        <v>142720.7316424381</v>
      </c>
      <c r="T490" s="56">
        <f t="shared" si="127"/>
        <v>142720.7316424381</v>
      </c>
      <c r="U490" s="56">
        <f t="shared" si="127"/>
        <v>0</v>
      </c>
      <c r="V490" s="56">
        <f t="shared" si="127"/>
        <v>0</v>
      </c>
      <c r="W490" s="56">
        <f t="shared" si="127"/>
        <v>0</v>
      </c>
      <c r="X490" s="56">
        <f t="shared" si="127"/>
        <v>0</v>
      </c>
      <c r="Y490" s="56">
        <f t="shared" si="127"/>
        <v>0</v>
      </c>
      <c r="Z490" s="56">
        <f t="shared" si="127"/>
        <v>0</v>
      </c>
      <c r="AA490" s="56">
        <f t="shared" si="127"/>
        <v>0</v>
      </c>
      <c r="AB490" s="56">
        <f t="shared" si="127"/>
        <v>0</v>
      </c>
      <c r="AC490" s="56">
        <f t="shared" si="127"/>
        <v>0</v>
      </c>
      <c r="AD490" s="56">
        <f t="shared" si="127"/>
        <v>0</v>
      </c>
      <c r="AE490" s="56">
        <f t="shared" si="127"/>
        <v>0</v>
      </c>
      <c r="AF490" s="56">
        <f t="shared" si="127"/>
        <v>0</v>
      </c>
      <c r="AG490" s="56">
        <f t="shared" si="127"/>
        <v>0</v>
      </c>
      <c r="AH490" s="56">
        <f t="shared" si="127"/>
        <v>0</v>
      </c>
      <c r="AI490" s="56">
        <f t="shared" si="127"/>
        <v>0</v>
      </c>
      <c r="AJ490" s="56">
        <f t="shared" si="127"/>
        <v>0</v>
      </c>
      <c r="AK490" s="56">
        <f t="shared" si="127"/>
        <v>0</v>
      </c>
      <c r="AL490" s="56">
        <f t="shared" si="127"/>
        <v>0</v>
      </c>
      <c r="AM490" s="56">
        <f t="shared" si="127"/>
        <v>0</v>
      </c>
      <c r="AN490" s="56">
        <f t="shared" si="127"/>
        <v>0</v>
      </c>
      <c r="AO490" s="56">
        <f t="shared" si="127"/>
        <v>0</v>
      </c>
      <c r="AP490" s="56">
        <f t="shared" ref="AP490" si="128">AP$222*$F$225</f>
        <v>0</v>
      </c>
    </row>
    <row r="491" spans="1:42" outlineLevel="1" x14ac:dyDescent="0.25">
      <c r="A491" s="54"/>
      <c r="B491" s="13"/>
      <c r="C491" s="14" t="s">
        <v>285</v>
      </c>
      <c r="D491" s="14"/>
      <c r="E491" s="70" t="s">
        <v>352</v>
      </c>
      <c r="F491" s="201">
        <f>Data!E487/1000</f>
        <v>3.4917477856892727E-4</v>
      </c>
      <c r="G491" s="56"/>
      <c r="H491" s="56"/>
      <c r="I491" s="56">
        <f>I$487*$F$491</f>
        <v>17.975517600728377</v>
      </c>
      <c r="J491" s="56">
        <f t="shared" ref="J491:AO491" si="129">J$487*$F$491</f>
        <v>17.975517600728377</v>
      </c>
      <c r="K491" s="56">
        <f t="shared" si="129"/>
        <v>17.975517600728377</v>
      </c>
      <c r="L491" s="56">
        <f t="shared" si="129"/>
        <v>17.975517600728377</v>
      </c>
      <c r="M491" s="56">
        <f t="shared" si="129"/>
        <v>17.975517600728377</v>
      </c>
      <c r="N491" s="56">
        <f t="shared" si="129"/>
        <v>17.975517600728377</v>
      </c>
      <c r="O491" s="56">
        <f t="shared" si="129"/>
        <v>17.975517600728377</v>
      </c>
      <c r="P491" s="56">
        <f t="shared" si="129"/>
        <v>17.975517600728377</v>
      </c>
      <c r="Q491" s="56">
        <f t="shared" si="129"/>
        <v>17.975517600728377</v>
      </c>
      <c r="R491" s="56">
        <f t="shared" si="129"/>
        <v>17.975517600728377</v>
      </c>
      <c r="S491" s="56">
        <f t="shared" si="129"/>
        <v>17.975517600728377</v>
      </c>
      <c r="T491" s="56">
        <f t="shared" si="129"/>
        <v>17.975517600728377</v>
      </c>
      <c r="U491" s="56">
        <f t="shared" si="129"/>
        <v>0</v>
      </c>
      <c r="V491" s="56">
        <f t="shared" si="129"/>
        <v>0</v>
      </c>
      <c r="W491" s="56">
        <f t="shared" si="129"/>
        <v>0</v>
      </c>
      <c r="X491" s="56">
        <f t="shared" si="129"/>
        <v>0</v>
      </c>
      <c r="Y491" s="56">
        <f t="shared" si="129"/>
        <v>0</v>
      </c>
      <c r="Z491" s="56">
        <f t="shared" si="129"/>
        <v>0</v>
      </c>
      <c r="AA491" s="56">
        <f t="shared" si="129"/>
        <v>0</v>
      </c>
      <c r="AB491" s="56">
        <f t="shared" si="129"/>
        <v>0</v>
      </c>
      <c r="AC491" s="56">
        <f t="shared" si="129"/>
        <v>0</v>
      </c>
      <c r="AD491" s="56">
        <f t="shared" si="129"/>
        <v>0</v>
      </c>
      <c r="AE491" s="56">
        <f t="shared" si="129"/>
        <v>0</v>
      </c>
      <c r="AF491" s="56">
        <f t="shared" si="129"/>
        <v>0</v>
      </c>
      <c r="AG491" s="56">
        <f t="shared" si="129"/>
        <v>0</v>
      </c>
      <c r="AH491" s="56">
        <f t="shared" si="129"/>
        <v>0</v>
      </c>
      <c r="AI491" s="56">
        <f t="shared" si="129"/>
        <v>0</v>
      </c>
      <c r="AJ491" s="56">
        <f t="shared" si="129"/>
        <v>0</v>
      </c>
      <c r="AK491" s="56">
        <f t="shared" si="129"/>
        <v>0</v>
      </c>
      <c r="AL491" s="56">
        <f t="shared" si="129"/>
        <v>0</v>
      </c>
      <c r="AM491" s="56">
        <f t="shared" si="129"/>
        <v>0</v>
      </c>
      <c r="AN491" s="56">
        <f t="shared" si="129"/>
        <v>0</v>
      </c>
      <c r="AO491" s="56">
        <f t="shared" si="129"/>
        <v>0</v>
      </c>
      <c r="AP491" s="56">
        <f t="shared" ref="AP491" si="130">AP$222*$F$226</f>
        <v>0</v>
      </c>
    </row>
    <row r="492" spans="1:42" outlineLevel="1" x14ac:dyDescent="0.25">
      <c r="A492" s="54"/>
      <c r="B492" s="13"/>
      <c r="C492" s="14" t="s">
        <v>220</v>
      </c>
      <c r="D492" s="14"/>
      <c r="E492" s="70" t="s">
        <v>352</v>
      </c>
      <c r="F492" s="201">
        <f>Data!E488/1000</f>
        <v>1.5499642131509336E-2</v>
      </c>
      <c r="G492" s="56"/>
      <c r="H492" s="56"/>
      <c r="I492" s="56">
        <f>I$487*$F$492</f>
        <v>797.92157693010063</v>
      </c>
      <c r="J492" s="56">
        <f t="shared" ref="J492:AO492" si="131">J$487*$F$492</f>
        <v>797.92157693010063</v>
      </c>
      <c r="K492" s="56">
        <f t="shared" si="131"/>
        <v>797.92157693010063</v>
      </c>
      <c r="L492" s="56">
        <f t="shared" si="131"/>
        <v>797.92157693010063</v>
      </c>
      <c r="M492" s="56">
        <f t="shared" si="131"/>
        <v>797.92157693010063</v>
      </c>
      <c r="N492" s="56">
        <f t="shared" si="131"/>
        <v>797.92157693010063</v>
      </c>
      <c r="O492" s="56">
        <f t="shared" si="131"/>
        <v>797.92157693010063</v>
      </c>
      <c r="P492" s="56">
        <f t="shared" si="131"/>
        <v>797.92157693010063</v>
      </c>
      <c r="Q492" s="56">
        <f t="shared" si="131"/>
        <v>797.92157693010063</v>
      </c>
      <c r="R492" s="56">
        <f t="shared" si="131"/>
        <v>797.92157693010063</v>
      </c>
      <c r="S492" s="56">
        <f t="shared" si="131"/>
        <v>797.92157693010063</v>
      </c>
      <c r="T492" s="56">
        <f t="shared" si="131"/>
        <v>797.92157693010063</v>
      </c>
      <c r="U492" s="56">
        <f t="shared" si="131"/>
        <v>0</v>
      </c>
      <c r="V492" s="56">
        <f t="shared" si="131"/>
        <v>0</v>
      </c>
      <c r="W492" s="56">
        <f t="shared" si="131"/>
        <v>0</v>
      </c>
      <c r="X492" s="56">
        <f t="shared" si="131"/>
        <v>0</v>
      </c>
      <c r="Y492" s="56">
        <f t="shared" si="131"/>
        <v>0</v>
      </c>
      <c r="Z492" s="56">
        <f t="shared" si="131"/>
        <v>0</v>
      </c>
      <c r="AA492" s="56">
        <f t="shared" si="131"/>
        <v>0</v>
      </c>
      <c r="AB492" s="56">
        <f t="shared" si="131"/>
        <v>0</v>
      </c>
      <c r="AC492" s="56">
        <f t="shared" si="131"/>
        <v>0</v>
      </c>
      <c r="AD492" s="56">
        <f t="shared" si="131"/>
        <v>0</v>
      </c>
      <c r="AE492" s="56">
        <f t="shared" si="131"/>
        <v>0</v>
      </c>
      <c r="AF492" s="56">
        <f t="shared" si="131"/>
        <v>0</v>
      </c>
      <c r="AG492" s="56">
        <f t="shared" si="131"/>
        <v>0</v>
      </c>
      <c r="AH492" s="56">
        <f t="shared" si="131"/>
        <v>0</v>
      </c>
      <c r="AI492" s="56">
        <f t="shared" si="131"/>
        <v>0</v>
      </c>
      <c r="AJ492" s="56">
        <f t="shared" si="131"/>
        <v>0</v>
      </c>
      <c r="AK492" s="56">
        <f t="shared" si="131"/>
        <v>0</v>
      </c>
      <c r="AL492" s="56">
        <f t="shared" si="131"/>
        <v>0</v>
      </c>
      <c r="AM492" s="56">
        <f t="shared" si="131"/>
        <v>0</v>
      </c>
      <c r="AN492" s="56">
        <f t="shared" si="131"/>
        <v>0</v>
      </c>
      <c r="AO492" s="56">
        <f t="shared" si="131"/>
        <v>0</v>
      </c>
      <c r="AP492" s="56">
        <f t="shared" ref="AP492" si="132">AP$222*$F$227</f>
        <v>0</v>
      </c>
    </row>
    <row r="493" spans="1:42" outlineLevel="1" x14ac:dyDescent="0.25">
      <c r="A493" s="54"/>
      <c r="B493" s="13"/>
      <c r="C493" s="14" t="s">
        <v>212</v>
      </c>
      <c r="D493" s="14"/>
      <c r="E493" s="70" t="s">
        <v>352</v>
      </c>
      <c r="F493" s="201">
        <f>Data!E489/1000</f>
        <v>1.7773516852597467E-3</v>
      </c>
      <c r="G493" s="56"/>
      <c r="H493" s="56"/>
      <c r="I493" s="56">
        <f>I$487*$F$493</f>
        <v>91.498064757171761</v>
      </c>
      <c r="J493" s="56">
        <f t="shared" ref="J493:AO493" si="133">J$487*$F$493</f>
        <v>91.498064757171761</v>
      </c>
      <c r="K493" s="56">
        <f t="shared" si="133"/>
        <v>91.498064757171761</v>
      </c>
      <c r="L493" s="56">
        <f t="shared" si="133"/>
        <v>91.498064757171761</v>
      </c>
      <c r="M493" s="56">
        <f t="shared" si="133"/>
        <v>91.498064757171761</v>
      </c>
      <c r="N493" s="56">
        <f t="shared" si="133"/>
        <v>91.498064757171761</v>
      </c>
      <c r="O493" s="56">
        <f t="shared" si="133"/>
        <v>91.498064757171761</v>
      </c>
      <c r="P493" s="56">
        <f t="shared" si="133"/>
        <v>91.498064757171761</v>
      </c>
      <c r="Q493" s="56">
        <f t="shared" si="133"/>
        <v>91.498064757171761</v>
      </c>
      <c r="R493" s="56">
        <f t="shared" si="133"/>
        <v>91.498064757171761</v>
      </c>
      <c r="S493" s="56">
        <f t="shared" si="133"/>
        <v>91.498064757171761</v>
      </c>
      <c r="T493" s="56">
        <f t="shared" si="133"/>
        <v>91.498064757171761</v>
      </c>
      <c r="U493" s="56">
        <f t="shared" si="133"/>
        <v>0</v>
      </c>
      <c r="V493" s="56">
        <f t="shared" si="133"/>
        <v>0</v>
      </c>
      <c r="W493" s="56">
        <f t="shared" si="133"/>
        <v>0</v>
      </c>
      <c r="X493" s="56">
        <f t="shared" si="133"/>
        <v>0</v>
      </c>
      <c r="Y493" s="56">
        <f t="shared" si="133"/>
        <v>0</v>
      </c>
      <c r="Z493" s="56">
        <f t="shared" si="133"/>
        <v>0</v>
      </c>
      <c r="AA493" s="56">
        <f t="shared" si="133"/>
        <v>0</v>
      </c>
      <c r="AB493" s="56">
        <f t="shared" si="133"/>
        <v>0</v>
      </c>
      <c r="AC493" s="56">
        <f t="shared" si="133"/>
        <v>0</v>
      </c>
      <c r="AD493" s="56">
        <f t="shared" si="133"/>
        <v>0</v>
      </c>
      <c r="AE493" s="56">
        <f t="shared" si="133"/>
        <v>0</v>
      </c>
      <c r="AF493" s="56">
        <f t="shared" si="133"/>
        <v>0</v>
      </c>
      <c r="AG493" s="56">
        <f t="shared" si="133"/>
        <v>0</v>
      </c>
      <c r="AH493" s="56">
        <f t="shared" si="133"/>
        <v>0</v>
      </c>
      <c r="AI493" s="56">
        <f t="shared" si="133"/>
        <v>0</v>
      </c>
      <c r="AJ493" s="56">
        <f t="shared" si="133"/>
        <v>0</v>
      </c>
      <c r="AK493" s="56">
        <f t="shared" si="133"/>
        <v>0</v>
      </c>
      <c r="AL493" s="56">
        <f t="shared" si="133"/>
        <v>0</v>
      </c>
      <c r="AM493" s="56">
        <f t="shared" si="133"/>
        <v>0</v>
      </c>
      <c r="AN493" s="56">
        <f t="shared" si="133"/>
        <v>0</v>
      </c>
      <c r="AO493" s="56">
        <f t="shared" si="133"/>
        <v>0</v>
      </c>
      <c r="AP493" s="56">
        <f t="shared" ref="AP493" si="134">AP$222*$F$228</f>
        <v>0</v>
      </c>
    </row>
    <row r="494" spans="1:42" outlineLevel="1" x14ac:dyDescent="0.25">
      <c r="A494" s="54"/>
      <c r="B494" s="13"/>
      <c r="C494" s="14" t="s">
        <v>485</v>
      </c>
      <c r="D494" s="14"/>
      <c r="E494" s="70" t="s">
        <v>352</v>
      </c>
      <c r="F494" s="201">
        <f>Data!E490/1000</f>
        <v>3.8228686252612731E-4</v>
      </c>
      <c r="G494" s="56"/>
      <c r="H494" s="56"/>
      <c r="I494" s="56">
        <f>I$487*$F$494</f>
        <v>19.680127682845033</v>
      </c>
      <c r="J494" s="56">
        <f t="shared" ref="J494:AO494" si="135">J$487*$F$494</f>
        <v>19.680127682845033</v>
      </c>
      <c r="K494" s="56">
        <f t="shared" si="135"/>
        <v>19.680127682845033</v>
      </c>
      <c r="L494" s="56">
        <f t="shared" si="135"/>
        <v>19.680127682845033</v>
      </c>
      <c r="M494" s="56">
        <f t="shared" si="135"/>
        <v>19.680127682845033</v>
      </c>
      <c r="N494" s="56">
        <f t="shared" si="135"/>
        <v>19.680127682845033</v>
      </c>
      <c r="O494" s="56">
        <f t="shared" si="135"/>
        <v>19.680127682845033</v>
      </c>
      <c r="P494" s="56">
        <f t="shared" si="135"/>
        <v>19.680127682845033</v>
      </c>
      <c r="Q494" s="56">
        <f t="shared" si="135"/>
        <v>19.680127682845033</v>
      </c>
      <c r="R494" s="56">
        <f t="shared" si="135"/>
        <v>19.680127682845033</v>
      </c>
      <c r="S494" s="56">
        <f t="shared" si="135"/>
        <v>19.680127682845033</v>
      </c>
      <c r="T494" s="56">
        <f t="shared" si="135"/>
        <v>19.680127682845033</v>
      </c>
      <c r="U494" s="56">
        <f t="shared" si="135"/>
        <v>0</v>
      </c>
      <c r="V494" s="56">
        <f t="shared" si="135"/>
        <v>0</v>
      </c>
      <c r="W494" s="56">
        <f t="shared" si="135"/>
        <v>0</v>
      </c>
      <c r="X494" s="56">
        <f t="shared" si="135"/>
        <v>0</v>
      </c>
      <c r="Y494" s="56">
        <f t="shared" si="135"/>
        <v>0</v>
      </c>
      <c r="Z494" s="56">
        <f t="shared" si="135"/>
        <v>0</v>
      </c>
      <c r="AA494" s="56">
        <f t="shared" si="135"/>
        <v>0</v>
      </c>
      <c r="AB494" s="56">
        <f t="shared" si="135"/>
        <v>0</v>
      </c>
      <c r="AC494" s="56">
        <f t="shared" si="135"/>
        <v>0</v>
      </c>
      <c r="AD494" s="56">
        <f t="shared" si="135"/>
        <v>0</v>
      </c>
      <c r="AE494" s="56">
        <f t="shared" si="135"/>
        <v>0</v>
      </c>
      <c r="AF494" s="56">
        <f t="shared" si="135"/>
        <v>0</v>
      </c>
      <c r="AG494" s="56">
        <f t="shared" si="135"/>
        <v>0</v>
      </c>
      <c r="AH494" s="56">
        <f t="shared" si="135"/>
        <v>0</v>
      </c>
      <c r="AI494" s="56">
        <f t="shared" si="135"/>
        <v>0</v>
      </c>
      <c r="AJ494" s="56">
        <f t="shared" si="135"/>
        <v>0</v>
      </c>
      <c r="AK494" s="56">
        <f t="shared" si="135"/>
        <v>0</v>
      </c>
      <c r="AL494" s="56">
        <f t="shared" si="135"/>
        <v>0</v>
      </c>
      <c r="AM494" s="56">
        <f t="shared" si="135"/>
        <v>0</v>
      </c>
      <c r="AN494" s="56">
        <f t="shared" si="135"/>
        <v>0</v>
      </c>
      <c r="AO494" s="56">
        <f t="shared" si="135"/>
        <v>0</v>
      </c>
      <c r="AP494" s="56">
        <f t="shared" ref="AP494" si="136">AP$222*$F$229</f>
        <v>0</v>
      </c>
    </row>
    <row r="495" spans="1:42" outlineLevel="1" x14ac:dyDescent="0.25">
      <c r="A495" s="54"/>
      <c r="B495" s="13"/>
      <c r="C495" s="14" t="s">
        <v>214</v>
      </c>
      <c r="D495" s="14"/>
      <c r="E495" s="70" t="s">
        <v>352</v>
      </c>
      <c r="F495" s="201">
        <f>Data!E491/1000</f>
        <v>4.1005175397632309E-5</v>
      </c>
      <c r="G495" s="56"/>
      <c r="H495" s="56"/>
      <c r="I495" s="56">
        <f>I$487*$F$495</f>
        <v>2.1109464294701112</v>
      </c>
      <c r="J495" s="56">
        <f t="shared" ref="J495:AO495" si="137">J$487*$F$495</f>
        <v>2.1109464294701112</v>
      </c>
      <c r="K495" s="56">
        <f t="shared" si="137"/>
        <v>2.1109464294701112</v>
      </c>
      <c r="L495" s="56">
        <f t="shared" si="137"/>
        <v>2.1109464294701112</v>
      </c>
      <c r="M495" s="56">
        <f t="shared" si="137"/>
        <v>2.1109464294701112</v>
      </c>
      <c r="N495" s="56">
        <f t="shared" si="137"/>
        <v>2.1109464294701112</v>
      </c>
      <c r="O495" s="56">
        <f t="shared" si="137"/>
        <v>2.1109464294701112</v>
      </c>
      <c r="P495" s="56">
        <f t="shared" si="137"/>
        <v>2.1109464294701112</v>
      </c>
      <c r="Q495" s="56">
        <f t="shared" si="137"/>
        <v>2.1109464294701112</v>
      </c>
      <c r="R495" s="56">
        <f t="shared" si="137"/>
        <v>2.1109464294701112</v>
      </c>
      <c r="S495" s="56">
        <f t="shared" si="137"/>
        <v>2.1109464294701112</v>
      </c>
      <c r="T495" s="56">
        <f t="shared" si="137"/>
        <v>2.1109464294701112</v>
      </c>
      <c r="U495" s="56">
        <f t="shared" si="137"/>
        <v>0</v>
      </c>
      <c r="V495" s="56">
        <f t="shared" si="137"/>
        <v>0</v>
      </c>
      <c r="W495" s="56">
        <f t="shared" si="137"/>
        <v>0</v>
      </c>
      <c r="X495" s="56">
        <f t="shared" si="137"/>
        <v>0</v>
      </c>
      <c r="Y495" s="56">
        <f t="shared" si="137"/>
        <v>0</v>
      </c>
      <c r="Z495" s="56">
        <f t="shared" si="137"/>
        <v>0</v>
      </c>
      <c r="AA495" s="56">
        <f t="shared" si="137"/>
        <v>0</v>
      </c>
      <c r="AB495" s="56">
        <f t="shared" si="137"/>
        <v>0</v>
      </c>
      <c r="AC495" s="56">
        <f t="shared" si="137"/>
        <v>0</v>
      </c>
      <c r="AD495" s="56">
        <f t="shared" si="137"/>
        <v>0</v>
      </c>
      <c r="AE495" s="56">
        <f t="shared" si="137"/>
        <v>0</v>
      </c>
      <c r="AF495" s="56">
        <f t="shared" si="137"/>
        <v>0</v>
      </c>
      <c r="AG495" s="56">
        <f t="shared" si="137"/>
        <v>0</v>
      </c>
      <c r="AH495" s="56">
        <f t="shared" si="137"/>
        <v>0</v>
      </c>
      <c r="AI495" s="56">
        <f t="shared" si="137"/>
        <v>0</v>
      </c>
      <c r="AJ495" s="56">
        <f t="shared" si="137"/>
        <v>0</v>
      </c>
      <c r="AK495" s="56">
        <f t="shared" si="137"/>
        <v>0</v>
      </c>
      <c r="AL495" s="56">
        <f t="shared" si="137"/>
        <v>0</v>
      </c>
      <c r="AM495" s="56">
        <f t="shared" si="137"/>
        <v>0</v>
      </c>
      <c r="AN495" s="56">
        <f t="shared" si="137"/>
        <v>0</v>
      </c>
      <c r="AO495" s="56">
        <f t="shared" si="137"/>
        <v>0</v>
      </c>
      <c r="AP495" s="56">
        <f t="shared" ref="AP495" si="138">AP$222*$F$230</f>
        <v>0</v>
      </c>
    </row>
    <row r="496" spans="1:42" outlineLevel="1" x14ac:dyDescent="0.25">
      <c r="A496" s="12"/>
      <c r="B496" s="13"/>
      <c r="C496" s="14"/>
      <c r="D496" s="14"/>
      <c r="E496" s="15"/>
      <c r="F496" s="16"/>
      <c r="G496" s="159"/>
      <c r="H496" s="159"/>
      <c r="I496" s="159"/>
      <c r="J496" s="159"/>
      <c r="K496" s="159"/>
      <c r="L496" s="159"/>
      <c r="M496" s="159"/>
      <c r="N496" s="159"/>
      <c r="O496" s="159"/>
      <c r="P496" s="159"/>
      <c r="Q496" s="159"/>
      <c r="R496" s="159"/>
      <c r="S496" s="159"/>
      <c r="T496" s="159"/>
      <c r="U496" s="159"/>
      <c r="V496" s="159"/>
      <c r="W496" s="159"/>
      <c r="X496" s="14"/>
      <c r="Y496" s="14"/>
      <c r="Z496" s="14"/>
      <c r="AA496" s="14"/>
      <c r="AB496" s="14"/>
      <c r="AC496" s="14"/>
      <c r="AD496" s="14"/>
      <c r="AE496" s="14"/>
      <c r="AF496" s="14"/>
      <c r="AG496" s="14"/>
      <c r="AH496" s="14"/>
      <c r="AI496" s="14"/>
      <c r="AJ496" s="14"/>
      <c r="AK496" s="14"/>
      <c r="AL496" s="14"/>
      <c r="AM496" s="14"/>
      <c r="AN496" s="14"/>
      <c r="AO496" s="14"/>
      <c r="AP496" s="14"/>
    </row>
    <row r="497" spans="1:42" outlineLevel="1" x14ac:dyDescent="0.25">
      <c r="A497" s="54"/>
      <c r="B497" s="13"/>
      <c r="C497" s="14" t="s">
        <v>205</v>
      </c>
      <c r="D497" s="14"/>
      <c r="E497" s="70" t="s">
        <v>474</v>
      </c>
      <c r="F497" s="200">
        <f>Data!$E$35/1000</f>
        <v>3.4099438202247192E-3</v>
      </c>
      <c r="G497" s="56"/>
      <c r="H497" s="56"/>
      <c r="I497" s="56">
        <f>I489*$F$497</f>
        <v>0.77158032385198883</v>
      </c>
      <c r="J497" s="56">
        <f t="shared" ref="J497:AP497" si="139">J489*$F$497</f>
        <v>0.77158032385198883</v>
      </c>
      <c r="K497" s="56">
        <f t="shared" si="139"/>
        <v>0.77158032385198883</v>
      </c>
      <c r="L497" s="56">
        <f t="shared" si="139"/>
        <v>0.77158032385198883</v>
      </c>
      <c r="M497" s="56">
        <f t="shared" si="139"/>
        <v>0.77158032385198883</v>
      </c>
      <c r="N497" s="56">
        <f t="shared" si="139"/>
        <v>0.77158032385198883</v>
      </c>
      <c r="O497" s="56">
        <f t="shared" si="139"/>
        <v>0.77158032385198883</v>
      </c>
      <c r="P497" s="56">
        <f t="shared" si="139"/>
        <v>0.77158032385198883</v>
      </c>
      <c r="Q497" s="56">
        <f t="shared" si="139"/>
        <v>0.77158032385198883</v>
      </c>
      <c r="R497" s="56">
        <f t="shared" si="139"/>
        <v>0.77158032385198883</v>
      </c>
      <c r="S497" s="56">
        <f t="shared" si="139"/>
        <v>0.77158032385198883</v>
      </c>
      <c r="T497" s="56">
        <f t="shared" si="139"/>
        <v>0.77158032385198883</v>
      </c>
      <c r="U497" s="56">
        <f t="shared" si="139"/>
        <v>0</v>
      </c>
      <c r="V497" s="56">
        <f t="shared" si="139"/>
        <v>0</v>
      </c>
      <c r="W497" s="56">
        <f t="shared" si="139"/>
        <v>0</v>
      </c>
      <c r="X497" s="56">
        <f t="shared" si="139"/>
        <v>0</v>
      </c>
      <c r="Y497" s="56">
        <f t="shared" si="139"/>
        <v>0</v>
      </c>
      <c r="Z497" s="56">
        <f t="shared" si="139"/>
        <v>0</v>
      </c>
      <c r="AA497" s="56">
        <f t="shared" si="139"/>
        <v>0</v>
      </c>
      <c r="AB497" s="56">
        <f t="shared" si="139"/>
        <v>0</v>
      </c>
      <c r="AC497" s="56">
        <f t="shared" si="139"/>
        <v>0</v>
      </c>
      <c r="AD497" s="56">
        <f t="shared" si="139"/>
        <v>0</v>
      </c>
      <c r="AE497" s="56">
        <f t="shared" si="139"/>
        <v>0</v>
      </c>
      <c r="AF497" s="56">
        <f t="shared" si="139"/>
        <v>0</v>
      </c>
      <c r="AG497" s="56">
        <f t="shared" si="139"/>
        <v>0</v>
      </c>
      <c r="AH497" s="56">
        <f t="shared" si="139"/>
        <v>0</v>
      </c>
      <c r="AI497" s="56">
        <f t="shared" si="139"/>
        <v>0</v>
      </c>
      <c r="AJ497" s="56">
        <f t="shared" si="139"/>
        <v>0</v>
      </c>
      <c r="AK497" s="56">
        <f t="shared" si="139"/>
        <v>0</v>
      </c>
      <c r="AL497" s="56">
        <f t="shared" si="139"/>
        <v>0</v>
      </c>
      <c r="AM497" s="56">
        <f t="shared" si="139"/>
        <v>0</v>
      </c>
      <c r="AN497" s="56">
        <f t="shared" si="139"/>
        <v>0</v>
      </c>
      <c r="AO497" s="56">
        <f t="shared" si="139"/>
        <v>0</v>
      </c>
      <c r="AP497" s="56">
        <f t="shared" si="139"/>
        <v>0</v>
      </c>
    </row>
    <row r="498" spans="1:42" outlineLevel="1" x14ac:dyDescent="0.25">
      <c r="A498" s="54"/>
      <c r="B498" s="13"/>
      <c r="C498" s="14" t="s">
        <v>484</v>
      </c>
      <c r="D498" s="14"/>
      <c r="E498" s="70" t="s">
        <v>474</v>
      </c>
      <c r="F498" s="200"/>
      <c r="G498" s="56"/>
      <c r="H498" s="56"/>
      <c r="I498" s="56">
        <f>I490*Data!H$16/1000</f>
        <v>13843.910969316496</v>
      </c>
      <c r="J498" s="56">
        <f>J490*Data!I$16/1000</f>
        <v>15271.118285740877</v>
      </c>
      <c r="K498" s="56">
        <f>K490*Data!J$16/1000</f>
        <v>16555.60487052282</v>
      </c>
      <c r="L498" s="56">
        <f>L490*Data!K$16/1000</f>
        <v>17982.812186947202</v>
      </c>
      <c r="M498" s="56">
        <f>M490*Data!L$16/1000</f>
        <v>19410.019503371583</v>
      </c>
      <c r="N498" s="56">
        <f>N490*Data!M$16/1000</f>
        <v>20837.226819795964</v>
      </c>
      <c r="O498" s="56">
        <f>O490*Data!N$16/1000</f>
        <v>22121.713404577902</v>
      </c>
      <c r="P498" s="56">
        <f>P490*Data!O$16/1000</f>
        <v>22978.037794432537</v>
      </c>
      <c r="Q498" s="56">
        <f>Q490*Data!P$16/1000</f>
        <v>23834.362184287162</v>
      </c>
      <c r="R498" s="56">
        <f>R490*Data!Q$16/1000</f>
        <v>24833.407305784229</v>
      </c>
      <c r="S498" s="56">
        <f>S490*Data!R$16/1000</f>
        <v>25689.731695638857</v>
      </c>
      <c r="T498" s="56">
        <f>T490*Data!S$16/1000</f>
        <v>26546.056085493485</v>
      </c>
      <c r="U498" s="56">
        <f>U490*Data!T$16/1000</f>
        <v>0</v>
      </c>
      <c r="V498" s="56">
        <f>V490*Data!U$16/1000</f>
        <v>0</v>
      </c>
      <c r="W498" s="56">
        <f>W490*Data!V$16/1000</f>
        <v>0</v>
      </c>
      <c r="X498" s="56">
        <f>X490*Data!W$16/1000</f>
        <v>0</v>
      </c>
      <c r="Y498" s="56">
        <f>Y490*Data!X$16/1000</f>
        <v>0</v>
      </c>
      <c r="Z498" s="56">
        <f>Z490*Data!Y$16/1000</f>
        <v>0</v>
      </c>
      <c r="AA498" s="56">
        <f>AA490*Data!Z$16/1000</f>
        <v>0</v>
      </c>
      <c r="AB498" s="56">
        <f>AB490*Data!AA$16/1000</f>
        <v>0</v>
      </c>
      <c r="AC498" s="56">
        <f>AC490*Data!AB$16/1000</f>
        <v>0</v>
      </c>
      <c r="AD498" s="56">
        <f>AD490*Data!AC$16/1000</f>
        <v>0</v>
      </c>
      <c r="AE498" s="56">
        <f>AE490*Data!AD$16/1000</f>
        <v>0</v>
      </c>
      <c r="AF498" s="56">
        <f>AF490*Data!AE$16/1000</f>
        <v>0</v>
      </c>
      <c r="AG498" s="56">
        <f>AG490*Data!AF$16/1000</f>
        <v>0</v>
      </c>
      <c r="AH498" s="56">
        <f>AH490*Data!AG$16/1000</f>
        <v>0</v>
      </c>
      <c r="AI498" s="56">
        <f>AI490*Data!AH$16/1000</f>
        <v>0</v>
      </c>
      <c r="AJ498" s="56">
        <f>AJ490*Data!AI$16/1000</f>
        <v>0</v>
      </c>
      <c r="AK498" s="56">
        <f>AK490*Data!AJ$16/1000</f>
        <v>0</v>
      </c>
      <c r="AL498" s="56">
        <f>AL490*Data!AK$16/1000</f>
        <v>0</v>
      </c>
      <c r="AM498" s="56">
        <f>AM490*Data!AL$16/1000</f>
        <v>0</v>
      </c>
      <c r="AN498" s="56">
        <f>AN490*Data!AM$16/1000</f>
        <v>0</v>
      </c>
      <c r="AO498" s="56">
        <f>AO490*Data!AN$16/1000</f>
        <v>0</v>
      </c>
      <c r="AP498" s="56">
        <f>AP490*Data!AO$16/1000</f>
        <v>0</v>
      </c>
    </row>
    <row r="499" spans="1:42" outlineLevel="1" x14ac:dyDescent="0.25">
      <c r="A499" s="54"/>
      <c r="B499" s="13"/>
      <c r="C499" s="14" t="s">
        <v>285</v>
      </c>
      <c r="D499" s="14"/>
      <c r="E499" s="70" t="s">
        <v>474</v>
      </c>
      <c r="F499" s="200">
        <f>Data!$E$36/1000</f>
        <v>1.0822865168539326</v>
      </c>
      <c r="G499" s="56"/>
      <c r="H499" s="56"/>
      <c r="I499" s="56">
        <f>I491*$F$499</f>
        <v>19.454660332738875</v>
      </c>
      <c r="J499" s="56">
        <f t="shared" ref="J499:AP499" si="140">J491*$F$499</f>
        <v>19.454660332738875</v>
      </c>
      <c r="K499" s="56">
        <f t="shared" si="140"/>
        <v>19.454660332738875</v>
      </c>
      <c r="L499" s="56">
        <f t="shared" si="140"/>
        <v>19.454660332738875</v>
      </c>
      <c r="M499" s="56">
        <f t="shared" si="140"/>
        <v>19.454660332738875</v>
      </c>
      <c r="N499" s="56">
        <f t="shared" si="140"/>
        <v>19.454660332738875</v>
      </c>
      <c r="O499" s="56">
        <f t="shared" si="140"/>
        <v>19.454660332738875</v>
      </c>
      <c r="P499" s="56">
        <f t="shared" si="140"/>
        <v>19.454660332738875</v>
      </c>
      <c r="Q499" s="56">
        <f t="shared" si="140"/>
        <v>19.454660332738875</v>
      </c>
      <c r="R499" s="56">
        <f t="shared" si="140"/>
        <v>19.454660332738875</v>
      </c>
      <c r="S499" s="56">
        <f t="shared" si="140"/>
        <v>19.454660332738875</v>
      </c>
      <c r="T499" s="56">
        <f t="shared" si="140"/>
        <v>19.454660332738875</v>
      </c>
      <c r="U499" s="56">
        <f t="shared" si="140"/>
        <v>0</v>
      </c>
      <c r="V499" s="56">
        <f t="shared" si="140"/>
        <v>0</v>
      </c>
      <c r="W499" s="56">
        <f t="shared" si="140"/>
        <v>0</v>
      </c>
      <c r="X499" s="56">
        <f t="shared" si="140"/>
        <v>0</v>
      </c>
      <c r="Y499" s="56">
        <f t="shared" si="140"/>
        <v>0</v>
      </c>
      <c r="Z499" s="56">
        <f t="shared" si="140"/>
        <v>0</v>
      </c>
      <c r="AA499" s="56">
        <f t="shared" si="140"/>
        <v>0</v>
      </c>
      <c r="AB499" s="56">
        <f t="shared" si="140"/>
        <v>0</v>
      </c>
      <c r="AC499" s="56">
        <f t="shared" si="140"/>
        <v>0</v>
      </c>
      <c r="AD499" s="56">
        <f t="shared" si="140"/>
        <v>0</v>
      </c>
      <c r="AE499" s="56">
        <f t="shared" si="140"/>
        <v>0</v>
      </c>
      <c r="AF499" s="56">
        <f t="shared" si="140"/>
        <v>0</v>
      </c>
      <c r="AG499" s="56">
        <f t="shared" si="140"/>
        <v>0</v>
      </c>
      <c r="AH499" s="56">
        <f t="shared" si="140"/>
        <v>0</v>
      </c>
      <c r="AI499" s="56">
        <f t="shared" si="140"/>
        <v>0</v>
      </c>
      <c r="AJ499" s="56">
        <f t="shared" si="140"/>
        <v>0</v>
      </c>
      <c r="AK499" s="56">
        <f t="shared" si="140"/>
        <v>0</v>
      </c>
      <c r="AL499" s="56">
        <f t="shared" si="140"/>
        <v>0</v>
      </c>
      <c r="AM499" s="56">
        <f t="shared" si="140"/>
        <v>0</v>
      </c>
      <c r="AN499" s="56">
        <f t="shared" si="140"/>
        <v>0</v>
      </c>
      <c r="AO499" s="56">
        <f t="shared" si="140"/>
        <v>0</v>
      </c>
      <c r="AP499" s="56">
        <f t="shared" si="140"/>
        <v>0</v>
      </c>
    </row>
    <row r="500" spans="1:42" outlineLevel="1" x14ac:dyDescent="0.25">
      <c r="A500" s="54"/>
      <c r="B500" s="13"/>
      <c r="C500" s="14" t="s">
        <v>220</v>
      </c>
      <c r="D500" s="14"/>
      <c r="E500" s="70" t="s">
        <v>474</v>
      </c>
      <c r="F500" s="200">
        <f>Data!$E$37/1000</f>
        <v>371.00188764044947</v>
      </c>
      <c r="G500" s="56"/>
      <c r="H500" s="56"/>
      <c r="I500" s="56">
        <f>I492*$F$500</f>
        <v>296030.41123011144</v>
      </c>
      <c r="J500" s="56">
        <f t="shared" ref="J500:AP500" si="141">J492*$F$500</f>
        <v>296030.41123011144</v>
      </c>
      <c r="K500" s="56">
        <f t="shared" si="141"/>
        <v>296030.41123011144</v>
      </c>
      <c r="L500" s="56">
        <f t="shared" si="141"/>
        <v>296030.41123011144</v>
      </c>
      <c r="M500" s="56">
        <f t="shared" si="141"/>
        <v>296030.41123011144</v>
      </c>
      <c r="N500" s="56">
        <f t="shared" si="141"/>
        <v>296030.41123011144</v>
      </c>
      <c r="O500" s="56">
        <f t="shared" si="141"/>
        <v>296030.41123011144</v>
      </c>
      <c r="P500" s="56">
        <f t="shared" si="141"/>
        <v>296030.41123011144</v>
      </c>
      <c r="Q500" s="56">
        <f t="shared" si="141"/>
        <v>296030.41123011144</v>
      </c>
      <c r="R500" s="56">
        <f t="shared" si="141"/>
        <v>296030.41123011144</v>
      </c>
      <c r="S500" s="56">
        <f t="shared" si="141"/>
        <v>296030.41123011144</v>
      </c>
      <c r="T500" s="56">
        <f t="shared" si="141"/>
        <v>296030.41123011144</v>
      </c>
      <c r="U500" s="56">
        <f t="shared" si="141"/>
        <v>0</v>
      </c>
      <c r="V500" s="56">
        <f t="shared" si="141"/>
        <v>0</v>
      </c>
      <c r="W500" s="56">
        <f t="shared" si="141"/>
        <v>0</v>
      </c>
      <c r="X500" s="56">
        <f t="shared" si="141"/>
        <v>0</v>
      </c>
      <c r="Y500" s="56">
        <f t="shared" si="141"/>
        <v>0</v>
      </c>
      <c r="Z500" s="56">
        <f t="shared" si="141"/>
        <v>0</v>
      </c>
      <c r="AA500" s="56">
        <f t="shared" si="141"/>
        <v>0</v>
      </c>
      <c r="AB500" s="56">
        <f t="shared" si="141"/>
        <v>0</v>
      </c>
      <c r="AC500" s="56">
        <f t="shared" si="141"/>
        <v>0</v>
      </c>
      <c r="AD500" s="56">
        <f t="shared" si="141"/>
        <v>0</v>
      </c>
      <c r="AE500" s="56">
        <f t="shared" si="141"/>
        <v>0</v>
      </c>
      <c r="AF500" s="56">
        <f t="shared" si="141"/>
        <v>0</v>
      </c>
      <c r="AG500" s="56">
        <f t="shared" si="141"/>
        <v>0</v>
      </c>
      <c r="AH500" s="56">
        <f t="shared" si="141"/>
        <v>0</v>
      </c>
      <c r="AI500" s="56">
        <f t="shared" si="141"/>
        <v>0</v>
      </c>
      <c r="AJ500" s="56">
        <f t="shared" si="141"/>
        <v>0</v>
      </c>
      <c r="AK500" s="56">
        <f t="shared" si="141"/>
        <v>0</v>
      </c>
      <c r="AL500" s="56">
        <f t="shared" si="141"/>
        <v>0</v>
      </c>
      <c r="AM500" s="56">
        <f t="shared" si="141"/>
        <v>0</v>
      </c>
      <c r="AN500" s="56">
        <f t="shared" si="141"/>
        <v>0</v>
      </c>
      <c r="AO500" s="56">
        <f t="shared" si="141"/>
        <v>0</v>
      </c>
      <c r="AP500" s="56">
        <f t="shared" si="141"/>
        <v>0</v>
      </c>
    </row>
    <row r="501" spans="1:42" outlineLevel="1" x14ac:dyDescent="0.25">
      <c r="A501" s="54"/>
      <c r="B501" s="13"/>
      <c r="C501" s="14" t="s">
        <v>212</v>
      </c>
      <c r="D501" s="14"/>
      <c r="E501" s="70" t="s">
        <v>474</v>
      </c>
      <c r="F501" s="200">
        <f>Data!$E$39/1000</f>
        <v>0</v>
      </c>
      <c r="G501" s="56"/>
      <c r="H501" s="56"/>
      <c r="I501" s="56">
        <f>I493*$F$501</f>
        <v>0</v>
      </c>
      <c r="J501" s="56">
        <f t="shared" ref="J501:AP501" si="142">J493*$F$501</f>
        <v>0</v>
      </c>
      <c r="K501" s="56">
        <f t="shared" si="142"/>
        <v>0</v>
      </c>
      <c r="L501" s="56">
        <f t="shared" si="142"/>
        <v>0</v>
      </c>
      <c r="M501" s="56">
        <f t="shared" si="142"/>
        <v>0</v>
      </c>
      <c r="N501" s="56">
        <f t="shared" si="142"/>
        <v>0</v>
      </c>
      <c r="O501" s="56">
        <f t="shared" si="142"/>
        <v>0</v>
      </c>
      <c r="P501" s="56">
        <f t="shared" si="142"/>
        <v>0</v>
      </c>
      <c r="Q501" s="56">
        <f t="shared" si="142"/>
        <v>0</v>
      </c>
      <c r="R501" s="56">
        <f t="shared" si="142"/>
        <v>0</v>
      </c>
      <c r="S501" s="56">
        <f t="shared" si="142"/>
        <v>0</v>
      </c>
      <c r="T501" s="56">
        <f t="shared" si="142"/>
        <v>0</v>
      </c>
      <c r="U501" s="56">
        <f t="shared" si="142"/>
        <v>0</v>
      </c>
      <c r="V501" s="56">
        <f t="shared" si="142"/>
        <v>0</v>
      </c>
      <c r="W501" s="56">
        <f t="shared" si="142"/>
        <v>0</v>
      </c>
      <c r="X501" s="56">
        <f t="shared" si="142"/>
        <v>0</v>
      </c>
      <c r="Y501" s="56">
        <f t="shared" si="142"/>
        <v>0</v>
      </c>
      <c r="Z501" s="56">
        <f t="shared" si="142"/>
        <v>0</v>
      </c>
      <c r="AA501" s="56">
        <f t="shared" si="142"/>
        <v>0</v>
      </c>
      <c r="AB501" s="56">
        <f t="shared" si="142"/>
        <v>0</v>
      </c>
      <c r="AC501" s="56">
        <f t="shared" si="142"/>
        <v>0</v>
      </c>
      <c r="AD501" s="56">
        <f t="shared" si="142"/>
        <v>0</v>
      </c>
      <c r="AE501" s="56">
        <f t="shared" si="142"/>
        <v>0</v>
      </c>
      <c r="AF501" s="56">
        <f t="shared" si="142"/>
        <v>0</v>
      </c>
      <c r="AG501" s="56">
        <f t="shared" si="142"/>
        <v>0</v>
      </c>
      <c r="AH501" s="56">
        <f t="shared" si="142"/>
        <v>0</v>
      </c>
      <c r="AI501" s="56">
        <f t="shared" si="142"/>
        <v>0</v>
      </c>
      <c r="AJ501" s="56">
        <f t="shared" si="142"/>
        <v>0</v>
      </c>
      <c r="AK501" s="56">
        <f t="shared" si="142"/>
        <v>0</v>
      </c>
      <c r="AL501" s="56">
        <f t="shared" si="142"/>
        <v>0</v>
      </c>
      <c r="AM501" s="56">
        <f t="shared" si="142"/>
        <v>0</v>
      </c>
      <c r="AN501" s="56">
        <f t="shared" si="142"/>
        <v>0</v>
      </c>
      <c r="AO501" s="56">
        <f t="shared" si="142"/>
        <v>0</v>
      </c>
      <c r="AP501" s="56">
        <f t="shared" si="142"/>
        <v>0</v>
      </c>
    </row>
    <row r="502" spans="1:42" outlineLevel="1" x14ac:dyDescent="0.25">
      <c r="A502" s="54"/>
      <c r="B502" s="13"/>
      <c r="C502" s="14" t="s">
        <v>485</v>
      </c>
      <c r="D502" s="14"/>
      <c r="E502" s="70" t="s">
        <v>474</v>
      </c>
      <c r="F502" s="200">
        <f>Data!$E$40/1000</f>
        <v>605.20914606741576</v>
      </c>
      <c r="G502" s="56"/>
      <c r="H502" s="56"/>
      <c r="I502" s="56">
        <f>I494*$F$502</f>
        <v>11910.593269432351</v>
      </c>
      <c r="J502" s="56">
        <f t="shared" ref="J502:AP502" si="143">J494*$F$502</f>
        <v>11910.593269432351</v>
      </c>
      <c r="K502" s="56">
        <f t="shared" si="143"/>
        <v>11910.593269432351</v>
      </c>
      <c r="L502" s="56">
        <f t="shared" si="143"/>
        <v>11910.593269432351</v>
      </c>
      <c r="M502" s="56">
        <f t="shared" si="143"/>
        <v>11910.593269432351</v>
      </c>
      <c r="N502" s="56">
        <f t="shared" si="143"/>
        <v>11910.593269432351</v>
      </c>
      <c r="O502" s="56">
        <f t="shared" si="143"/>
        <v>11910.593269432351</v>
      </c>
      <c r="P502" s="56">
        <f t="shared" si="143"/>
        <v>11910.593269432351</v>
      </c>
      <c r="Q502" s="56">
        <f t="shared" si="143"/>
        <v>11910.593269432351</v>
      </c>
      <c r="R502" s="56">
        <f t="shared" si="143"/>
        <v>11910.593269432351</v>
      </c>
      <c r="S502" s="56">
        <f t="shared" si="143"/>
        <v>11910.593269432351</v>
      </c>
      <c r="T502" s="56">
        <f t="shared" si="143"/>
        <v>11910.593269432351</v>
      </c>
      <c r="U502" s="56">
        <f t="shared" si="143"/>
        <v>0</v>
      </c>
      <c r="V502" s="56">
        <f t="shared" si="143"/>
        <v>0</v>
      </c>
      <c r="W502" s="56">
        <f t="shared" si="143"/>
        <v>0</v>
      </c>
      <c r="X502" s="56">
        <f t="shared" si="143"/>
        <v>0</v>
      </c>
      <c r="Y502" s="56">
        <f t="shared" si="143"/>
        <v>0</v>
      </c>
      <c r="Z502" s="56">
        <f t="shared" si="143"/>
        <v>0</v>
      </c>
      <c r="AA502" s="56">
        <f t="shared" si="143"/>
        <v>0</v>
      </c>
      <c r="AB502" s="56">
        <f t="shared" si="143"/>
        <v>0</v>
      </c>
      <c r="AC502" s="56">
        <f t="shared" si="143"/>
        <v>0</v>
      </c>
      <c r="AD502" s="56">
        <f t="shared" si="143"/>
        <v>0</v>
      </c>
      <c r="AE502" s="56">
        <f t="shared" si="143"/>
        <v>0</v>
      </c>
      <c r="AF502" s="56">
        <f t="shared" si="143"/>
        <v>0</v>
      </c>
      <c r="AG502" s="56">
        <f t="shared" si="143"/>
        <v>0</v>
      </c>
      <c r="AH502" s="56">
        <f t="shared" si="143"/>
        <v>0</v>
      </c>
      <c r="AI502" s="56">
        <f t="shared" si="143"/>
        <v>0</v>
      </c>
      <c r="AJ502" s="56">
        <f t="shared" si="143"/>
        <v>0</v>
      </c>
      <c r="AK502" s="56">
        <f t="shared" si="143"/>
        <v>0</v>
      </c>
      <c r="AL502" s="56">
        <f t="shared" si="143"/>
        <v>0</v>
      </c>
      <c r="AM502" s="56">
        <f t="shared" si="143"/>
        <v>0</v>
      </c>
      <c r="AN502" s="56">
        <f t="shared" si="143"/>
        <v>0</v>
      </c>
      <c r="AO502" s="56">
        <f t="shared" si="143"/>
        <v>0</v>
      </c>
      <c r="AP502" s="56">
        <f t="shared" si="143"/>
        <v>0</v>
      </c>
    </row>
    <row r="503" spans="1:42" outlineLevel="1" x14ac:dyDescent="0.25">
      <c r="A503" s="54"/>
      <c r="B503" s="13"/>
      <c r="C503" s="14" t="s">
        <v>214</v>
      </c>
      <c r="D503" s="14"/>
      <c r="E503" s="70" t="s">
        <v>474</v>
      </c>
      <c r="F503" s="200">
        <f>Data!$E$41/1000</f>
        <v>0</v>
      </c>
      <c r="G503" s="56"/>
      <c r="H503" s="56"/>
      <c r="I503" s="56">
        <f>I495*$F$503</f>
        <v>0</v>
      </c>
      <c r="J503" s="56">
        <f t="shared" ref="J503:AP503" si="144">J495*$F$503</f>
        <v>0</v>
      </c>
      <c r="K503" s="56">
        <f t="shared" si="144"/>
        <v>0</v>
      </c>
      <c r="L503" s="56">
        <f t="shared" si="144"/>
        <v>0</v>
      </c>
      <c r="M503" s="56">
        <f t="shared" si="144"/>
        <v>0</v>
      </c>
      <c r="N503" s="56">
        <f t="shared" si="144"/>
        <v>0</v>
      </c>
      <c r="O503" s="56">
        <f t="shared" si="144"/>
        <v>0</v>
      </c>
      <c r="P503" s="56">
        <f t="shared" si="144"/>
        <v>0</v>
      </c>
      <c r="Q503" s="56">
        <f t="shared" si="144"/>
        <v>0</v>
      </c>
      <c r="R503" s="56">
        <f t="shared" si="144"/>
        <v>0</v>
      </c>
      <c r="S503" s="56">
        <f t="shared" si="144"/>
        <v>0</v>
      </c>
      <c r="T503" s="56">
        <f t="shared" si="144"/>
        <v>0</v>
      </c>
      <c r="U503" s="56">
        <f t="shared" si="144"/>
        <v>0</v>
      </c>
      <c r="V503" s="56">
        <f t="shared" si="144"/>
        <v>0</v>
      </c>
      <c r="W503" s="56">
        <f t="shared" si="144"/>
        <v>0</v>
      </c>
      <c r="X503" s="56">
        <f t="shared" si="144"/>
        <v>0</v>
      </c>
      <c r="Y503" s="56">
        <f t="shared" si="144"/>
        <v>0</v>
      </c>
      <c r="Z503" s="56">
        <f t="shared" si="144"/>
        <v>0</v>
      </c>
      <c r="AA503" s="56">
        <f t="shared" si="144"/>
        <v>0</v>
      </c>
      <c r="AB503" s="56">
        <f t="shared" si="144"/>
        <v>0</v>
      </c>
      <c r="AC503" s="56">
        <f t="shared" si="144"/>
        <v>0</v>
      </c>
      <c r="AD503" s="56">
        <f t="shared" si="144"/>
        <v>0</v>
      </c>
      <c r="AE503" s="56">
        <f t="shared" si="144"/>
        <v>0</v>
      </c>
      <c r="AF503" s="56">
        <f t="shared" si="144"/>
        <v>0</v>
      </c>
      <c r="AG503" s="56">
        <f t="shared" si="144"/>
        <v>0</v>
      </c>
      <c r="AH503" s="56">
        <f t="shared" si="144"/>
        <v>0</v>
      </c>
      <c r="AI503" s="56">
        <f t="shared" si="144"/>
        <v>0</v>
      </c>
      <c r="AJ503" s="56">
        <f t="shared" si="144"/>
        <v>0</v>
      </c>
      <c r="AK503" s="56">
        <f t="shared" si="144"/>
        <v>0</v>
      </c>
      <c r="AL503" s="56">
        <f t="shared" si="144"/>
        <v>0</v>
      </c>
      <c r="AM503" s="56">
        <f t="shared" si="144"/>
        <v>0</v>
      </c>
      <c r="AN503" s="56">
        <f t="shared" si="144"/>
        <v>0</v>
      </c>
      <c r="AO503" s="56">
        <f t="shared" si="144"/>
        <v>0</v>
      </c>
      <c r="AP503" s="56">
        <f t="shared" si="144"/>
        <v>0</v>
      </c>
    </row>
    <row r="504" spans="1:42" ht="13.5" customHeight="1" outlineLevel="1" x14ac:dyDescent="0.25">
      <c r="A504" s="12"/>
      <c r="B504" s="13"/>
      <c r="C504" s="20" t="s">
        <v>536</v>
      </c>
      <c r="D504" s="14"/>
      <c r="E504" s="70" t="s">
        <v>474</v>
      </c>
      <c r="F504" s="16"/>
      <c r="G504" s="159"/>
      <c r="H504" s="185"/>
      <c r="I504" s="185">
        <f>SUM(I497:I503)</f>
        <v>321805.14170951687</v>
      </c>
      <c r="J504" s="185">
        <f t="shared" ref="J504:AP504" si="145">SUM(J497:J503)</f>
        <v>323232.34902594128</v>
      </c>
      <c r="K504" s="185">
        <f t="shared" si="145"/>
        <v>324516.83561072324</v>
      </c>
      <c r="L504" s="185">
        <f t="shared" si="145"/>
        <v>325944.04292714759</v>
      </c>
      <c r="M504" s="185">
        <f t="shared" si="145"/>
        <v>327371.25024357199</v>
      </c>
      <c r="N504" s="185">
        <f t="shared" si="145"/>
        <v>328798.45755999634</v>
      </c>
      <c r="O504" s="185">
        <f t="shared" si="145"/>
        <v>330082.9441447783</v>
      </c>
      <c r="P504" s="185">
        <f t="shared" si="145"/>
        <v>330939.26853463292</v>
      </c>
      <c r="Q504" s="185">
        <f t="shared" si="145"/>
        <v>331795.59292448754</v>
      </c>
      <c r="R504" s="185">
        <f t="shared" si="145"/>
        <v>332794.63804598461</v>
      </c>
      <c r="S504" s="185">
        <f t="shared" si="145"/>
        <v>333650.96243583923</v>
      </c>
      <c r="T504" s="185">
        <f t="shared" si="145"/>
        <v>334507.28682569391</v>
      </c>
      <c r="U504" s="185">
        <f t="shared" si="145"/>
        <v>0</v>
      </c>
      <c r="V504" s="185">
        <f t="shared" si="145"/>
        <v>0</v>
      </c>
      <c r="W504" s="185">
        <f t="shared" si="145"/>
        <v>0</v>
      </c>
      <c r="X504" s="185">
        <f t="shared" si="145"/>
        <v>0</v>
      </c>
      <c r="Y504" s="185">
        <f t="shared" si="145"/>
        <v>0</v>
      </c>
      <c r="Z504" s="185">
        <f t="shared" si="145"/>
        <v>0</v>
      </c>
      <c r="AA504" s="185">
        <f t="shared" si="145"/>
        <v>0</v>
      </c>
      <c r="AB504" s="185">
        <f t="shared" si="145"/>
        <v>0</v>
      </c>
      <c r="AC504" s="185">
        <f t="shared" si="145"/>
        <v>0</v>
      </c>
      <c r="AD504" s="185">
        <f t="shared" si="145"/>
        <v>0</v>
      </c>
      <c r="AE504" s="185">
        <f t="shared" si="145"/>
        <v>0</v>
      </c>
      <c r="AF504" s="185">
        <f t="shared" si="145"/>
        <v>0</v>
      </c>
      <c r="AG504" s="185">
        <f t="shared" si="145"/>
        <v>0</v>
      </c>
      <c r="AH504" s="185">
        <f t="shared" si="145"/>
        <v>0</v>
      </c>
      <c r="AI504" s="185">
        <f t="shared" si="145"/>
        <v>0</v>
      </c>
      <c r="AJ504" s="185">
        <f t="shared" si="145"/>
        <v>0</v>
      </c>
      <c r="AK504" s="185">
        <f t="shared" si="145"/>
        <v>0</v>
      </c>
      <c r="AL504" s="185">
        <f t="shared" si="145"/>
        <v>0</v>
      </c>
      <c r="AM504" s="185">
        <f t="shared" si="145"/>
        <v>0</v>
      </c>
      <c r="AN504" s="185">
        <f t="shared" si="145"/>
        <v>0</v>
      </c>
      <c r="AO504" s="185">
        <f t="shared" si="145"/>
        <v>0</v>
      </c>
      <c r="AP504" s="185">
        <f t="shared" si="145"/>
        <v>0</v>
      </c>
    </row>
    <row r="505" spans="1:42" outlineLevel="1" x14ac:dyDescent="0.25">
      <c r="A505" s="12"/>
      <c r="B505" s="13"/>
      <c r="C505" s="14"/>
      <c r="D505" s="14"/>
      <c r="E505" s="15"/>
      <c r="F505" s="16"/>
      <c r="G505" s="159"/>
      <c r="H505" s="159"/>
      <c r="I505" s="159"/>
      <c r="J505" s="159"/>
      <c r="K505" s="159"/>
      <c r="L505" s="159"/>
      <c r="M505" s="159"/>
      <c r="N505" s="159"/>
      <c r="O505" s="159"/>
      <c r="P505" s="159"/>
      <c r="Q505" s="159"/>
      <c r="R505" s="159"/>
      <c r="S505" s="159"/>
      <c r="T505" s="159"/>
      <c r="U505" s="159"/>
      <c r="V505" s="159"/>
      <c r="W505" s="159"/>
      <c r="X505" s="14"/>
      <c r="Y505" s="14"/>
      <c r="Z505" s="14"/>
      <c r="AA505" s="14"/>
      <c r="AB505" s="14"/>
      <c r="AC505" s="14"/>
      <c r="AD505" s="14"/>
      <c r="AE505" s="14"/>
      <c r="AF505" s="14"/>
      <c r="AG505" s="14"/>
      <c r="AH505" s="14"/>
      <c r="AI505" s="14"/>
      <c r="AJ505" s="14"/>
      <c r="AK505" s="14"/>
      <c r="AL505" s="14"/>
      <c r="AM505" s="14"/>
      <c r="AN505" s="14"/>
      <c r="AO505" s="14"/>
      <c r="AP505" s="14"/>
    </row>
    <row r="506" spans="1:42" outlineLevel="1" x14ac:dyDescent="0.25">
      <c r="A506" s="12"/>
      <c r="B506" s="13"/>
      <c r="C506" s="14" t="s">
        <v>487</v>
      </c>
      <c r="D506" s="14"/>
      <c r="E506" s="15" t="s">
        <v>474</v>
      </c>
      <c r="F506" s="48"/>
      <c r="G506" s="185"/>
      <c r="H506" s="185"/>
      <c r="I506" s="185">
        <f>I504*Data!H$9</f>
        <v>309428.02087453543</v>
      </c>
      <c r="J506" s="185">
        <f>J504*Data!I$9</f>
        <v>298846.47654025635</v>
      </c>
      <c r="K506" s="185">
        <f>K504*Data!J$9</f>
        <v>288494.28518534085</v>
      </c>
      <c r="L506" s="185">
        <f>L504*Data!K$9</f>
        <v>278618.33393529861</v>
      </c>
      <c r="M506" s="185">
        <f>M504*Data!L$9</f>
        <v>269075.3045488908</v>
      </c>
      <c r="N506" s="185">
        <f>N504*Data!M$9</f>
        <v>259854.19704733195</v>
      </c>
      <c r="O506" s="185">
        <f>O504*Data!N$9</f>
        <v>250835.90908979875</v>
      </c>
      <c r="P506" s="185">
        <f>P504*Data!O$9</f>
        <v>241814.08196877749</v>
      </c>
      <c r="Q506" s="185">
        <f>Q504*Data!P$9</f>
        <v>233115.18251225821</v>
      </c>
      <c r="R506" s="185">
        <f>R504*Data!Q$9</f>
        <v>224824.13304121807</v>
      </c>
      <c r="S506" s="185">
        <f>S504*Data!R$9</f>
        <v>216733.30299605336</v>
      </c>
      <c r="T506" s="185">
        <f>T504*Data!S$9</f>
        <v>208932.26441436101</v>
      </c>
      <c r="U506" s="185">
        <f>U504*Data!T$9</f>
        <v>0</v>
      </c>
      <c r="V506" s="185">
        <f>V504*Data!U$9</f>
        <v>0</v>
      </c>
      <c r="W506" s="185">
        <f>W504*Data!V$9</f>
        <v>0</v>
      </c>
      <c r="X506" s="185">
        <f>X504*Data!W$9</f>
        <v>0</v>
      </c>
      <c r="Y506" s="185">
        <f>Y504*Data!X$9</f>
        <v>0</v>
      </c>
      <c r="Z506" s="185">
        <f>Z504*Data!Y$9</f>
        <v>0</v>
      </c>
      <c r="AA506" s="185">
        <f>AA504*Data!Z$9</f>
        <v>0</v>
      </c>
      <c r="AB506" s="185">
        <f>AB504*Data!AA$9</f>
        <v>0</v>
      </c>
      <c r="AC506" s="185">
        <f>AC504*Data!AB$9</f>
        <v>0</v>
      </c>
      <c r="AD506" s="185">
        <f>AD504*Data!AC$9</f>
        <v>0</v>
      </c>
      <c r="AE506" s="185">
        <f>AE504*Data!AD$9</f>
        <v>0</v>
      </c>
      <c r="AF506" s="185">
        <f>AF504*Data!AE$9</f>
        <v>0</v>
      </c>
      <c r="AG506" s="185">
        <f>AG504*Data!AF$9</f>
        <v>0</v>
      </c>
      <c r="AH506" s="185">
        <f>AH504*Data!AG$9</f>
        <v>0</v>
      </c>
      <c r="AI506" s="185">
        <f>AI504*Data!AH$9</f>
        <v>0</v>
      </c>
      <c r="AJ506" s="185">
        <f>AJ504*Data!AI$9</f>
        <v>0</v>
      </c>
      <c r="AK506" s="185">
        <f>AK504*Data!AJ$9</f>
        <v>0</v>
      </c>
      <c r="AL506" s="185">
        <f>AL504*Data!AK$9</f>
        <v>0</v>
      </c>
      <c r="AM506" s="185">
        <f>AM504*Data!AL$9</f>
        <v>0</v>
      </c>
      <c r="AN506" s="185">
        <f>AN504*Data!AM$9</f>
        <v>0</v>
      </c>
      <c r="AO506" s="185">
        <f>AO504*Data!AN$9</f>
        <v>0</v>
      </c>
      <c r="AP506" s="185">
        <f>AP504*Data!AO$9</f>
        <v>0</v>
      </c>
    </row>
    <row r="507" spans="1:42" outlineLevel="1" x14ac:dyDescent="0.25">
      <c r="A507" s="12"/>
      <c r="B507" s="13"/>
      <c r="C507" s="14" t="s">
        <v>488</v>
      </c>
      <c r="D507" s="13"/>
      <c r="E507" s="15" t="s">
        <v>142</v>
      </c>
      <c r="F507" s="16"/>
      <c r="G507" s="159">
        <f>SUM(H506:AF506)</f>
        <v>3080571.4921541209</v>
      </c>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row>
    <row r="508" spans="1:42" outlineLevel="1" x14ac:dyDescent="0.25">
      <c r="A508" s="12"/>
      <c r="B508" s="13"/>
      <c r="C508" s="20" t="s">
        <v>488</v>
      </c>
      <c r="D508" s="19"/>
      <c r="E508" s="15" t="s">
        <v>261</v>
      </c>
      <c r="F508" s="16"/>
      <c r="G508" s="183">
        <f>G507/(SUM(H487:AP487))</f>
        <v>4.9866800896045724</v>
      </c>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row>
    <row r="509" spans="1:42" outlineLevel="1" x14ac:dyDescent="0.25">
      <c r="A509" s="12"/>
      <c r="B509" s="13"/>
      <c r="C509" s="20"/>
      <c r="D509" s="19"/>
      <c r="E509" s="15"/>
      <c r="F509" s="16"/>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row>
    <row r="510" spans="1:42" ht="18.75" outlineLevel="1" x14ac:dyDescent="0.3">
      <c r="A510" s="12"/>
      <c r="B510" s="13"/>
      <c r="C510" s="226" t="str">
        <f>C418</f>
        <v>TCO 2: Immediate Diesel to HFCB Bus Replacement</v>
      </c>
      <c r="D510" s="225"/>
      <c r="E510" s="15" t="s">
        <v>261</v>
      </c>
      <c r="F510" s="16"/>
      <c r="G510" s="224">
        <f>G450+G481+G457-G508</f>
        <v>-3.2989926723963556</v>
      </c>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row>
    <row r="511" spans="1:42" outlineLevel="1" x14ac:dyDescent="0.25">
      <c r="A511" s="12"/>
      <c r="B511" s="13"/>
      <c r="C511" s="187"/>
      <c r="D511" s="19"/>
      <c r="E511" s="15"/>
      <c r="F511" s="16"/>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row>
    <row r="512" spans="1:42" outlineLevel="1" x14ac:dyDescent="0.25">
      <c r="A512" s="12"/>
      <c r="B512" s="13"/>
      <c r="C512" s="24" t="s">
        <v>525</v>
      </c>
      <c r="D512" s="24"/>
      <c r="E512" s="25"/>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7"/>
    </row>
    <row r="513" spans="1:42" outlineLevel="1" x14ac:dyDescent="0.25">
      <c r="A513" s="12"/>
      <c r="B513" s="13"/>
      <c r="C513" s="13"/>
      <c r="D513" s="14"/>
      <c r="E513" s="15"/>
      <c r="F513" s="16"/>
      <c r="G513" s="14"/>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17"/>
    </row>
    <row r="514" spans="1:42" outlineLevel="1" x14ac:dyDescent="0.25">
      <c r="A514" s="12"/>
      <c r="B514" s="13"/>
      <c r="C514" s="37" t="s">
        <v>537</v>
      </c>
      <c r="D514" s="37"/>
      <c r="E514" s="38"/>
      <c r="F514" s="39"/>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17"/>
    </row>
    <row r="515" spans="1:42" outlineLevel="1" x14ac:dyDescent="0.25">
      <c r="A515" s="12"/>
      <c r="B515" s="13"/>
      <c r="C515" s="96" t="s">
        <v>526</v>
      </c>
      <c r="D515" s="14"/>
      <c r="E515" s="15" t="s">
        <v>142</v>
      </c>
      <c r="F515" s="16"/>
      <c r="G515" s="141">
        <f>G449</f>
        <v>1728455.7647575799</v>
      </c>
      <c r="H515" s="14"/>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17"/>
    </row>
    <row r="516" spans="1:42" outlineLevel="1" x14ac:dyDescent="0.25">
      <c r="A516" s="12"/>
      <c r="B516" s="13"/>
      <c r="C516" s="96" t="s">
        <v>527</v>
      </c>
      <c r="D516" s="14"/>
      <c r="E516" s="15" t="s">
        <v>474</v>
      </c>
      <c r="F516" s="16"/>
      <c r="G516" s="151">
        <f>G515/Data!$E$386</f>
        <v>86422.788237878995</v>
      </c>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17"/>
    </row>
    <row r="517" spans="1:42" outlineLevel="1" x14ac:dyDescent="0.25">
      <c r="A517" s="12"/>
      <c r="B517" s="13"/>
      <c r="C517" s="96" t="s">
        <v>528</v>
      </c>
      <c r="D517" s="14"/>
      <c r="E517" s="15" t="s">
        <v>275</v>
      </c>
      <c r="F517" s="16"/>
      <c r="G517" s="151">
        <f>SUM(I463:AC463)</f>
        <v>0</v>
      </c>
      <c r="H517" s="14"/>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17"/>
    </row>
    <row r="518" spans="1:42" outlineLevel="1" x14ac:dyDescent="0.25">
      <c r="A518" s="12"/>
      <c r="B518" s="13"/>
      <c r="C518" s="96" t="s">
        <v>530</v>
      </c>
      <c r="D518" s="14"/>
      <c r="E518" s="15" t="s">
        <v>604</v>
      </c>
      <c r="F518" s="16"/>
      <c r="G518" s="151">
        <f>G517/Data!$E$386</f>
        <v>0</v>
      </c>
      <c r="H518" s="14"/>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17"/>
    </row>
    <row r="519" spans="1:42" outlineLevel="1" x14ac:dyDescent="0.25">
      <c r="A519" s="12"/>
      <c r="B519" s="13"/>
      <c r="C519" s="96" t="s">
        <v>579</v>
      </c>
      <c r="D519" s="14"/>
      <c r="E519" s="15" t="s">
        <v>604</v>
      </c>
      <c r="F519" s="16"/>
      <c r="G519" s="151">
        <f>SUM(I490:AB490)/Dashboard!$I$31</f>
        <v>142720.7316424381</v>
      </c>
      <c r="H519" s="14"/>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17"/>
    </row>
    <row r="520" spans="1:42" outlineLevel="1" x14ac:dyDescent="0.25">
      <c r="A520" s="12"/>
      <c r="B520" s="13"/>
      <c r="C520" s="14"/>
      <c r="D520" s="14"/>
      <c r="E520" s="15"/>
      <c r="F520" s="16"/>
      <c r="G520" s="14"/>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29"/>
    </row>
    <row r="521" spans="1:42" outlineLevel="1" x14ac:dyDescent="0.25">
      <c r="A521" s="12"/>
      <c r="B521" s="13"/>
      <c r="C521" s="37" t="s">
        <v>538</v>
      </c>
      <c r="D521" s="37"/>
      <c r="E521" s="38"/>
      <c r="F521" s="39"/>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17"/>
    </row>
    <row r="522" spans="1:42" outlineLevel="1" x14ac:dyDescent="0.25">
      <c r="A522" s="12"/>
      <c r="B522" s="13"/>
      <c r="C522" s="14" t="s">
        <v>580</v>
      </c>
      <c r="D522" s="14"/>
      <c r="E522" s="15" t="s">
        <v>142</v>
      </c>
      <c r="F522" s="16"/>
      <c r="G522" s="177">
        <f>G516-'Diesel (BAU)'!$G$181</f>
        <v>-49816.930351106479</v>
      </c>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17"/>
    </row>
    <row r="523" spans="1:42" outlineLevel="1" x14ac:dyDescent="0.25">
      <c r="A523" s="12"/>
      <c r="B523" s="13"/>
      <c r="C523" s="14" t="s">
        <v>540</v>
      </c>
      <c r="D523" s="44"/>
      <c r="E523" s="15" t="s">
        <v>275</v>
      </c>
      <c r="F523" s="16"/>
      <c r="G523" s="177">
        <f>'Diesel (BAU)'!$G$183-G518+G519</f>
        <v>285441.4632848762</v>
      </c>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17"/>
    </row>
    <row r="524" spans="1:42" ht="18.75" outlineLevel="1" x14ac:dyDescent="0.3">
      <c r="A524" s="12"/>
      <c r="B524" s="13"/>
      <c r="C524" s="221" t="s">
        <v>542</v>
      </c>
      <c r="D524" s="45"/>
      <c r="E524" s="15"/>
      <c r="F524" s="16"/>
      <c r="G524" s="220">
        <f>G522/G523</f>
        <v>-0.17452590726592584</v>
      </c>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29"/>
    </row>
    <row r="525" spans="1:42" outlineLevel="1" x14ac:dyDescent="0.25">
      <c r="A525" s="12"/>
      <c r="C525" s="13"/>
      <c r="D525" s="45"/>
      <c r="E525" s="15"/>
      <c r="F525" s="16"/>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29"/>
    </row>
    <row r="526" spans="1:42" outlineLevel="1" x14ac:dyDescent="0.25">
      <c r="A526" s="12"/>
      <c r="B526" s="13"/>
      <c r="C526" s="41"/>
      <c r="D526" s="41"/>
      <c r="E526" s="15"/>
      <c r="F526" s="16"/>
      <c r="G526" s="14"/>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
      <c r="AD526" s="14"/>
      <c r="AE526" s="14"/>
      <c r="AF526" s="14"/>
      <c r="AG526" s="14"/>
      <c r="AH526" s="14"/>
      <c r="AI526" s="14"/>
      <c r="AJ526" s="14"/>
      <c r="AK526" s="14"/>
      <c r="AL526" s="14"/>
      <c r="AM526" s="14"/>
      <c r="AN526" s="14"/>
      <c r="AO526" s="14"/>
      <c r="AP526" s="17"/>
    </row>
    <row r="527" spans="1:42" x14ac:dyDescent="0.25">
      <c r="A527" s="261"/>
      <c r="B527" s="261"/>
      <c r="C527" s="261" t="s">
        <v>605</v>
      </c>
      <c r="D527" s="261"/>
      <c r="E527" s="262"/>
      <c r="F527" s="263"/>
      <c r="G527" s="263"/>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3"/>
      <c r="AD527" s="263"/>
      <c r="AE527" s="263"/>
      <c r="AF527" s="263"/>
      <c r="AG527" s="263"/>
      <c r="AH527" s="263"/>
      <c r="AI527" s="263"/>
      <c r="AJ527" s="263"/>
      <c r="AK527" s="263"/>
      <c r="AL527" s="263"/>
      <c r="AM527" s="263"/>
      <c r="AN527" s="263"/>
      <c r="AO527" s="263"/>
      <c r="AP527" s="265"/>
    </row>
    <row r="528" spans="1:42" hidden="1" outlineLevel="1" x14ac:dyDescent="0.25">
      <c r="A528" s="12"/>
      <c r="B528" s="13"/>
      <c r="C528" s="14"/>
      <c r="D528" s="14"/>
      <c r="E528" s="15"/>
      <c r="F528" s="16"/>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7"/>
    </row>
    <row r="529" spans="1:42" hidden="1" outlineLevel="1" x14ac:dyDescent="0.25">
      <c r="A529" s="12"/>
      <c r="B529" s="13"/>
      <c r="C529" s="14" t="s">
        <v>582</v>
      </c>
      <c r="D529" s="14"/>
      <c r="E529" s="15" t="s">
        <v>112</v>
      </c>
      <c r="F529" s="16"/>
      <c r="G529" s="159">
        <f>SUM($I$296:$AB$296)</f>
        <v>1029600</v>
      </c>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row>
    <row r="530" spans="1:42" hidden="1" outlineLevel="1" x14ac:dyDescent="0.25">
      <c r="A530" s="12"/>
      <c r="B530" s="13"/>
      <c r="C530" s="14" t="s">
        <v>595</v>
      </c>
      <c r="D530" s="14"/>
      <c r="E530" s="15" t="s">
        <v>112</v>
      </c>
      <c r="F530" s="16"/>
      <c r="G530" s="141">
        <f>Route!$H$35</f>
        <v>37440</v>
      </c>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row>
    <row r="531" spans="1:42" hidden="1" outlineLevel="1" x14ac:dyDescent="0.25">
      <c r="A531" s="12"/>
      <c r="B531" s="13"/>
      <c r="C531" s="20" t="s">
        <v>584</v>
      </c>
      <c r="D531" s="20"/>
      <c r="E531" s="21" t="s">
        <v>112</v>
      </c>
      <c r="F531" s="48"/>
      <c r="G531" s="378">
        <f>SUM(G529:G530)</f>
        <v>1067040</v>
      </c>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row>
    <row r="532" spans="1:42" hidden="1" outlineLevel="1" x14ac:dyDescent="0.25">
      <c r="A532" s="12"/>
      <c r="B532" s="13"/>
      <c r="C532" s="14"/>
      <c r="D532" s="14"/>
      <c r="E532" s="15"/>
      <c r="F532" s="16"/>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row>
    <row r="533" spans="1:42" hidden="1" outlineLevel="1" x14ac:dyDescent="0.25">
      <c r="A533" s="12"/>
      <c r="B533" s="13"/>
      <c r="C533" s="14" t="s">
        <v>585</v>
      </c>
      <c r="D533" s="19"/>
      <c r="E533" s="15" t="s">
        <v>142</v>
      </c>
      <c r="F533" s="16"/>
      <c r="G533" s="150">
        <f>G449</f>
        <v>1728455.7647575799</v>
      </c>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row>
    <row r="534" spans="1:42" hidden="1" outlineLevel="1" x14ac:dyDescent="0.25">
      <c r="A534" s="12"/>
      <c r="B534" s="13"/>
      <c r="C534" s="14" t="s">
        <v>586</v>
      </c>
      <c r="D534" s="19"/>
      <c r="E534" s="15" t="s">
        <v>142</v>
      </c>
      <c r="F534" s="16"/>
      <c r="G534" s="150">
        <f>Route!$G$61</f>
        <v>32852.076245401164</v>
      </c>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row>
    <row r="535" spans="1:42" hidden="1" outlineLevel="1" x14ac:dyDescent="0.25">
      <c r="A535" s="12"/>
      <c r="B535" s="13"/>
      <c r="C535" s="14" t="s">
        <v>587</v>
      </c>
      <c r="D535" s="19"/>
      <c r="E535" s="15" t="s">
        <v>588</v>
      </c>
      <c r="F535" s="16"/>
      <c r="G535" s="376">
        <f>SUM(G533:G534)</f>
        <v>1761307.8410029809</v>
      </c>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row>
    <row r="536" spans="1:42" hidden="1" outlineLevel="1" x14ac:dyDescent="0.25">
      <c r="A536" s="12"/>
      <c r="B536" s="13"/>
      <c r="C536" s="20" t="s">
        <v>587</v>
      </c>
      <c r="D536" s="19"/>
      <c r="E536" s="15" t="s">
        <v>261</v>
      </c>
      <c r="F536" s="16"/>
      <c r="G536" s="376">
        <f>G535/G531</f>
        <v>1.6506483740093914</v>
      </c>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row>
    <row r="537" spans="1:42" hidden="1" outlineLevel="1" x14ac:dyDescent="0.25">
      <c r="A537" s="12"/>
      <c r="B537" s="13"/>
      <c r="C537" s="20"/>
      <c r="D537" s="19"/>
      <c r="E537" s="15"/>
      <c r="F537" s="16"/>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row>
    <row r="538" spans="1:42" hidden="1" outlineLevel="1" x14ac:dyDescent="0.25">
      <c r="A538" s="12"/>
      <c r="B538" s="13"/>
      <c r="C538" s="14" t="s">
        <v>589</v>
      </c>
      <c r="D538" s="19"/>
      <c r="E538" s="15" t="s">
        <v>142</v>
      </c>
      <c r="F538" s="16"/>
      <c r="G538" s="56">
        <f>G457+G481</f>
        <v>8.9230769230769242E-3</v>
      </c>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row>
    <row r="539" spans="1:42" hidden="1" outlineLevel="1" x14ac:dyDescent="0.25">
      <c r="A539" s="12"/>
      <c r="B539" s="13"/>
      <c r="C539" s="14" t="s">
        <v>590</v>
      </c>
      <c r="D539" s="19"/>
      <c r="E539" s="15" t="s">
        <v>142</v>
      </c>
      <c r="F539" s="16"/>
      <c r="G539" s="150">
        <f>Route!$G$119</f>
        <v>100696.94441250921</v>
      </c>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row>
    <row r="540" spans="1:42" hidden="1" outlineLevel="1" x14ac:dyDescent="0.25">
      <c r="A540" s="12"/>
      <c r="B540" s="13"/>
      <c r="C540" s="20" t="s">
        <v>591</v>
      </c>
      <c r="D540" s="19"/>
      <c r="E540" s="15" t="s">
        <v>588</v>
      </c>
      <c r="F540" s="16"/>
      <c r="G540" s="376">
        <f>SUM(G538:G539)</f>
        <v>100696.95333558613</v>
      </c>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row>
    <row r="541" spans="1:42" hidden="1" outlineLevel="1" x14ac:dyDescent="0.25">
      <c r="A541" s="12"/>
      <c r="B541" s="13"/>
      <c r="C541" s="20" t="s">
        <v>592</v>
      </c>
      <c r="D541" s="19"/>
      <c r="E541" s="15" t="s">
        <v>261</v>
      </c>
      <c r="F541" s="16"/>
      <c r="G541" s="376">
        <f>G540/G531</f>
        <v>9.4370364124668371E-2</v>
      </c>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row>
    <row r="542" spans="1:42" hidden="1" outlineLevel="1" x14ac:dyDescent="0.25">
      <c r="A542" s="12"/>
      <c r="B542" s="13"/>
      <c r="C542" s="20" t="s">
        <v>593</v>
      </c>
      <c r="D542" s="19"/>
      <c r="E542" s="15"/>
      <c r="F542" s="16"/>
      <c r="G542" s="377"/>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row>
    <row r="543" spans="1:42" hidden="1" outlineLevel="1" x14ac:dyDescent="0.25">
      <c r="A543" s="12"/>
      <c r="B543" s="13"/>
      <c r="C543" s="20"/>
      <c r="D543" s="19"/>
      <c r="E543" s="15"/>
      <c r="F543" s="16"/>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row>
    <row r="544" spans="1:42" ht="18" hidden="1" customHeight="1" outlineLevel="1" x14ac:dyDescent="0.3">
      <c r="A544" s="12"/>
      <c r="B544" s="13"/>
      <c r="C544" s="226" t="s">
        <v>605</v>
      </c>
      <c r="D544" s="226"/>
      <c r="E544" s="15" t="s">
        <v>261</v>
      </c>
      <c r="F544" s="16"/>
      <c r="G544" s="224">
        <f>+G536+G541</f>
        <v>1.7450187381340596</v>
      </c>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row>
    <row r="545" spans="1:42" hidden="1" outlineLevel="1" x14ac:dyDescent="0.25">
      <c r="A545" s="12"/>
      <c r="B545" s="12"/>
      <c r="C545" s="12"/>
      <c r="D545" s="19"/>
      <c r="E545" s="15"/>
      <c r="F545" s="16"/>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row>
    <row r="546" spans="1:42" collapsed="1" x14ac:dyDescent="0.25">
      <c r="A546" s="12"/>
      <c r="B546" s="13"/>
      <c r="C546" s="20"/>
      <c r="D546" s="19"/>
      <c r="E546" s="15"/>
      <c r="F546" s="16"/>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row>
    <row r="547" spans="1:42" collapsed="1" x14ac:dyDescent="0.25">
      <c r="A547" s="89"/>
      <c r="B547" s="89"/>
      <c r="C547" s="90" t="s">
        <v>174</v>
      </c>
      <c r="D547" s="91"/>
      <c r="E547" s="92"/>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3"/>
    </row>
    <row r="548" spans="1:42" x14ac:dyDescent="0.25">
      <c r="A548" s="23"/>
      <c r="B548" s="23"/>
      <c r="C548" s="24" t="s">
        <v>596</v>
      </c>
      <c r="D548" s="24"/>
      <c r="E548" s="25"/>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7"/>
    </row>
    <row r="549" spans="1:42" x14ac:dyDescent="0.25">
      <c r="A549" s="13"/>
      <c r="B549" s="13"/>
      <c r="C549" s="30"/>
      <c r="D549" s="30"/>
      <c r="E549" s="31"/>
      <c r="F549" s="16"/>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3"/>
    </row>
    <row r="550" spans="1:42" x14ac:dyDescent="0.25">
      <c r="A550" s="12"/>
      <c r="B550" s="13"/>
      <c r="C550" s="37" t="s">
        <v>506</v>
      </c>
      <c r="D550" s="37"/>
      <c r="E550" s="38"/>
      <c r="F550" s="39"/>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17"/>
    </row>
    <row r="551" spans="1:42" x14ac:dyDescent="0.25">
      <c r="A551" s="12"/>
      <c r="B551" s="13"/>
      <c r="C551" s="136" t="s">
        <v>507</v>
      </c>
      <c r="D551" s="41"/>
      <c r="E551" s="15" t="s">
        <v>465</v>
      </c>
      <c r="F551" s="16"/>
      <c r="G551" s="14"/>
      <c r="H551" s="141"/>
      <c r="I551" s="141">
        <f>Route!I25</f>
        <v>93600</v>
      </c>
      <c r="J551" s="141">
        <f>Route!J25</f>
        <v>93600</v>
      </c>
      <c r="K551" s="141">
        <f>Route!K25</f>
        <v>93600</v>
      </c>
      <c r="L551" s="141">
        <f>Route!L25</f>
        <v>93600</v>
      </c>
      <c r="M551" s="141">
        <f>Route!M25</f>
        <v>93600</v>
      </c>
      <c r="N551" s="141">
        <f>Route!N25</f>
        <v>93600</v>
      </c>
      <c r="O551" s="141">
        <f>Route!O25</f>
        <v>93600</v>
      </c>
      <c r="P551" s="141">
        <f>Route!P25</f>
        <v>93600</v>
      </c>
      <c r="Q551" s="141">
        <f>Route!Q25</f>
        <v>93600</v>
      </c>
      <c r="R551" s="141">
        <f>Route!R25</f>
        <v>93600</v>
      </c>
      <c r="S551" s="141">
        <f>Route!S25</f>
        <v>93600</v>
      </c>
      <c r="T551" s="141">
        <f>Route!T25</f>
        <v>93600</v>
      </c>
      <c r="U551" s="141">
        <f>Route!U25</f>
        <v>93600</v>
      </c>
      <c r="V551" s="141">
        <f>Route!V25</f>
        <v>93600</v>
      </c>
      <c r="W551" s="141">
        <f>Route!W25</f>
        <v>93600</v>
      </c>
      <c r="X551" s="141">
        <f>Route!X25</f>
        <v>93600</v>
      </c>
      <c r="Y551" s="141">
        <f>Route!Y25</f>
        <v>93600</v>
      </c>
      <c r="Z551" s="141">
        <f>Route!Z25</f>
        <v>93600</v>
      </c>
      <c r="AA551" s="141">
        <f>Route!AA25</f>
        <v>93600</v>
      </c>
      <c r="AB551" s="141">
        <f>Route!AB25</f>
        <v>93600</v>
      </c>
      <c r="AC551" s="141">
        <f>Route!AC25</f>
        <v>93600</v>
      </c>
      <c r="AD551" s="141">
        <f>Route!AD25</f>
        <v>93600</v>
      </c>
      <c r="AE551" s="141">
        <f>Route!AE25</f>
        <v>93600</v>
      </c>
      <c r="AF551" s="141">
        <f>Route!AF25</f>
        <v>93600</v>
      </c>
      <c r="AG551" s="141">
        <f>Route!AG25</f>
        <v>93600</v>
      </c>
      <c r="AH551" s="141">
        <f>Route!AH25</f>
        <v>93600</v>
      </c>
      <c r="AI551" s="141">
        <f>Route!AI25</f>
        <v>93600</v>
      </c>
      <c r="AJ551" s="141">
        <f>Route!AJ25</f>
        <v>93600</v>
      </c>
      <c r="AK551" s="141">
        <f>Route!AK25</f>
        <v>93600</v>
      </c>
      <c r="AL551" s="141">
        <f>Route!AL25</f>
        <v>93600</v>
      </c>
      <c r="AM551" s="141">
        <f>Route!AM25</f>
        <v>93600</v>
      </c>
      <c r="AN551" s="141">
        <f>Route!AN25</f>
        <v>93600</v>
      </c>
      <c r="AO551" s="141"/>
      <c r="AP551" s="17"/>
    </row>
    <row r="552" spans="1:42" x14ac:dyDescent="0.25">
      <c r="A552" s="12"/>
      <c r="B552" s="13"/>
      <c r="C552" s="136" t="s">
        <v>340</v>
      </c>
      <c r="D552" s="41"/>
      <c r="E552" s="15"/>
      <c r="F552" s="174">
        <v>0.02</v>
      </c>
      <c r="G552" s="14"/>
      <c r="H552" s="159"/>
      <c r="I552" s="159">
        <f>IF(COUNT($I$3:I$3)&gt;(Dashboard!$I$31),$F$552*1,0)</f>
        <v>0</v>
      </c>
      <c r="J552" s="159">
        <f>IF(COUNT($I$3:J$3)&gt;(Dashboard!$I$31),$F$552*1,0)</f>
        <v>0</v>
      </c>
      <c r="K552" s="159">
        <f>IF(COUNT($I$3:K$3)&gt;(Dashboard!$I$31),$F$552*1,0)</f>
        <v>0</v>
      </c>
      <c r="L552" s="159">
        <f>IF(COUNT($I$3:L$3)&gt;(Dashboard!$I$31),$F$552*1,0)</f>
        <v>0</v>
      </c>
      <c r="M552" s="159">
        <f>IF(COUNT($I$3:M$3)&gt;(Dashboard!$I$31),$F$552*1,0)</f>
        <v>0</v>
      </c>
      <c r="N552" s="159">
        <f>IF(COUNT($I$3:N$3)&gt;(Dashboard!$I$31),$F$552*1,0)</f>
        <v>0</v>
      </c>
      <c r="O552" s="159">
        <f>IF(COUNT($I$3:O$3)&gt;(Dashboard!$I$31),$F$552*1,0)</f>
        <v>0</v>
      </c>
      <c r="P552" s="159">
        <f>IF(COUNT($I$3:P$3)&gt;(Dashboard!$I$31),$F$552*1,0)</f>
        <v>0</v>
      </c>
      <c r="Q552" s="159">
        <f>IF(COUNT($I$3:Q$3)&gt;(Dashboard!$I$31),$F$552*1,0)</f>
        <v>0</v>
      </c>
      <c r="R552" s="159">
        <f>IF(COUNT($I$3:R$3)&gt;(Dashboard!$I$31),$F$552*1,0)</f>
        <v>0</v>
      </c>
      <c r="S552" s="159">
        <f>IF(COUNT($I$3:S$3)&gt;(Dashboard!$I$31),$F$552*1,0)</f>
        <v>0</v>
      </c>
      <c r="T552" s="159">
        <f>IF(COUNT($I$3:T$3)&gt;(Dashboard!$I$31),$F$552*1,0)</f>
        <v>0</v>
      </c>
      <c r="U552" s="159">
        <f>IF(COUNT($I$3:U$3)&gt;(Dashboard!$I$31),$F$552*1,0)</f>
        <v>0.02</v>
      </c>
      <c r="V552" s="159">
        <f>IF(COUNT($I$3:V$3)&gt;(Dashboard!$I$31),$F$552*1,0)</f>
        <v>0.02</v>
      </c>
      <c r="W552" s="159">
        <f>IF(COUNT($I$3:W$3)&gt;(Dashboard!$I$31),$F$552*1,0)</f>
        <v>0.02</v>
      </c>
      <c r="X552" s="159">
        <f>IF(COUNT($I$3:X$3)&gt;(Dashboard!$I$31),$F$552*1,0)</f>
        <v>0.02</v>
      </c>
      <c r="Y552" s="159">
        <f>IF(COUNT($I$3:Y$3)&gt;(Dashboard!$I$31),$F$552*1,0)</f>
        <v>0.02</v>
      </c>
      <c r="Z552" s="159">
        <f>IF(COUNT($I$3:Z$3)&gt;(Dashboard!$I$31),$F$552*1,0)</f>
        <v>0.02</v>
      </c>
      <c r="AA552" s="159">
        <f>IF(COUNT($I$3:AA$3)&gt;(Dashboard!$I$31),$F$552*1,0)</f>
        <v>0.02</v>
      </c>
      <c r="AB552" s="159">
        <f>IF(COUNT($I$3:AB$3)&gt;(Dashboard!$I$31),$F$552*1,0)</f>
        <v>0.02</v>
      </c>
      <c r="AC552" s="159">
        <f>IF(COUNT($I$3:AC$3)&gt;(Dashboard!$I$31),$F$552*1,0)</f>
        <v>0.02</v>
      </c>
      <c r="AD552" s="159">
        <f>IF(COUNT($I$3:AD$3)&gt;(Dashboard!$I$31),$F$552*1,0)</f>
        <v>0.02</v>
      </c>
      <c r="AE552" s="159">
        <f>IF(COUNT($I$3:AE$3)&gt;(Dashboard!$I$31),$F$552*1,0)</f>
        <v>0.02</v>
      </c>
      <c r="AF552" s="159">
        <f>IF(COUNT($I$3:AF$3)&gt;(Dashboard!$I$31),$F$552*1,0)</f>
        <v>0.02</v>
      </c>
      <c r="AG552" s="159">
        <f>IF(COUNT($I$3:AG$3)&gt;(Dashboard!$I$31),$F$552*1,0)</f>
        <v>0.02</v>
      </c>
      <c r="AH552" s="159">
        <f>IF(COUNT($I$3:AH$3)&gt;(Dashboard!$I$31),$F$552*1,0)</f>
        <v>0.02</v>
      </c>
      <c r="AI552" s="159">
        <f>IF(COUNT($I$3:AI$3)&gt;(Dashboard!$I$31),$F$552*1,0)</f>
        <v>0.02</v>
      </c>
      <c r="AJ552" s="159">
        <f>IF(COUNT($I$3:AJ$3)&gt;(Dashboard!$I$31),$F$552*1,0)</f>
        <v>0.02</v>
      </c>
      <c r="AK552" s="159">
        <f>IF(COUNT($I$3:AK$3)&gt;(Dashboard!$I$31),$F$552*1,0)</f>
        <v>0.02</v>
      </c>
      <c r="AL552" s="159">
        <f>IF(COUNT($I$3:AL$3)&gt;(Dashboard!$I$31),$F$552*1,0)</f>
        <v>0.02</v>
      </c>
      <c r="AM552" s="159">
        <f>IF(COUNT($I$3:AM$3)&gt;(Dashboard!$I$31),$F$552*1,0)</f>
        <v>0.02</v>
      </c>
      <c r="AN552" s="159">
        <f>IF(COUNT($I$3:AN$3)&gt;(Dashboard!$I$31),$F$552*1,0)</f>
        <v>0.02</v>
      </c>
      <c r="AO552" s="14"/>
      <c r="AP552" s="17"/>
    </row>
    <row r="553" spans="1:42" x14ac:dyDescent="0.25">
      <c r="A553" s="12"/>
      <c r="B553" s="13"/>
      <c r="C553" s="41"/>
      <c r="D553" s="41"/>
      <c r="E553" s="15"/>
      <c r="F553" s="190"/>
      <c r="G553" s="14"/>
      <c r="H553" s="159"/>
      <c r="I553" s="203"/>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4"/>
      <c r="AP553" s="17"/>
    </row>
    <row r="554" spans="1:42" x14ac:dyDescent="0.25">
      <c r="A554" s="12"/>
      <c r="B554" s="13"/>
      <c r="C554" s="41"/>
      <c r="D554" s="41"/>
      <c r="E554" s="15"/>
      <c r="F554" s="190"/>
      <c r="G554" s="14"/>
      <c r="H554" s="159"/>
      <c r="I554" s="56">
        <f>(1-SUM(I$552:$I$552))</f>
        <v>1</v>
      </c>
      <c r="J554" s="56">
        <f>(1-SUM($I$552:J$552))</f>
        <v>1</v>
      </c>
      <c r="K554" s="56">
        <f>(1-SUM($I$552:K$552))</f>
        <v>1</v>
      </c>
      <c r="L554" s="56">
        <f>(1-SUM($I$552:L$552))</f>
        <v>1</v>
      </c>
      <c r="M554" s="56">
        <f>(1-SUM($I$552:M$552))</f>
        <v>1</v>
      </c>
      <c r="N554" s="56">
        <f>(1-SUM($I$552:N$552))</f>
        <v>1</v>
      </c>
      <c r="O554" s="56">
        <f>(1-SUM($I$552:O$552))</f>
        <v>1</v>
      </c>
      <c r="P554" s="56">
        <f>(1-SUM($I$552:P$552))</f>
        <v>1</v>
      </c>
      <c r="Q554" s="56">
        <f>(1-SUM($I$552:Q$552))</f>
        <v>1</v>
      </c>
      <c r="R554" s="56">
        <f>(1-SUM($I$552:R$552))</f>
        <v>1</v>
      </c>
      <c r="S554" s="56">
        <f>(1-SUM($I$552:S$552))</f>
        <v>1</v>
      </c>
      <c r="T554" s="56">
        <f>(1-SUM($I$552:T$552))</f>
        <v>1</v>
      </c>
      <c r="U554" s="56">
        <f>(1-SUM($I$552:U$552))</f>
        <v>0.98</v>
      </c>
      <c r="V554" s="56">
        <f>(1-SUM($I$552:V$552))</f>
        <v>0.96</v>
      </c>
      <c r="W554" s="56">
        <f>(1-SUM($I$552:W$552))</f>
        <v>0.94</v>
      </c>
      <c r="X554" s="56">
        <f>(1-SUM($I$552:X$552))</f>
        <v>0.92</v>
      </c>
      <c r="Y554" s="56">
        <f>(1-SUM($I$552:Y$552))</f>
        <v>0.9</v>
      </c>
      <c r="Z554" s="56">
        <f>(1-SUM($I$552:Z$552))</f>
        <v>0.88</v>
      </c>
      <c r="AA554" s="56">
        <f>(1-SUM($I$552:AA$552))</f>
        <v>0.86</v>
      </c>
      <c r="AB554" s="56">
        <f>(1-SUM($I$552:AB$552))</f>
        <v>0.84</v>
      </c>
      <c r="AC554" s="56">
        <f>(1-SUM($I$552:AC$552))</f>
        <v>0.82000000000000006</v>
      </c>
      <c r="AD554" s="56">
        <f>(1-SUM($I$552:AD$552))</f>
        <v>0.8</v>
      </c>
      <c r="AE554" s="56">
        <f>(1-SUM($I$552:AE$552))</f>
        <v>0.78</v>
      </c>
      <c r="AF554" s="56">
        <f>(1-SUM($I$552:AF$552))</f>
        <v>0.76</v>
      </c>
      <c r="AG554" s="56">
        <f>(1-SUM($I$552:AG$552))</f>
        <v>0.74</v>
      </c>
      <c r="AH554" s="56">
        <f>(1-SUM($I$552:AH$552))</f>
        <v>0.72</v>
      </c>
      <c r="AI554" s="56">
        <f>(1-SUM($I$552:AI$552))</f>
        <v>0.7</v>
      </c>
      <c r="AJ554" s="56">
        <f>(1-SUM($I$552:AJ$552))</f>
        <v>0.67999999999999994</v>
      </c>
      <c r="AK554" s="56">
        <f>(1-SUM($I$552:AK$552))</f>
        <v>0.65999999999999992</v>
      </c>
      <c r="AL554" s="56">
        <f>(1-SUM($I$552:AL$552))</f>
        <v>0.6399999999999999</v>
      </c>
      <c r="AM554" s="56">
        <f>(1-SUM($I$552:AM$552))</f>
        <v>0.61999999999999988</v>
      </c>
      <c r="AN554" s="56">
        <f>(1-SUM($I$552:AN$552))</f>
        <v>0.59999999999999987</v>
      </c>
      <c r="AO554" s="14"/>
      <c r="AP554" s="17"/>
    </row>
    <row r="555" spans="1:42" x14ac:dyDescent="0.25">
      <c r="A555" s="12"/>
      <c r="B555" s="13"/>
      <c r="C555" s="195" t="str">
        <f>C566</f>
        <v>TCO 1: End-of-Life Diesel Bus Replacement with HFCB</v>
      </c>
      <c r="D555" s="195"/>
      <c r="E555" s="192"/>
      <c r="F555" s="16"/>
      <c r="G555" s="191"/>
      <c r="H555" s="196"/>
      <c r="I555" s="196"/>
      <c r="J555" s="196"/>
      <c r="K555" s="196"/>
      <c r="L555" s="196"/>
      <c r="M555" s="196"/>
      <c r="N555" s="196"/>
      <c r="O555" s="196"/>
      <c r="P555" s="196"/>
      <c r="Q555" s="196"/>
      <c r="R555" s="196"/>
      <c r="S555" s="196"/>
      <c r="T555" s="196"/>
      <c r="U555" s="196"/>
      <c r="V555" s="196"/>
      <c r="W555" s="196"/>
      <c r="X555" s="196"/>
      <c r="Y555" s="196"/>
      <c r="Z555" s="196"/>
      <c r="AA555" s="196"/>
      <c r="AB555" s="196"/>
      <c r="AC555" s="191"/>
      <c r="AD555" s="191"/>
      <c r="AE555" s="191"/>
      <c r="AF555" s="191"/>
      <c r="AG555" s="191"/>
      <c r="AH555" s="191"/>
      <c r="AI555" s="191"/>
      <c r="AJ555" s="191"/>
      <c r="AK555" s="191"/>
      <c r="AL555" s="191"/>
      <c r="AM555" s="191"/>
      <c r="AN555" s="191"/>
      <c r="AO555" s="191"/>
      <c r="AP555" s="197"/>
    </row>
    <row r="556" spans="1:42" x14ac:dyDescent="0.25">
      <c r="A556" s="12"/>
      <c r="B556" s="13"/>
      <c r="C556" s="136" t="s">
        <v>252</v>
      </c>
      <c r="D556" s="41"/>
      <c r="E556" s="15" t="s">
        <v>556</v>
      </c>
      <c r="F556" s="16"/>
      <c r="G556" s="14"/>
      <c r="H556" s="159"/>
      <c r="I556" s="159">
        <f>IF(COUNT($I$3:I$3)&lt;=Dashboard!$I$31,I551*1,0)</f>
        <v>93600</v>
      </c>
      <c r="J556" s="159">
        <f>IF(COUNT($I$3:J$3)&lt;=Dashboard!$I$31,J551*1,0)</f>
        <v>93600</v>
      </c>
      <c r="K556" s="159">
        <f>IF(COUNT($I$3:K$3)&lt;=Dashboard!$I$31,K551*1,0)</f>
        <v>93600</v>
      </c>
      <c r="L556" s="159">
        <f>IF(COUNT($I$3:L$3)&lt;=Dashboard!$I$31,L551*1,0)</f>
        <v>93600</v>
      </c>
      <c r="M556" s="159">
        <f>IF(COUNT($I$3:M$3)&lt;=Dashboard!$I$31,M551*1,0)</f>
        <v>93600</v>
      </c>
      <c r="N556" s="159">
        <f>IF(COUNT($I$3:N$3)&lt;=Dashboard!$I$31,N551*1,0)</f>
        <v>93600</v>
      </c>
      <c r="O556" s="159">
        <f>IF(COUNT($I$3:O$3)&lt;=Dashboard!$I$31,O551*1,0)</f>
        <v>93600</v>
      </c>
      <c r="P556" s="159">
        <f>IF(COUNT($I$3:P$3)&lt;=Dashboard!$I$31,P551*1,0)</f>
        <v>93600</v>
      </c>
      <c r="Q556" s="159">
        <f>IF(COUNT($I$3:Q$3)&lt;=Dashboard!$I$31,Q551*1,0)</f>
        <v>93600</v>
      </c>
      <c r="R556" s="159">
        <f>IF(COUNT($I$3:R$3)&lt;=Dashboard!$I$31,R551*1,0)</f>
        <v>93600</v>
      </c>
      <c r="S556" s="159">
        <f>IF(COUNT($I$3:S$3)&lt;=Dashboard!$I$31,S551*1,0)</f>
        <v>93600</v>
      </c>
      <c r="T556" s="159">
        <f>IF(COUNT($I$3:T$3)&lt;=Dashboard!$I$31,T551*1,0)</f>
        <v>93600</v>
      </c>
      <c r="U556" s="159">
        <f>IF(COUNT($I$3:U$3)&lt;=Dashboard!$I$31,U551*1,0)</f>
        <v>0</v>
      </c>
      <c r="V556" s="159">
        <f>IF(COUNT($I$3:V$3)&lt;=Dashboard!$I$31,V551*1,0)</f>
        <v>0</v>
      </c>
      <c r="W556" s="159">
        <f>IF(COUNT($I$3:W$3)&lt;=Dashboard!$I$31,W551*1,0)</f>
        <v>0</v>
      </c>
      <c r="X556" s="159">
        <f>IF(COUNT($I$3:X$3)&lt;=Dashboard!$I$31,X551*1,0)</f>
        <v>0</v>
      </c>
      <c r="Y556" s="159">
        <f>IF(COUNT($I$3:Y$3)&lt;=Dashboard!$I$31,Y551*1,0)</f>
        <v>0</v>
      </c>
      <c r="Z556" s="159">
        <f>IF(COUNT($I$3:Z$3)&lt;=Dashboard!$I$31,Z551*1,0)</f>
        <v>0</v>
      </c>
      <c r="AA556" s="159">
        <f>IF(COUNT($I$3:AA$3)&lt;=Dashboard!$I$31,AA551*1,0)</f>
        <v>0</v>
      </c>
      <c r="AB556" s="159">
        <f>IF(COUNT($I$3:AB$3)&lt;=Dashboard!$I$31,AB551*1,0)</f>
        <v>0</v>
      </c>
      <c r="AC556" s="159">
        <f>IF(COUNT($I$3:AC$3)&lt;=Dashboard!$I$31,AC551*1,0)</f>
        <v>0</v>
      </c>
      <c r="AD556" s="159">
        <f>IF(COUNT($I$3:AD$3)&lt;=Dashboard!$I$31,AD551*1,0)</f>
        <v>0</v>
      </c>
      <c r="AE556" s="159">
        <f>IF(COUNT($I$3:AE$3)&lt;=Dashboard!$I$31,AE551*1,0)</f>
        <v>0</v>
      </c>
      <c r="AF556" s="159">
        <f>IF(COUNT($I$3:AF$3)&lt;=Dashboard!$I$31,AF551*1,0)</f>
        <v>0</v>
      </c>
      <c r="AG556" s="159">
        <f>IF(COUNT($I$3:AG$3)&lt;=Dashboard!$I$31,AG551*1,0)</f>
        <v>0</v>
      </c>
      <c r="AH556" s="159">
        <f>IF(COUNT($I$3:AH$3)&lt;=Dashboard!$I$31,AH551*1,0)</f>
        <v>0</v>
      </c>
      <c r="AI556" s="159">
        <f>IF(COUNT($I$3:AI$3)&lt;=Dashboard!$I$31,AI551*1,0)</f>
        <v>0</v>
      </c>
      <c r="AJ556" s="159">
        <f>IF(COUNT($I$3:AJ$3)&lt;=Dashboard!$I$31,AJ551*1,0)</f>
        <v>0</v>
      </c>
      <c r="AK556" s="159">
        <f>IF(COUNT($I$3:AK$3)&lt;=Dashboard!$I$31,AK551*1,0)</f>
        <v>0</v>
      </c>
      <c r="AL556" s="159">
        <f>IF(COUNT($I$3:AL$3)&lt;=Dashboard!$I$31,AL551*1,0)</f>
        <v>0</v>
      </c>
      <c r="AM556" s="159">
        <f>IF(COUNT($I$3:AM$3)&lt;=Dashboard!$I$31,AM551*1,0)</f>
        <v>0</v>
      </c>
      <c r="AN556" s="159">
        <f>IF(COUNT($I$3:AN$3)&lt;=Dashboard!$I$31,AN551*1,0)</f>
        <v>0</v>
      </c>
      <c r="AO556" s="159"/>
      <c r="AP556" s="17"/>
    </row>
    <row r="557" spans="1:42" x14ac:dyDescent="0.25">
      <c r="A557" s="12"/>
      <c r="B557" s="13"/>
      <c r="C557" s="136" t="s">
        <v>30</v>
      </c>
      <c r="D557" s="41"/>
      <c r="E557" s="15" t="s">
        <v>556</v>
      </c>
      <c r="F557" s="16"/>
      <c r="G557" s="14"/>
      <c r="H557" s="159"/>
      <c r="I557" s="159">
        <f>IF(COUNT($I$3:I$3)&gt;Dashboard!$I$31,I551*1,0)</f>
        <v>0</v>
      </c>
      <c r="J557" s="159">
        <f>IF(COUNT($I$3:J$3)&gt;Dashboard!$I$31,J551*1,0)</f>
        <v>0</v>
      </c>
      <c r="K557" s="159">
        <f>IF(COUNT($I$3:K$3)&gt;Dashboard!$I$31,K551*1,0)</f>
        <v>0</v>
      </c>
      <c r="L557" s="159">
        <f>IF(COUNT($I$3:L$3)&gt;Dashboard!$I$31,L551*1,0)</f>
        <v>0</v>
      </c>
      <c r="M557" s="159">
        <f>IF(COUNT($I$3:M$3)&gt;Dashboard!$I$31,M551*1,0)</f>
        <v>0</v>
      </c>
      <c r="N557" s="159">
        <f>IF(COUNT($I$3:N$3)&gt;Dashboard!$I$31,N551*1,0)</f>
        <v>0</v>
      </c>
      <c r="O557" s="159">
        <f>IF(COUNT($I$3:O$3)&gt;Dashboard!$I$31,O551*1,0)</f>
        <v>0</v>
      </c>
      <c r="P557" s="159">
        <f>IF(COUNT($I$3:P$3)&gt;Dashboard!$I$31,P551*1,0)</f>
        <v>0</v>
      </c>
      <c r="Q557" s="159">
        <f>IF(COUNT($I$3:Q$3)&gt;Dashboard!$I$31,Q551*1,0)</f>
        <v>0</v>
      </c>
      <c r="R557" s="159">
        <f>IF(COUNT($I$3:R$3)&gt;Dashboard!$I$31,R551*1,0)</f>
        <v>0</v>
      </c>
      <c r="S557" s="159">
        <f>IF(COUNT($I$3:S$3)&gt;Dashboard!$I$31,S551*1,0)</f>
        <v>0</v>
      </c>
      <c r="T557" s="159">
        <f>IF(COUNT($I$3:T$3)&gt;Dashboard!$I$31,T551*1,0)</f>
        <v>0</v>
      </c>
      <c r="U557" s="159">
        <f>IF(COUNT($I$3:U$3)&gt;Dashboard!$I$31,U551*1,0)</f>
        <v>93600</v>
      </c>
      <c r="V557" s="159">
        <f>IF(COUNT($I$3:V$3)&gt;Dashboard!$I$31,V551*1,0)</f>
        <v>93600</v>
      </c>
      <c r="W557" s="159">
        <f>IF(COUNT($I$3:W$3)&gt;Dashboard!$I$31,W551*1,0)</f>
        <v>93600</v>
      </c>
      <c r="X557" s="159">
        <f>IF(COUNT($I$3:X$3)&gt;Dashboard!$I$31,X551*1,0)</f>
        <v>93600</v>
      </c>
      <c r="Y557" s="159">
        <f>IF(COUNT($I$3:Y$3)&gt;Dashboard!$I$31,Y551*1,0)</f>
        <v>93600</v>
      </c>
      <c r="Z557" s="159">
        <f>IF(COUNT($I$3:Z$3)&gt;Dashboard!$I$31,Z551*1,0)</f>
        <v>93600</v>
      </c>
      <c r="AA557" s="159">
        <f>IF(COUNT($I$3:AA$3)&gt;Dashboard!$I$31,AA551*1,0)</f>
        <v>93600</v>
      </c>
      <c r="AB557" s="159">
        <f>IF(COUNT($I$3:AB$3)&gt;Dashboard!$I$31,AB551*1,0)</f>
        <v>93600</v>
      </c>
      <c r="AC557" s="159">
        <f>IF(COUNT($I$3:AC$3)&gt;Dashboard!$I$31,AC551*1,0)</f>
        <v>93600</v>
      </c>
      <c r="AD557" s="159">
        <f>IF(COUNT($I$3:AD$3)&gt;Dashboard!$I$31,AD551*1,0)</f>
        <v>93600</v>
      </c>
      <c r="AE557" s="159">
        <f>IF(COUNT($I$3:AE$3)&gt;Dashboard!$I$31,AE551*1,0)</f>
        <v>93600</v>
      </c>
      <c r="AF557" s="159">
        <f>IF(COUNT($I$3:AF$3)&gt;Dashboard!$I$31,AF551*1,0)</f>
        <v>93600</v>
      </c>
      <c r="AG557" s="159">
        <f>IF(COUNT($I$3:AG$3)&gt;Dashboard!$I$31,AG551*1,0)</f>
        <v>93600</v>
      </c>
      <c r="AH557" s="159">
        <f>IF(COUNT($I$3:AH$3)&gt;Dashboard!$I$31,AH551*1,0)</f>
        <v>93600</v>
      </c>
      <c r="AI557" s="159">
        <f>IF(COUNT($I$3:AI$3)&gt;Dashboard!$I$31,AI551*1,0)</f>
        <v>93600</v>
      </c>
      <c r="AJ557" s="159">
        <f>IF(COUNT($I$3:AJ$3)&gt;Dashboard!$I$31,AJ551*1,0)</f>
        <v>93600</v>
      </c>
      <c r="AK557" s="159">
        <f>IF(COUNT($I$3:AK$3)&gt;Dashboard!$I$31,AK551*1,0)</f>
        <v>93600</v>
      </c>
      <c r="AL557" s="159">
        <f>IF(COUNT($I$3:AL$3)&gt;Dashboard!$I$31,AL551*1,0)</f>
        <v>93600</v>
      </c>
      <c r="AM557" s="159">
        <f>IF(COUNT($I$3:AM$3)&gt;Dashboard!$I$31,AM551*1,0)</f>
        <v>93600</v>
      </c>
      <c r="AN557" s="159">
        <f>IF(COUNT($I$3:AN$3)&gt;Dashboard!$I$31,AN551*1,0)</f>
        <v>93600</v>
      </c>
      <c r="AO557" s="159"/>
      <c r="AP557" s="17"/>
    </row>
    <row r="558" spans="1:42" x14ac:dyDescent="0.25">
      <c r="A558" s="12"/>
      <c r="B558" s="13"/>
      <c r="C558" s="136" t="s">
        <v>597</v>
      </c>
      <c r="D558" s="41"/>
      <c r="E558" s="15" t="s">
        <v>556</v>
      </c>
      <c r="F558" s="16"/>
      <c r="G558" s="14"/>
      <c r="H558" s="159"/>
      <c r="I558" s="159">
        <f>IF(I554&gt;(1-(Data!$E$337+1)*Data!$E$351),I557,0)</f>
        <v>0</v>
      </c>
      <c r="J558" s="159">
        <f>IF(J554&gt;(1-(Data!$E$337+1)*Data!$E$351),J557,0)</f>
        <v>0</v>
      </c>
      <c r="K558" s="159">
        <f>IF(K554&gt;(1-(Data!$E$337+1)*Data!$E$351),K557,0)</f>
        <v>0</v>
      </c>
      <c r="L558" s="159">
        <f>IF(L554&gt;(1-(Data!$E$337+1)*Data!$E$351),L557,0)</f>
        <v>0</v>
      </c>
      <c r="M558" s="159">
        <f>IF(M554&gt;(1-(Data!$E$337+1)*Data!$E$351),M557,0)</f>
        <v>0</v>
      </c>
      <c r="N558" s="159">
        <f>IF(N554&gt;(1-(Data!$E$337+1)*Data!$E$351),N557,0)</f>
        <v>0</v>
      </c>
      <c r="O558" s="159">
        <f>IF(O554&gt;(1-(Data!$E$337+1)*Data!$E$351),O557,0)</f>
        <v>0</v>
      </c>
      <c r="P558" s="159">
        <f>IF(P554&gt;(1-(Data!$E$337+1)*Data!$E$351),P557,0)</f>
        <v>0</v>
      </c>
      <c r="Q558" s="159">
        <f>IF(Q554&gt;(1-(Data!$E$337+1)*Data!$E$351),Q557,0)</f>
        <v>0</v>
      </c>
      <c r="R558" s="159">
        <f>IF(R554&gt;(1-(Data!$E$337+1)*Data!$E$351),R557,0)</f>
        <v>0</v>
      </c>
      <c r="S558" s="159">
        <f>IF(S554&gt;(1-(Data!$E$337+1)*Data!$E$351),S557,0)</f>
        <v>0</v>
      </c>
      <c r="T558" s="159">
        <f>IF(T554&gt;(1-(Data!$E$337+1)*Data!$E$351),T557,0)</f>
        <v>0</v>
      </c>
      <c r="U558" s="159">
        <f>IF(U554&gt;(1-(Data!$E$337+1)*Data!$E$351),U557,0)</f>
        <v>93600</v>
      </c>
      <c r="V558" s="159">
        <f>IF(V554&gt;(1-(Data!$E$337+1)*Data!$E$351),V557,0)</f>
        <v>93600</v>
      </c>
      <c r="W558" s="159">
        <f>IF(W554&gt;(1-(Data!$E$337+1)*Data!$E$351),W557,0)</f>
        <v>93600</v>
      </c>
      <c r="X558" s="159">
        <f>IF(X554&gt;(1-(Data!$E$337+1)*Data!$E$351),X557,0)</f>
        <v>93600</v>
      </c>
      <c r="Y558" s="159">
        <f>IF(Y554&gt;(1-(Data!$E$337+1)*Data!$E$351),Y557,0)</f>
        <v>93600</v>
      </c>
      <c r="Z558" s="159">
        <f>IF(Z554&gt;(1-(Data!$E$337+1)*Data!$E$351),Z557,0)</f>
        <v>93600</v>
      </c>
      <c r="AA558" s="159">
        <f>IF(AA554&gt;(1-(Data!$E$337+1)*Data!$E$351),AA557,0)</f>
        <v>93600</v>
      </c>
      <c r="AB558" s="159">
        <f>IF(AB554&gt;(1-(Data!$E$337+1)*Data!$E$351),AB557,0)</f>
        <v>93600</v>
      </c>
      <c r="AC558" s="159">
        <f>IF(AC554&gt;(1-(Data!$E$337+1)*Data!$E$351),AC557,0)</f>
        <v>93600</v>
      </c>
      <c r="AD558" s="159">
        <f>IF(AD554&gt;(1-(Data!$E$337+1)*Data!$E$351),AD557,0)</f>
        <v>93600</v>
      </c>
      <c r="AE558" s="159">
        <f>IF(AE554&gt;(1-(Data!$E$337+1)*Data!$E$351),AE557,0)</f>
        <v>93600</v>
      </c>
      <c r="AF558" s="159">
        <f>IF(AF554&gt;(1-(Data!$E$337+1)*Data!$E$351),AF557,0)</f>
        <v>93600</v>
      </c>
      <c r="AG558" s="159">
        <f>IF(AG554&gt;(1-(Data!$E$337+1)*Data!$E$351),AG557,0)</f>
        <v>93600</v>
      </c>
      <c r="AH558" s="159">
        <f>IF(AH554&gt;(1-(Data!$E$337+1)*Data!$E$351),AH557,0)</f>
        <v>93600</v>
      </c>
      <c r="AI558" s="159">
        <f>IF(AI554&gt;(1-(Data!$E$337+1)*Data!$E$351),AI557,0)</f>
        <v>93600</v>
      </c>
      <c r="AJ558" s="159">
        <f>IF(AJ554&gt;(1-(Data!$E$337+1)*Data!$E$351),AJ557,0)</f>
        <v>93600</v>
      </c>
      <c r="AK558" s="159">
        <f>IF(AK554&gt;(1-(Data!$E$337+1)*Data!$E$351),AK557,0)</f>
        <v>93600</v>
      </c>
      <c r="AL558" s="159">
        <f>IF(AL554&gt;(1-(Data!$E$337+1)*Data!$E$351),AL557,0)</f>
        <v>93600</v>
      </c>
      <c r="AM558" s="159">
        <f>IF(AM554&gt;(1-(Data!$E$337+1)*Data!$E$351),AM557,0)</f>
        <v>93600</v>
      </c>
      <c r="AN558" s="159">
        <f>IF(AN554&gt;(1-(Data!$E$337+1)*Data!$E$351),AN557,0)</f>
        <v>93600</v>
      </c>
      <c r="AO558" s="159"/>
      <c r="AP558" s="17"/>
    </row>
    <row r="559" spans="1:42" x14ac:dyDescent="0.25">
      <c r="A559" s="12"/>
      <c r="B559" s="13"/>
      <c r="C559" s="136"/>
      <c r="D559" s="41"/>
      <c r="E559" s="15"/>
      <c r="F559" s="16"/>
      <c r="G559" s="14"/>
      <c r="H559" s="141"/>
      <c r="I559" s="14"/>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7"/>
    </row>
    <row r="560" spans="1:42" x14ac:dyDescent="0.25">
      <c r="A560" s="12"/>
      <c r="B560" s="13"/>
      <c r="C560" s="195" t="str">
        <f>C684</f>
        <v>TCO 2: Immediate Diesel to HFCB Bus Replacement</v>
      </c>
      <c r="D560" s="195"/>
      <c r="E560" s="192"/>
      <c r="F560" s="16"/>
      <c r="G560" s="191"/>
      <c r="H560" s="196"/>
      <c r="I560" s="198"/>
      <c r="J560" s="198"/>
      <c r="K560" s="198"/>
      <c r="L560" s="198"/>
      <c r="M560" s="198"/>
      <c r="N560" s="198"/>
      <c r="O560" s="198"/>
      <c r="P560" s="198"/>
      <c r="Q560" s="198"/>
      <c r="R560" s="198"/>
      <c r="S560" s="198"/>
      <c r="T560" s="198"/>
      <c r="U560" s="198"/>
      <c r="V560" s="198"/>
      <c r="W560" s="198"/>
      <c r="X560" s="198"/>
      <c r="Y560" s="198"/>
      <c r="Z560" s="198"/>
      <c r="AA560" s="198"/>
      <c r="AB560" s="198"/>
      <c r="AC560" s="198"/>
      <c r="AD560" s="198"/>
      <c r="AE560" s="198"/>
      <c r="AF560" s="198"/>
      <c r="AG560" s="198"/>
      <c r="AH560" s="198"/>
      <c r="AI560" s="198"/>
      <c r="AJ560" s="198"/>
      <c r="AK560" s="198"/>
      <c r="AL560" s="198"/>
      <c r="AM560" s="198"/>
      <c r="AN560" s="198"/>
      <c r="AO560" s="198"/>
      <c r="AP560" s="197"/>
    </row>
    <row r="561" spans="1:42" x14ac:dyDescent="0.25">
      <c r="A561" s="12"/>
      <c r="B561" s="13"/>
      <c r="C561" t="s">
        <v>30</v>
      </c>
      <c r="D561" s="41"/>
      <c r="E561" s="15"/>
      <c r="F561" s="16"/>
      <c r="G561" s="14"/>
      <c r="H561" s="141"/>
      <c r="I561" s="159">
        <f>I551</f>
        <v>93600</v>
      </c>
      <c r="J561" s="159">
        <f t="shared" ref="J561:AB561" si="146">J551</f>
        <v>93600</v>
      </c>
      <c r="K561" s="159">
        <f t="shared" si="146"/>
        <v>93600</v>
      </c>
      <c r="L561" s="159">
        <f t="shared" si="146"/>
        <v>93600</v>
      </c>
      <c r="M561" s="159">
        <f t="shared" si="146"/>
        <v>93600</v>
      </c>
      <c r="N561" s="159">
        <f t="shared" si="146"/>
        <v>93600</v>
      </c>
      <c r="O561" s="159">
        <f t="shared" si="146"/>
        <v>93600</v>
      </c>
      <c r="P561" s="159">
        <f t="shared" si="146"/>
        <v>93600</v>
      </c>
      <c r="Q561" s="159">
        <f t="shared" si="146"/>
        <v>93600</v>
      </c>
      <c r="R561" s="159">
        <f t="shared" si="146"/>
        <v>93600</v>
      </c>
      <c r="S561" s="159">
        <f t="shared" si="146"/>
        <v>93600</v>
      </c>
      <c r="T561" s="159">
        <f t="shared" si="146"/>
        <v>93600</v>
      </c>
      <c r="U561" s="159">
        <f t="shared" si="146"/>
        <v>93600</v>
      </c>
      <c r="V561" s="159">
        <f t="shared" si="146"/>
        <v>93600</v>
      </c>
      <c r="W561" s="159">
        <f t="shared" si="146"/>
        <v>93600</v>
      </c>
      <c r="X561" s="159">
        <f t="shared" si="146"/>
        <v>93600</v>
      </c>
      <c r="Y561" s="159">
        <f t="shared" si="146"/>
        <v>93600</v>
      </c>
      <c r="Z561" s="159">
        <f t="shared" si="146"/>
        <v>93600</v>
      </c>
      <c r="AA561" s="159">
        <f t="shared" si="146"/>
        <v>93600</v>
      </c>
      <c r="AB561" s="159">
        <f t="shared" si="146"/>
        <v>93600</v>
      </c>
      <c r="AC561" s="14"/>
      <c r="AD561" s="14"/>
      <c r="AE561" s="14"/>
      <c r="AF561" s="14"/>
      <c r="AG561" s="14"/>
      <c r="AH561" s="14"/>
      <c r="AI561" s="14"/>
      <c r="AJ561" s="14"/>
      <c r="AK561" s="14"/>
      <c r="AL561" s="14"/>
      <c r="AM561" s="14"/>
      <c r="AN561" s="14"/>
      <c r="AO561" s="14"/>
      <c r="AP561" s="17"/>
    </row>
    <row r="562" spans="1:42" x14ac:dyDescent="0.25">
      <c r="A562" s="12"/>
      <c r="B562" s="13"/>
      <c r="C562" s="41"/>
      <c r="D562" s="41"/>
      <c r="E562" s="15"/>
      <c r="F562" s="16"/>
      <c r="G562" s="14"/>
      <c r="H562" s="141"/>
      <c r="I562" s="141"/>
      <c r="J562" s="151"/>
      <c r="K562" s="151"/>
      <c r="L562" s="151"/>
      <c r="M562" s="151"/>
      <c r="N562" s="151"/>
      <c r="O562" s="151"/>
      <c r="P562" s="151"/>
      <c r="Q562" s="151"/>
      <c r="R562" s="151"/>
      <c r="S562" s="151"/>
      <c r="T562" s="151"/>
      <c r="U562" s="141"/>
      <c r="V562" s="141"/>
      <c r="W562" s="141"/>
      <c r="X562" s="141"/>
      <c r="Y562" s="141"/>
      <c r="Z562" s="141"/>
      <c r="AA562" s="141"/>
      <c r="AB562" s="141"/>
      <c r="AC562" s="14"/>
      <c r="AD562" s="14"/>
      <c r="AE562" s="14"/>
      <c r="AF562" s="14"/>
      <c r="AG562" s="14"/>
      <c r="AH562" s="14"/>
      <c r="AI562" s="14"/>
      <c r="AJ562" s="14"/>
      <c r="AK562" s="14"/>
      <c r="AL562" s="14"/>
      <c r="AM562" s="14"/>
      <c r="AN562" s="14"/>
      <c r="AO562" s="14"/>
      <c r="AP562" s="17"/>
    </row>
    <row r="563" spans="1:42" x14ac:dyDescent="0.25">
      <c r="A563" s="12"/>
      <c r="B563" s="13"/>
      <c r="C563" s="41"/>
      <c r="D563" s="41"/>
      <c r="E563" s="15"/>
      <c r="F563" s="16"/>
      <c r="G563" s="14"/>
      <c r="H563" s="141"/>
      <c r="I563" s="141"/>
      <c r="J563" s="141"/>
      <c r="K563" s="141"/>
      <c r="L563" s="141"/>
      <c r="M563" s="141"/>
      <c r="N563" s="141"/>
      <c r="O563" s="141"/>
      <c r="P563" s="141"/>
      <c r="Q563" s="141"/>
      <c r="R563" s="141"/>
      <c r="S563" s="141"/>
      <c r="T563" s="141"/>
      <c r="U563" s="141"/>
      <c r="V563" s="141"/>
      <c r="W563" s="141"/>
      <c r="X563" s="141"/>
      <c r="Y563" s="141"/>
      <c r="Z563" s="141"/>
      <c r="AA563" s="141"/>
      <c r="AB563" s="141"/>
      <c r="AC563" s="14"/>
      <c r="AD563" s="14"/>
      <c r="AE563" s="14"/>
      <c r="AF563" s="14"/>
      <c r="AG563" s="14"/>
      <c r="AH563" s="14"/>
      <c r="AI563" s="14"/>
      <c r="AJ563" s="14"/>
      <c r="AK563" s="14"/>
      <c r="AL563" s="14"/>
      <c r="AM563" s="14"/>
      <c r="AN563" s="14"/>
      <c r="AO563" s="14"/>
      <c r="AP563" s="17"/>
    </row>
    <row r="564" spans="1:42" x14ac:dyDescent="0.25">
      <c r="A564" s="12"/>
      <c r="B564" s="13"/>
      <c r="C564" s="41"/>
      <c r="D564" s="41"/>
      <c r="E564" s="15"/>
      <c r="F564" s="16"/>
      <c r="G564" s="14"/>
      <c r="H564" s="141"/>
      <c r="I564" s="141"/>
      <c r="J564" s="141"/>
      <c r="K564" s="141"/>
      <c r="L564" s="141"/>
      <c r="M564" s="141"/>
      <c r="N564" s="141"/>
      <c r="O564" s="141"/>
      <c r="P564" s="141"/>
      <c r="Q564" s="141"/>
      <c r="R564" s="141"/>
      <c r="S564" s="141"/>
      <c r="T564" s="141"/>
      <c r="U564" s="141"/>
      <c r="V564" s="141"/>
      <c r="W564" s="141"/>
      <c r="X564" s="141"/>
      <c r="Y564" s="141"/>
      <c r="Z564" s="141"/>
      <c r="AA564" s="141"/>
      <c r="AB564" s="141"/>
      <c r="AC564" s="14"/>
      <c r="AD564" s="14"/>
      <c r="AE564" s="14"/>
      <c r="AF564" s="14"/>
      <c r="AG564" s="14"/>
      <c r="AH564" s="14"/>
      <c r="AI564" s="14"/>
      <c r="AJ564" s="14"/>
      <c r="AK564" s="14"/>
      <c r="AL564" s="14"/>
      <c r="AM564" s="14"/>
      <c r="AN564" s="14"/>
      <c r="AO564" s="14"/>
      <c r="AP564" s="17"/>
    </row>
    <row r="565" spans="1:42" x14ac:dyDescent="0.25">
      <c r="A565" s="23"/>
      <c r="B565" s="23"/>
      <c r="C565" s="24" t="s">
        <v>505</v>
      </c>
      <c r="D565" s="24"/>
      <c r="E565" s="25"/>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7"/>
    </row>
    <row r="566" spans="1:42" x14ac:dyDescent="0.25">
      <c r="A566" s="261"/>
      <c r="B566" s="261"/>
      <c r="C566" s="261" t="s">
        <v>598</v>
      </c>
      <c r="D566" s="261"/>
      <c r="E566" s="262"/>
      <c r="F566" s="263"/>
      <c r="G566" s="263"/>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3"/>
      <c r="AD566" s="263"/>
      <c r="AE566" s="263"/>
      <c r="AF566" s="263"/>
      <c r="AG566" s="263"/>
      <c r="AH566" s="263"/>
      <c r="AI566" s="263"/>
      <c r="AJ566" s="263"/>
      <c r="AK566" s="263"/>
      <c r="AL566" s="263"/>
      <c r="AM566" s="263"/>
      <c r="AN566" s="263"/>
      <c r="AO566" s="263"/>
      <c r="AP566" s="265"/>
    </row>
    <row r="567" spans="1:42" hidden="1" outlineLevel="1" x14ac:dyDescent="0.25">
      <c r="A567" s="12"/>
      <c r="B567" s="13"/>
      <c r="C567" s="41"/>
      <c r="D567" s="41"/>
      <c r="E567" s="15"/>
      <c r="F567" s="16"/>
      <c r="G567" s="14"/>
      <c r="H567" s="141"/>
      <c r="I567" s="141"/>
      <c r="J567" s="141"/>
      <c r="K567" s="141"/>
      <c r="L567" s="141"/>
      <c r="M567" s="141"/>
      <c r="N567" s="141"/>
      <c r="O567" s="141"/>
      <c r="P567" s="141"/>
      <c r="Q567" s="141"/>
      <c r="R567" s="141"/>
      <c r="S567" s="141"/>
      <c r="T567" s="141"/>
      <c r="U567" s="141"/>
      <c r="V567" s="141"/>
      <c r="W567" s="141"/>
      <c r="X567" s="141"/>
      <c r="Y567" s="141"/>
      <c r="Z567" s="141"/>
      <c r="AA567" s="141"/>
      <c r="AB567" s="141"/>
      <c r="AC567" s="14"/>
      <c r="AD567" s="14"/>
      <c r="AE567" s="14"/>
      <c r="AF567" s="14"/>
      <c r="AG567" s="14"/>
      <c r="AH567" s="14"/>
      <c r="AI567" s="14"/>
      <c r="AJ567" s="14"/>
      <c r="AK567" s="14"/>
      <c r="AL567" s="14"/>
      <c r="AM567" s="14"/>
      <c r="AN567" s="14"/>
      <c r="AO567" s="14"/>
      <c r="AP567" s="17"/>
    </row>
    <row r="568" spans="1:42" hidden="1" outlineLevel="1" x14ac:dyDescent="0.25">
      <c r="A568" s="12"/>
      <c r="B568" s="13"/>
      <c r="C568" s="37" t="s">
        <v>508</v>
      </c>
      <c r="D568" s="37"/>
      <c r="E568" s="38"/>
      <c r="F568" s="39"/>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17"/>
    </row>
    <row r="569" spans="1:42" hidden="1" outlineLevel="1" x14ac:dyDescent="0.25">
      <c r="A569" s="12"/>
      <c r="B569" s="13"/>
      <c r="C569" s="95" t="s">
        <v>559</v>
      </c>
      <c r="D569" s="14"/>
      <c r="E569" s="15"/>
      <c r="F569" s="16"/>
      <c r="G569" s="14"/>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29"/>
    </row>
    <row r="570" spans="1:42" hidden="1" outlineLevel="1" x14ac:dyDescent="0.25">
      <c r="A570" s="12"/>
      <c r="B570" s="13"/>
      <c r="C570" s="96" t="s">
        <v>120</v>
      </c>
      <c r="D570" s="14"/>
      <c r="E570" s="15" t="s">
        <v>142</v>
      </c>
      <c r="F570" s="158" t="str">
        <f>Dashboard!$I$63</f>
        <v>3 Axle Double Decker Bus</v>
      </c>
      <c r="G570" s="14"/>
      <c r="H570" s="151">
        <f>IF(COUNT($I$3:I$3)=(Dashboard!$I$31+1),IF($F$570=$C$570,Data!$E$371,0),0)</f>
        <v>0</v>
      </c>
      <c r="I570" s="151">
        <f>IF(COUNT($I$3:J$3)=(Dashboard!$I$31+1),IF($F$570=$C$570,Data!$E$371,0),0)</f>
        <v>0</v>
      </c>
      <c r="J570" s="151">
        <f>IF(COUNT($I$3:K$3)=(Dashboard!$I$31+1),IF($F$570=$C$570,Data!$E$371,0),0)</f>
        <v>0</v>
      </c>
      <c r="K570" s="151">
        <f>IF(COUNT($I$3:L$3)=(Dashboard!$I$31+1),IF($F$570=$C$570,Data!$E$371,0),0)</f>
        <v>0</v>
      </c>
      <c r="L570" s="151">
        <f>IF(COUNT($I$3:M$3)=(Dashboard!$I$31+1),IF($F$570=$C$570,Data!$E$371,0),0)</f>
        <v>0</v>
      </c>
      <c r="M570" s="151">
        <f>IF(COUNT($I$3:N$3)=(Dashboard!$I$31+1),IF($F$570=$C$570,Data!$E$371,0),0)</f>
        <v>0</v>
      </c>
      <c r="N570" s="151">
        <f>IF(COUNT($I$3:O$3)=(Dashboard!$I$31+1),IF($F$570=$C$570,Data!$E$371,0),0)</f>
        <v>0</v>
      </c>
      <c r="O570" s="151">
        <f>IF(COUNT($I$3:P$3)=(Dashboard!$I$31+1),IF($F$570=$C$570,Data!$E$371,0),0)</f>
        <v>0</v>
      </c>
      <c r="P570" s="151">
        <f>IF(COUNT($I$3:Q$3)=(Dashboard!$I$31+1),IF($F$570=$C$570,Data!$E$371,0),0)</f>
        <v>0</v>
      </c>
      <c r="Q570" s="151">
        <f>IF(COUNT($I$3:R$3)=(Dashboard!$I$31+1),IF($F$570=$C$570,Data!$E$371,0),0)</f>
        <v>0</v>
      </c>
      <c r="R570" s="151">
        <f>IF(COUNT($I$3:S$3)=(Dashboard!$I$31+1),IF($F$570=$C$570,Data!$E$371,0),0)</f>
        <v>0</v>
      </c>
      <c r="S570" s="151">
        <f>IF(COUNT($I$3:T$3)=(Dashboard!$I$31+1),IF($F$570=$C$570,Data!$E$371,0),0)</f>
        <v>0</v>
      </c>
      <c r="T570" s="151">
        <f>IF(COUNT($I$3:U$3)=(Dashboard!$I$31+1),IF($F$570=$C$570,Data!$E$371,0),0)</f>
        <v>0</v>
      </c>
      <c r="U570" s="151">
        <f>IF(COUNT($I$3:V$3)=(Dashboard!$I$31+1),IF($F$570=$C$570,Data!$E$371,0),0)</f>
        <v>0</v>
      </c>
      <c r="V570" s="151">
        <f>IF(COUNT($I$3:W$3)=(Dashboard!$I$31+1),IF($F$570=$C$570,Data!$E$371,0),0)</f>
        <v>0</v>
      </c>
      <c r="W570" s="151">
        <f>IF(COUNT($I$3:X$3)=(Dashboard!$I$31+1),IF($F$570=$C$570,Data!$E$371,0),0)</f>
        <v>0</v>
      </c>
      <c r="X570" s="151">
        <f>IF(COUNT($I$3:Y$3)=(Dashboard!$I$31+1),IF($F$570=$C$570,Data!$E$371,0),0)</f>
        <v>0</v>
      </c>
      <c r="Y570" s="151">
        <f>IF(COUNT($I$3:Z$3)=(Dashboard!$I$31+1),IF($F$570=$C$570,Data!$E$371,0),0)</f>
        <v>0</v>
      </c>
      <c r="Z570" s="151">
        <f>IF(COUNT($I$3:AA$3)=(Dashboard!$I$31+1),IF($F$570=$C$570,Data!$E$371,0),0)</f>
        <v>0</v>
      </c>
      <c r="AA570" s="151">
        <f>IF(COUNT($I$3:AB$3)=(Dashboard!$I$31+1),IF($F$570=$C$570,Data!$E$371,0),0)</f>
        <v>0</v>
      </c>
      <c r="AB570" s="151">
        <f>IF(COUNT($I$3:AC$3)=(Dashboard!$I$31+1),IF($F$570=$C$570,Data!$E$371,0),0)</f>
        <v>0</v>
      </c>
      <c r="AC570" s="151">
        <f>IF(COUNT($I$3:AD$3)=(Dashboard!$I$31+1),IF($F$570=$C$570,Data!$E$371,0),0)</f>
        <v>0</v>
      </c>
      <c r="AD570" s="151">
        <f>IF(COUNT($I$3:AE$3)=(Dashboard!$I$31+1),IF($F$570=$C$570,Data!$E$371,0),0)</f>
        <v>0</v>
      </c>
      <c r="AE570" s="151">
        <f>IF(COUNT($I$3:AF$3)=(Dashboard!$I$31+1),IF($F$570=$C$570,Data!$E$371,0),0)</f>
        <v>0</v>
      </c>
      <c r="AF570" s="151">
        <f>IF(COUNT($I$3:AG$3)=(Dashboard!$I$31+1),IF($F$570=$C$570,Data!$E$371,0),0)</f>
        <v>0</v>
      </c>
      <c r="AG570" s="151">
        <f>IF(COUNT($I$3:AH$3)=(Dashboard!$I$31+1),IF($F$570=$C$570,Data!$E$371,0),0)</f>
        <v>0</v>
      </c>
      <c r="AH570" s="151">
        <f>IF(COUNT($I$3:AI$3)=(Dashboard!$I$31+1),IF($F$570=$C$570,Data!$E$371,0),0)</f>
        <v>0</v>
      </c>
      <c r="AI570" s="151">
        <f>IF(COUNT($I$3:AJ$3)=(Dashboard!$I$31+1),IF($F$570=$C$570,Data!$E$371,0),0)</f>
        <v>0</v>
      </c>
      <c r="AJ570" s="151">
        <f>IF(COUNT($I$3:AK$3)=(Dashboard!$I$31+1),IF($F$570=$C$570,Data!$E$371,0),0)</f>
        <v>0</v>
      </c>
      <c r="AK570" s="151">
        <f>IF(COUNT($I$3:AL$3)=(Dashboard!$I$31+1),IF($F$570=$C$570,Data!$E$371,0),0)</f>
        <v>0</v>
      </c>
      <c r="AL570" s="151">
        <f>IF(COUNT($I$3:AM$3)=(Dashboard!$I$31+1),IF($F$570=$C$570,Data!$E$371,0),0)</f>
        <v>0</v>
      </c>
      <c r="AM570" s="151">
        <f>IF(COUNT($I$3:AN$3)=(Dashboard!$I$31+1),IF($F$570=$C$570,Data!$E$371,0),0)</f>
        <v>0</v>
      </c>
      <c r="AN570" s="151">
        <f>IF(COUNT($I$3:AO$3)=(Dashboard!$I$31+1),IF($F$570=$C$570,Data!$E$371,0),0)</f>
        <v>0</v>
      </c>
      <c r="AO570" s="151">
        <f>IF(COUNT($I$3:AP$3)=(Dashboard!$I$31+1),IF($F$570=$C$570,Data!$E$371,0),0)</f>
        <v>0</v>
      </c>
      <c r="AP570" s="29"/>
    </row>
    <row r="571" spans="1:42" hidden="1" outlineLevel="1" x14ac:dyDescent="0.25">
      <c r="A571" s="12"/>
      <c r="B571" s="13"/>
      <c r="C571" s="96" t="s">
        <v>124</v>
      </c>
      <c r="D571" s="14"/>
      <c r="E571" s="15" t="s">
        <v>142</v>
      </c>
      <c r="F571" s="158" t="str">
        <f>Dashboard!$I$63</f>
        <v>3 Axle Double Decker Bus</v>
      </c>
      <c r="G571" s="14"/>
      <c r="H571" s="151">
        <f>IF(COUNT($I$3:I$3)=(Dashboard!$I$31+1),IF($F$571=$C$571,Data!$E$372,0),0)</f>
        <v>0</v>
      </c>
      <c r="I571" s="151">
        <f>IF(COUNT($I$3:J$3)=(Dashboard!$I$31+1),IF($F$571=$C$571,Data!$E$372,0),0)</f>
        <v>0</v>
      </c>
      <c r="J571" s="151">
        <f>IF(COUNT($I$3:K$3)=(Dashboard!$I$31+1),IF($F$571=$C$571,Data!$E$372,0),0)</f>
        <v>0</v>
      </c>
      <c r="K571" s="151">
        <f>IF(COUNT($I$3:L$3)=(Dashboard!$I$31+1),IF($F$571=$C$571,Data!$E$372,0),0)</f>
        <v>0</v>
      </c>
      <c r="L571" s="151">
        <f>IF(COUNT($I$3:M$3)=(Dashboard!$I$31+1),IF($F$571=$C$571,Data!$E$372,0),0)</f>
        <v>0</v>
      </c>
      <c r="M571" s="151">
        <f>IF(COUNT($I$3:N$3)=(Dashboard!$I$31+1),IF($F$571=$C$571,Data!$E$372,0),0)</f>
        <v>0</v>
      </c>
      <c r="N571" s="151">
        <f>IF(COUNT($I$3:O$3)=(Dashboard!$I$31+1),IF($F$571=$C$571,Data!$E$372,0),0)</f>
        <v>0</v>
      </c>
      <c r="O571" s="151">
        <f>IF(COUNT($I$3:P$3)=(Dashboard!$I$31+1),IF($F$571=$C$571,Data!$E$372,0),0)</f>
        <v>0</v>
      </c>
      <c r="P571" s="151">
        <f>IF(COUNT($I$3:Q$3)=(Dashboard!$I$31+1),IF($F$571=$C$571,Data!$E$372,0),0)</f>
        <v>0</v>
      </c>
      <c r="Q571" s="151">
        <f>IF(COUNT($I$3:R$3)=(Dashboard!$I$31+1),IF($F$571=$C$571,Data!$E$372,0),0)</f>
        <v>0</v>
      </c>
      <c r="R571" s="151">
        <f>IF(COUNT($I$3:S$3)=(Dashboard!$I$31+1),IF($F$571=$C$571,Data!$E$372,0),0)</f>
        <v>0</v>
      </c>
      <c r="S571" s="151">
        <f>IF(COUNT($I$3:T$3)=(Dashboard!$I$31+1),IF($F$571=$C$571,Data!$E$372,0),0)</f>
        <v>0</v>
      </c>
      <c r="T571" s="151">
        <f>IF(COUNT($I$3:U$3)=(Dashboard!$I$31+1),IF($F$571=$C$571,Data!$E$372,0),0)</f>
        <v>0</v>
      </c>
      <c r="U571" s="151">
        <f>IF(COUNT($I$3:V$3)=(Dashboard!$I$31+1),IF($F$571=$C$571,Data!$E$372,0),0)</f>
        <v>0</v>
      </c>
      <c r="V571" s="151">
        <f>IF(COUNT($I$3:W$3)=(Dashboard!$I$31+1),IF($F$571=$C$571,Data!$E$372,0),0)</f>
        <v>0</v>
      </c>
      <c r="W571" s="151">
        <f>IF(COUNT($I$3:X$3)=(Dashboard!$I$31+1),IF($F$571=$C$571,Data!$E$372,0),0)</f>
        <v>0</v>
      </c>
      <c r="X571" s="151">
        <f>IF(COUNT($I$3:Y$3)=(Dashboard!$I$31+1),IF($F$571=$C$571,Data!$E$372,0),0)</f>
        <v>0</v>
      </c>
      <c r="Y571" s="151">
        <f>IF(COUNT($I$3:Z$3)=(Dashboard!$I$31+1),IF($F$571=$C$571,Data!$E$372,0),0)</f>
        <v>0</v>
      </c>
      <c r="Z571" s="151">
        <f>IF(COUNT($I$3:AA$3)=(Dashboard!$I$31+1),IF($F$571=$C$571,Data!$E$372,0),0)</f>
        <v>0</v>
      </c>
      <c r="AA571" s="151">
        <f>IF(COUNT($I$3:AB$3)=(Dashboard!$I$31+1),IF($F$571=$C$571,Data!$E$372,0),0)</f>
        <v>0</v>
      </c>
      <c r="AB571" s="151">
        <f>IF(COUNT($I$3:AC$3)=(Dashboard!$I$31+1),IF($F$571=$C$571,Data!$E$372,0),0)</f>
        <v>0</v>
      </c>
      <c r="AC571" s="151">
        <f>IF(COUNT($I$3:AD$3)=(Dashboard!$I$31+1),IF($F$571=$C$571,Data!$E$372,0),0)</f>
        <v>0</v>
      </c>
      <c r="AD571" s="151">
        <f>IF(COUNT($I$3:AE$3)=(Dashboard!$I$31+1),IF($F$571=$C$571,Data!$E$372,0),0)</f>
        <v>0</v>
      </c>
      <c r="AE571" s="151">
        <f>IF(COUNT($I$3:AF$3)=(Dashboard!$I$31+1),IF($F$571=$C$571,Data!$E$372,0),0)</f>
        <v>0</v>
      </c>
      <c r="AF571" s="151">
        <f>IF(COUNT($I$3:AG$3)=(Dashboard!$I$31+1),IF($F$571=$C$571,Data!$E$372,0),0)</f>
        <v>0</v>
      </c>
      <c r="AG571" s="151">
        <f>IF(COUNT($I$3:AH$3)=(Dashboard!$I$31+1),IF($F$571=$C$571,Data!$E$372,0),0)</f>
        <v>0</v>
      </c>
      <c r="AH571" s="151">
        <f>IF(COUNT($I$3:AI$3)=(Dashboard!$I$31+1),IF($F$571=$C$571,Data!$E$372,0),0)</f>
        <v>0</v>
      </c>
      <c r="AI571" s="151">
        <f>IF(COUNT($I$3:AJ$3)=(Dashboard!$I$31+1),IF($F$571=$C$571,Data!$E$372,0),0)</f>
        <v>0</v>
      </c>
      <c r="AJ571" s="151">
        <f>IF(COUNT($I$3:AK$3)=(Dashboard!$I$31+1),IF($F$571=$C$571,Data!$E$372,0),0)</f>
        <v>0</v>
      </c>
      <c r="AK571" s="151">
        <f>IF(COUNT($I$3:AL$3)=(Dashboard!$I$31+1),IF($F$571=$C$571,Data!$E$372,0),0)</f>
        <v>0</v>
      </c>
      <c r="AL571" s="151">
        <f>IF(COUNT($I$3:AM$3)=(Dashboard!$I$31+1),IF($F$571=$C$571,Data!$E$372,0),0)</f>
        <v>0</v>
      </c>
      <c r="AM571" s="151">
        <f>IF(COUNT($I$3:AN$3)=(Dashboard!$I$31+1),IF($F$571=$C$571,Data!$E$372,0),0)</f>
        <v>0</v>
      </c>
      <c r="AN571" s="151">
        <f>IF(COUNT($I$3:AO$3)=(Dashboard!$I$31+1),IF($F$571=$C$571,Data!$E$372,0),0)</f>
        <v>0</v>
      </c>
      <c r="AO571" s="151">
        <f>IF(COUNT($I$3:AP$3)=(Dashboard!$I$31+1),IF($F$571=$C$571,Data!$E$372,0),0)</f>
        <v>0</v>
      </c>
      <c r="AP571" s="29"/>
    </row>
    <row r="572" spans="1:42" hidden="1" outlineLevel="1" x14ac:dyDescent="0.25">
      <c r="A572" s="12"/>
      <c r="B572" s="13"/>
      <c r="C572" s="96" t="s">
        <v>126</v>
      </c>
      <c r="D572" s="14"/>
      <c r="E572" s="15" t="s">
        <v>142</v>
      </c>
      <c r="F572" s="158" t="str">
        <f>Dashboard!$I$63</f>
        <v>3 Axle Double Decker Bus</v>
      </c>
      <c r="G572" s="14"/>
      <c r="H572" s="151">
        <f>IF(COUNT($I$3:I$3)=(Dashboard!$I$31+1),IF($F$572=$C$572,Data!$E$373,0),0)</f>
        <v>0</v>
      </c>
      <c r="I572" s="151">
        <f>IF(COUNT($I$3:J$3)=(Dashboard!$I$31+1),IF($F$572=$C$572,Data!$E$373,0),0)</f>
        <v>0</v>
      </c>
      <c r="J572" s="151">
        <f>IF(COUNT($I$3:K$3)=(Dashboard!$I$31+1),IF($F$572=$C$572,Data!$E$373,0),0)</f>
        <v>0</v>
      </c>
      <c r="K572" s="151">
        <f>IF(COUNT($I$3:L$3)=(Dashboard!$I$31+1),IF($F$572=$C$572,Data!$E$373,0),0)</f>
        <v>0</v>
      </c>
      <c r="L572" s="151">
        <f>IF(COUNT($I$3:M$3)=(Dashboard!$I$31+1),IF($F$572=$C$572,Data!$E$373,0),0)</f>
        <v>0</v>
      </c>
      <c r="M572" s="151">
        <f>IF(COUNT($I$3:N$3)=(Dashboard!$I$31+1),IF($F$572=$C$572,Data!$E$373,0),0)</f>
        <v>0</v>
      </c>
      <c r="N572" s="151">
        <f>IF(COUNT($I$3:O$3)=(Dashboard!$I$31+1),IF($F$572=$C$572,Data!$E$373,0),0)</f>
        <v>0</v>
      </c>
      <c r="O572" s="151">
        <f>IF(COUNT($I$3:P$3)=(Dashboard!$I$31+1),IF($F$572=$C$572,Data!$E$373,0),0)</f>
        <v>0</v>
      </c>
      <c r="P572" s="151">
        <f>IF(COUNT($I$3:Q$3)=(Dashboard!$I$31+1),IF($F$572=$C$572,Data!$E$373,0),0)</f>
        <v>0</v>
      </c>
      <c r="Q572" s="151">
        <f>IF(COUNT($I$3:R$3)=(Dashboard!$I$31+1),IF($F$572=$C$572,Data!$E$373,0),0)</f>
        <v>0</v>
      </c>
      <c r="R572" s="151">
        <f>IF(COUNT($I$3:S$3)=(Dashboard!$I$31+1),IF($F$572=$C$572,Data!$E$373,0),0)</f>
        <v>0</v>
      </c>
      <c r="S572" s="151">
        <f>IF(COUNT($I$3:T$3)=(Dashboard!$I$31+1),IF($F$572=$C$572,Data!$E$373,0),0)</f>
        <v>0</v>
      </c>
      <c r="T572" s="151">
        <f>IF(COUNT($I$3:U$3)=(Dashboard!$I$31+1),IF($F$572=$C$572,Data!$E$373,0),0)</f>
        <v>1195000</v>
      </c>
      <c r="U572" s="151">
        <f>IF(COUNT($I$3:V$3)=(Dashboard!$I$31+1),IF($F$572=$C$572,Data!$E$373,0),0)</f>
        <v>0</v>
      </c>
      <c r="V572" s="151">
        <f>IF(COUNT($I$3:W$3)=(Dashboard!$I$31+1),IF($F$572=$C$572,Data!$E$373,0),0)</f>
        <v>0</v>
      </c>
      <c r="W572" s="151">
        <f>IF(COUNT($I$3:X$3)=(Dashboard!$I$31+1),IF($F$572=$C$572,Data!$E$373,0),0)</f>
        <v>0</v>
      </c>
      <c r="X572" s="151">
        <f>IF(COUNT($I$3:Y$3)=(Dashboard!$I$31+1),IF($F$572=$C$572,Data!$E$373,0),0)</f>
        <v>0</v>
      </c>
      <c r="Y572" s="151">
        <f>IF(COUNT($I$3:Z$3)=(Dashboard!$I$31+1),IF($F$572=$C$572,Data!$E$373,0),0)</f>
        <v>0</v>
      </c>
      <c r="Z572" s="151">
        <f>IF(COUNT($I$3:AA$3)=(Dashboard!$I$31+1),IF($F$572=$C$572,Data!$E$373,0),0)</f>
        <v>0</v>
      </c>
      <c r="AA572" s="151">
        <f>IF(COUNT($I$3:AB$3)=(Dashboard!$I$31+1),IF($F$572=$C$572,Data!$E$373,0),0)</f>
        <v>0</v>
      </c>
      <c r="AB572" s="151">
        <f>IF(COUNT($I$3:AC$3)=(Dashboard!$I$31+1),IF($F$572=$C$572,Data!$E$373,0),0)</f>
        <v>0</v>
      </c>
      <c r="AC572" s="151">
        <f>IF(COUNT($I$3:AD$3)=(Dashboard!$I$31+1),IF($F$572=$C$572,Data!$E$373,0),0)</f>
        <v>0</v>
      </c>
      <c r="AD572" s="151">
        <f>IF(COUNT($I$3:AE$3)=(Dashboard!$I$31+1),IF($F$572=$C$572,Data!$E$373,0),0)</f>
        <v>0</v>
      </c>
      <c r="AE572" s="151">
        <f>IF(COUNT($I$3:AF$3)=(Dashboard!$I$31+1),IF($F$572=$C$572,Data!$E$373,0),0)</f>
        <v>0</v>
      </c>
      <c r="AF572" s="151">
        <f>IF(COUNT($I$3:AG$3)=(Dashboard!$I$31+1),IF($F$572=$C$572,Data!$E$373,0),0)</f>
        <v>0</v>
      </c>
      <c r="AG572" s="151">
        <f>IF(COUNT($I$3:AH$3)=(Dashboard!$I$31+1),IF($F$572=$C$572,Data!$E$373,0),0)</f>
        <v>0</v>
      </c>
      <c r="AH572" s="151">
        <f>IF(COUNT($I$3:AI$3)=(Dashboard!$I$31+1),IF($F$572=$C$572,Data!$E$373,0),0)</f>
        <v>0</v>
      </c>
      <c r="AI572" s="151">
        <f>IF(COUNT($I$3:AJ$3)=(Dashboard!$I$31+1),IF($F$572=$C$572,Data!$E$373,0),0)</f>
        <v>0</v>
      </c>
      <c r="AJ572" s="151">
        <f>IF(COUNT($I$3:AK$3)=(Dashboard!$I$31+1),IF($F$572=$C$572,Data!$E$373,0),0)</f>
        <v>0</v>
      </c>
      <c r="AK572" s="151">
        <f>IF(COUNT($I$3:AL$3)=(Dashboard!$I$31+1),IF($F$572=$C$572,Data!$E$373,0),0)</f>
        <v>0</v>
      </c>
      <c r="AL572" s="151">
        <f>IF(COUNT($I$3:AM$3)=(Dashboard!$I$31+1),IF($F$572=$C$572,Data!$E$373,0),0)</f>
        <v>0</v>
      </c>
      <c r="AM572" s="151">
        <f>IF(COUNT($I$3:AN$3)=(Dashboard!$I$31+1),IF($F$572=$C$572,Data!$E$373,0),0)</f>
        <v>0</v>
      </c>
      <c r="AN572" s="151">
        <f>IF(COUNT($I$3:AO$3)=(Dashboard!$I$31+1),IF($F$572=$C$572,Data!$E$373,0),0)</f>
        <v>0</v>
      </c>
      <c r="AO572" s="151">
        <f>IF(COUNT($I$3:AP$3)=(Dashboard!$I$31+1),IF($F$572=$C$572,Data!$E$373,0),0)</f>
        <v>0</v>
      </c>
      <c r="AP572" s="29"/>
    </row>
    <row r="573" spans="1:42" hidden="1" outlineLevel="1" x14ac:dyDescent="0.25">
      <c r="A573" s="12"/>
      <c r="B573" s="13"/>
      <c r="C573" s="14"/>
      <c r="D573" s="14"/>
      <c r="E573" s="15"/>
      <c r="F573" s="16"/>
      <c r="G573" s="14"/>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7"/>
    </row>
    <row r="574" spans="1:42" hidden="1" outlineLevel="1" x14ac:dyDescent="0.25">
      <c r="A574" s="12"/>
      <c r="B574" s="13"/>
      <c r="C574" s="19" t="s">
        <v>510</v>
      </c>
      <c r="D574" s="45"/>
      <c r="E574" s="15"/>
      <c r="F574" s="158"/>
      <c r="G574" s="14"/>
      <c r="H574" s="182">
        <f>SUM(H570:H573)</f>
        <v>0</v>
      </c>
      <c r="I574" s="182">
        <f t="shared" ref="I574:AO574" si="147">SUM(I570:I573)</f>
        <v>0</v>
      </c>
      <c r="J574" s="182">
        <f t="shared" si="147"/>
        <v>0</v>
      </c>
      <c r="K574" s="182">
        <f t="shared" si="147"/>
        <v>0</v>
      </c>
      <c r="L574" s="182">
        <f t="shared" si="147"/>
        <v>0</v>
      </c>
      <c r="M574" s="182">
        <f t="shared" si="147"/>
        <v>0</v>
      </c>
      <c r="N574" s="182">
        <f t="shared" si="147"/>
        <v>0</v>
      </c>
      <c r="O574" s="182">
        <f t="shared" si="147"/>
        <v>0</v>
      </c>
      <c r="P574" s="182">
        <f t="shared" si="147"/>
        <v>0</v>
      </c>
      <c r="Q574" s="182">
        <f t="shared" si="147"/>
        <v>0</v>
      </c>
      <c r="R574" s="182">
        <f t="shared" si="147"/>
        <v>0</v>
      </c>
      <c r="S574" s="182">
        <f t="shared" si="147"/>
        <v>0</v>
      </c>
      <c r="T574" s="182">
        <f t="shared" si="147"/>
        <v>1195000</v>
      </c>
      <c r="U574" s="182">
        <f t="shared" si="147"/>
        <v>0</v>
      </c>
      <c r="V574" s="182">
        <f t="shared" si="147"/>
        <v>0</v>
      </c>
      <c r="W574" s="182">
        <f t="shared" si="147"/>
        <v>0</v>
      </c>
      <c r="X574" s="182">
        <f t="shared" si="147"/>
        <v>0</v>
      </c>
      <c r="Y574" s="182">
        <f t="shared" si="147"/>
        <v>0</v>
      </c>
      <c r="Z574" s="182">
        <f t="shared" si="147"/>
        <v>0</v>
      </c>
      <c r="AA574" s="182">
        <f t="shared" si="147"/>
        <v>0</v>
      </c>
      <c r="AB574" s="182">
        <f t="shared" si="147"/>
        <v>0</v>
      </c>
      <c r="AC574" s="182">
        <f t="shared" si="147"/>
        <v>0</v>
      </c>
      <c r="AD574" s="182">
        <f t="shared" si="147"/>
        <v>0</v>
      </c>
      <c r="AE574" s="182">
        <f t="shared" si="147"/>
        <v>0</v>
      </c>
      <c r="AF574" s="182">
        <f t="shared" si="147"/>
        <v>0</v>
      </c>
      <c r="AG574" s="182">
        <f t="shared" si="147"/>
        <v>0</v>
      </c>
      <c r="AH574" s="182">
        <f t="shared" si="147"/>
        <v>0</v>
      </c>
      <c r="AI574" s="182">
        <f t="shared" si="147"/>
        <v>0</v>
      </c>
      <c r="AJ574" s="182">
        <f t="shared" si="147"/>
        <v>0</v>
      </c>
      <c r="AK574" s="182">
        <f t="shared" si="147"/>
        <v>0</v>
      </c>
      <c r="AL574" s="182">
        <f t="shared" si="147"/>
        <v>0</v>
      </c>
      <c r="AM574" s="182">
        <f t="shared" si="147"/>
        <v>0</v>
      </c>
      <c r="AN574" s="182">
        <f t="shared" si="147"/>
        <v>0</v>
      </c>
      <c r="AO574" s="182">
        <f t="shared" si="147"/>
        <v>0</v>
      </c>
      <c r="AP574" s="29"/>
    </row>
    <row r="575" spans="1:42" hidden="1" outlineLevel="1" x14ac:dyDescent="0.25">
      <c r="A575" s="78"/>
      <c r="B575" s="19"/>
      <c r="C575" s="95" t="s">
        <v>560</v>
      </c>
      <c r="D575" s="20"/>
      <c r="E575" s="21" t="s">
        <v>142</v>
      </c>
      <c r="F575" s="158"/>
      <c r="G575" s="20"/>
      <c r="H575" s="20"/>
      <c r="I575" s="185">
        <f>SUM(I579:I579)</f>
        <v>0</v>
      </c>
      <c r="J575" s="244">
        <f t="shared" ref="J575:R575" si="148">SUM(J579:J579)</f>
        <v>0</v>
      </c>
      <c r="K575" s="244">
        <f t="shared" si="148"/>
        <v>0</v>
      </c>
      <c r="L575" s="244">
        <f t="shared" si="148"/>
        <v>0</v>
      </c>
      <c r="M575" s="185">
        <f>SUM(M579:M579)</f>
        <v>0</v>
      </c>
      <c r="N575" s="244">
        <f t="shared" si="148"/>
        <v>0</v>
      </c>
      <c r="O575" s="244">
        <f t="shared" si="148"/>
        <v>0</v>
      </c>
      <c r="P575" s="244">
        <f t="shared" si="148"/>
        <v>0</v>
      </c>
      <c r="Q575" s="244">
        <f t="shared" si="148"/>
        <v>0</v>
      </c>
      <c r="R575" s="244">
        <f t="shared" si="148"/>
        <v>0</v>
      </c>
      <c r="S575" s="185">
        <f>SUM(S579:S579)</f>
        <v>0</v>
      </c>
      <c r="T575" s="185">
        <f>SUM(T579:T579)</f>
        <v>87930.191642711521</v>
      </c>
      <c r="U575" s="244">
        <f t="shared" ref="U575:AO575" si="149">SUM(U579:U579)</f>
        <v>87930.191642711521</v>
      </c>
      <c r="V575" s="244">
        <f t="shared" si="149"/>
        <v>87930.191642711521</v>
      </c>
      <c r="W575" s="244">
        <f t="shared" si="149"/>
        <v>87930.191642711521</v>
      </c>
      <c r="X575" s="244">
        <f t="shared" si="149"/>
        <v>87930.191642711521</v>
      </c>
      <c r="Y575" s="244">
        <f t="shared" si="149"/>
        <v>87930.191642711521</v>
      </c>
      <c r="Z575" s="244">
        <f t="shared" si="149"/>
        <v>87930.191642711521</v>
      </c>
      <c r="AA575" s="244">
        <f t="shared" si="149"/>
        <v>87930.191642711521</v>
      </c>
      <c r="AB575" s="244">
        <f t="shared" si="149"/>
        <v>87930.191642711521</v>
      </c>
      <c r="AC575" s="244">
        <f t="shared" si="149"/>
        <v>87930.191642711521</v>
      </c>
      <c r="AD575" s="244">
        <f t="shared" si="149"/>
        <v>87930.191642711521</v>
      </c>
      <c r="AE575" s="244">
        <f t="shared" si="149"/>
        <v>87930.191642711521</v>
      </c>
      <c r="AF575" s="244">
        <f t="shared" si="149"/>
        <v>87930.191642711521</v>
      </c>
      <c r="AG575" s="244">
        <f t="shared" si="149"/>
        <v>87930.191642711521</v>
      </c>
      <c r="AH575" s="244">
        <f t="shared" si="149"/>
        <v>87930.191642711521</v>
      </c>
      <c r="AI575" s="244">
        <f t="shared" si="149"/>
        <v>87930.191642711521</v>
      </c>
      <c r="AJ575" s="244">
        <f t="shared" si="149"/>
        <v>87930.191642711521</v>
      </c>
      <c r="AK575" s="244">
        <f t="shared" si="149"/>
        <v>87930.191642711521</v>
      </c>
      <c r="AL575" s="244">
        <f t="shared" si="149"/>
        <v>87930.191642711521</v>
      </c>
      <c r="AM575" s="244">
        <f t="shared" si="149"/>
        <v>87930.191642711521</v>
      </c>
      <c r="AN575" s="244">
        <f t="shared" si="149"/>
        <v>0</v>
      </c>
      <c r="AO575" s="244">
        <f t="shared" si="149"/>
        <v>0</v>
      </c>
      <c r="AP575" s="370"/>
    </row>
    <row r="576" spans="1:42" hidden="1" outlineLevel="1" x14ac:dyDescent="0.25">
      <c r="A576" s="78"/>
      <c r="B576" s="19"/>
      <c r="C576" s="95" t="s">
        <v>561</v>
      </c>
      <c r="D576" s="20"/>
      <c r="E576" s="21" t="s">
        <v>142</v>
      </c>
      <c r="F576" s="158"/>
      <c r="G576" s="20"/>
      <c r="H576" s="20"/>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44"/>
      <c r="AE576" s="244"/>
      <c r="AF576" s="244"/>
      <c r="AG576" s="244"/>
      <c r="AH576" s="244"/>
      <c r="AI576" s="244"/>
      <c r="AJ576" s="244"/>
      <c r="AK576" s="244"/>
      <c r="AL576" s="244"/>
      <c r="AM576" s="244"/>
      <c r="AN576" s="244"/>
      <c r="AO576" s="244"/>
      <c r="AP576" s="370"/>
    </row>
    <row r="577" spans="1:42" hidden="1" outlineLevel="1" x14ac:dyDescent="0.25">
      <c r="A577" s="12"/>
      <c r="B577" s="13"/>
      <c r="C577" s="19"/>
      <c r="D577" s="45"/>
      <c r="E577" s="15"/>
      <c r="F577" s="16"/>
      <c r="G577" s="14"/>
      <c r="H577" s="382">
        <f t="shared" ref="H577:AO577" si="150">(H574&gt;0)*1</f>
        <v>0</v>
      </c>
      <c r="I577" s="382">
        <f t="shared" si="150"/>
        <v>0</v>
      </c>
      <c r="J577" s="382">
        <f t="shared" si="150"/>
        <v>0</v>
      </c>
      <c r="K577" s="382">
        <f t="shared" si="150"/>
        <v>0</v>
      </c>
      <c r="L577" s="382">
        <f t="shared" si="150"/>
        <v>0</v>
      </c>
      <c r="M577" s="382">
        <f t="shared" si="150"/>
        <v>0</v>
      </c>
      <c r="N577" s="382">
        <f t="shared" si="150"/>
        <v>0</v>
      </c>
      <c r="O577" s="382">
        <f t="shared" si="150"/>
        <v>0</v>
      </c>
      <c r="P577" s="382">
        <f t="shared" si="150"/>
        <v>0</v>
      </c>
      <c r="Q577" s="382">
        <f t="shared" si="150"/>
        <v>0</v>
      </c>
      <c r="R577" s="382">
        <f t="shared" si="150"/>
        <v>0</v>
      </c>
      <c r="S577" s="382">
        <f t="shared" si="150"/>
        <v>0</v>
      </c>
      <c r="T577" s="382">
        <f t="shared" si="150"/>
        <v>1</v>
      </c>
      <c r="U577" s="382">
        <f t="shared" si="150"/>
        <v>0</v>
      </c>
      <c r="V577" s="382">
        <f t="shared" si="150"/>
        <v>0</v>
      </c>
      <c r="W577" s="382">
        <f t="shared" si="150"/>
        <v>0</v>
      </c>
      <c r="X577" s="382">
        <f t="shared" si="150"/>
        <v>0</v>
      </c>
      <c r="Y577" s="382">
        <f t="shared" si="150"/>
        <v>0</v>
      </c>
      <c r="Z577" s="382">
        <f t="shared" si="150"/>
        <v>0</v>
      </c>
      <c r="AA577" s="382">
        <f t="shared" si="150"/>
        <v>0</v>
      </c>
      <c r="AB577" s="382">
        <f t="shared" si="150"/>
        <v>0</v>
      </c>
      <c r="AC577" s="382">
        <f t="shared" si="150"/>
        <v>0</v>
      </c>
      <c r="AD577" s="382">
        <f t="shared" si="150"/>
        <v>0</v>
      </c>
      <c r="AE577" s="382">
        <f t="shared" si="150"/>
        <v>0</v>
      </c>
      <c r="AF577" s="382">
        <f t="shared" si="150"/>
        <v>0</v>
      </c>
      <c r="AG577" s="382">
        <f t="shared" si="150"/>
        <v>0</v>
      </c>
      <c r="AH577" s="382">
        <f t="shared" si="150"/>
        <v>0</v>
      </c>
      <c r="AI577" s="382">
        <f t="shared" si="150"/>
        <v>0</v>
      </c>
      <c r="AJ577" s="382">
        <f t="shared" si="150"/>
        <v>0</v>
      </c>
      <c r="AK577" s="382">
        <f t="shared" si="150"/>
        <v>0</v>
      </c>
      <c r="AL577" s="382">
        <f t="shared" si="150"/>
        <v>0</v>
      </c>
      <c r="AM577" s="382">
        <f t="shared" si="150"/>
        <v>0</v>
      </c>
      <c r="AN577" s="382">
        <f t="shared" si="150"/>
        <v>0</v>
      </c>
      <c r="AO577" s="382">
        <f t="shared" si="150"/>
        <v>0</v>
      </c>
      <c r="AP577" s="29"/>
    </row>
    <row r="578" spans="1:42" hidden="1" outlineLevel="1" x14ac:dyDescent="0.25">
      <c r="A578" s="12"/>
      <c r="B578" s="13"/>
      <c r="C578" s="14"/>
      <c r="D578" s="379" t="s">
        <v>564</v>
      </c>
      <c r="E578" s="380" t="s">
        <v>565</v>
      </c>
      <c r="F578" s="16"/>
      <c r="G578" s="14"/>
      <c r="H578" s="382">
        <f>SUM($H577:H577)*(H577&gt;0)</f>
        <v>0</v>
      </c>
      <c r="I578" s="382">
        <f>SUM($H577:I577)*(I577&gt;0)</f>
        <v>0</v>
      </c>
      <c r="J578" s="382">
        <f>SUM($H577:J577)*(J577&gt;0)</f>
        <v>0</v>
      </c>
      <c r="K578" s="382">
        <f>SUM($H577:K577)*(K577&gt;0)</f>
        <v>0</v>
      </c>
      <c r="L578" s="382">
        <f>SUM($H577:L577)*(L577&gt;0)</f>
        <v>0</v>
      </c>
      <c r="M578" s="382">
        <f>SUM($H577:M577)*(M577&gt;0)</f>
        <v>0</v>
      </c>
      <c r="N578" s="382">
        <f>SUM($H577:N577)*(N577&gt;0)</f>
        <v>0</v>
      </c>
      <c r="O578" s="382">
        <f>SUM($H577:O577)*(O577&gt;0)</f>
        <v>0</v>
      </c>
      <c r="P578" s="382">
        <f>SUM($H577:P577)*(P577&gt;0)</f>
        <v>0</v>
      </c>
      <c r="Q578" s="382">
        <f>SUM($H577:Q577)*(Q577&gt;0)</f>
        <v>0</v>
      </c>
      <c r="R578" s="382">
        <f>SUM($H577:R577)*(R577&gt;0)</f>
        <v>0</v>
      </c>
      <c r="S578" s="382">
        <f>SUM($H577:S577)*(S577&gt;0)</f>
        <v>0</v>
      </c>
      <c r="T578" s="382">
        <f>SUM($H577:T577)*(T577&gt;0)</f>
        <v>1</v>
      </c>
      <c r="U578" s="382">
        <f>SUM($H577:U577)*(U577&gt;0)</f>
        <v>0</v>
      </c>
      <c r="V578" s="382">
        <f>SUM($H577:V577)*(V577&gt;0)</f>
        <v>0</v>
      </c>
      <c r="W578" s="382">
        <f>SUM($H577:W577)*(W577&gt;0)</f>
        <v>0</v>
      </c>
      <c r="X578" s="382">
        <f>SUM($H577:X577)*(X577&gt;0)</f>
        <v>0</v>
      </c>
      <c r="Y578" s="382">
        <f>SUM($H577:Y577)*(Y577&gt;0)</f>
        <v>0</v>
      </c>
      <c r="Z578" s="382">
        <f>SUM($H577:Z577)*(Z577&gt;0)</f>
        <v>0</v>
      </c>
      <c r="AA578" s="382">
        <f>SUM($H577:AA577)*(AA577&gt;0)</f>
        <v>0</v>
      </c>
      <c r="AB578" s="382">
        <f>SUM($H577:AB577)*(AB577&gt;0)</f>
        <v>0</v>
      </c>
      <c r="AC578" s="382">
        <f>SUM($H577:AC577)*(AC577&gt;0)</f>
        <v>0</v>
      </c>
      <c r="AD578" s="382">
        <f>SUM($H577:AD577)*(AD577&gt;0)</f>
        <v>0</v>
      </c>
      <c r="AE578" s="382">
        <f>SUM($H577:AE577)*(AE577&gt;0)</f>
        <v>0</v>
      </c>
      <c r="AF578" s="382">
        <f>SUM($H577:AF577)*(AF577&gt;0)</f>
        <v>0</v>
      </c>
      <c r="AG578" s="382">
        <f>SUM($H577:AG577)*(AG577&gt;0)</f>
        <v>0</v>
      </c>
      <c r="AH578" s="382">
        <f>SUM($H577:AH577)*(AH577&gt;0)</f>
        <v>0</v>
      </c>
      <c r="AI578" s="382">
        <f>SUM($H577:AI577)*(AI577&gt;0)</f>
        <v>0</v>
      </c>
      <c r="AJ578" s="382">
        <f>SUM($H577:AJ577)*(AJ577&gt;0)</f>
        <v>0</v>
      </c>
      <c r="AK578" s="382">
        <f>SUM($H577:AK577)*(AK577&gt;0)</f>
        <v>0</v>
      </c>
      <c r="AL578" s="382">
        <f>SUM($H577:AL577)*(AL577&gt;0)</f>
        <v>0</v>
      </c>
      <c r="AM578" s="382">
        <f>SUM($H577:AM577)*(AM577&gt;0)</f>
        <v>0</v>
      </c>
      <c r="AN578" s="382">
        <f>SUM($H577:AN577)*(AN577&gt;0)</f>
        <v>0</v>
      </c>
      <c r="AO578" s="382">
        <f>SUM($H577:AO577)*(AO577&gt;0)</f>
        <v>0</v>
      </c>
      <c r="AP578" s="29"/>
    </row>
    <row r="579" spans="1:42" hidden="1" outlineLevel="1" x14ac:dyDescent="0.25">
      <c r="A579" s="12"/>
      <c r="B579" s="13"/>
      <c r="C579" s="95" t="s">
        <v>549</v>
      </c>
      <c r="D579" s="381">
        <f>IFERROR(INDEX($H$574:$AO$574,1,MATCH(1,$H$578:$AO$578,0)),0)</f>
        <v>1195000</v>
      </c>
      <c r="E579" s="380">
        <f>IFERROR(INDEX($H$3:$AO$3,1,MATCH(1,$H$578:$AO$578,0)),0)</f>
        <v>12</v>
      </c>
      <c r="F579" s="16"/>
      <c r="G579" s="14"/>
      <c r="H579" s="182">
        <f>-PMT(Data!$E$10,$D$315,$D579,0,0)*(H$3&gt;=$E579)*(H$3&lt;=$E579+$D$315-1)</f>
        <v>0</v>
      </c>
      <c r="I579" s="182">
        <f>-PMT(Data!$E$10,$D$315,$D579,0,0)*(I$3&gt;=$E579)*(I$3&lt;=$E579+$D$315-1)</f>
        <v>0</v>
      </c>
      <c r="J579" s="182">
        <f>-PMT(Data!$E$10,$D$315,$D579,0,0)*(J$3&gt;=$E579)*(J$3&lt;=$E579+$D$315-1)</f>
        <v>0</v>
      </c>
      <c r="K579" s="182">
        <f>-PMT(Data!$E$10,$D$315,$D579,0,0)*(K$3&gt;=$E579)*(K$3&lt;=$E579+$D$315-1)</f>
        <v>0</v>
      </c>
      <c r="L579" s="182">
        <f>-PMT(Data!$E$10,$D$315,$D579,0,0)*(L$3&gt;=$E579)*(L$3&lt;=$E579+$D$315-1)</f>
        <v>0</v>
      </c>
      <c r="M579" s="182">
        <f>-PMT(Data!$E$10,$D$315,$D579,0,0)*(M$3&gt;=$E579)*(M$3&lt;=$E579+$D$315-1)</f>
        <v>0</v>
      </c>
      <c r="N579" s="182">
        <f>-PMT(Data!$E$10,$D$315,$D579,0,0)*(N$3&gt;=$E579)*(N$3&lt;=$E579+$D$315-1)</f>
        <v>0</v>
      </c>
      <c r="O579" s="182">
        <f>-PMT(Data!$E$10,$D$315,$D579,0,0)*(O$3&gt;=$E579)*(O$3&lt;=$E579+$D$315-1)</f>
        <v>0</v>
      </c>
      <c r="P579" s="182">
        <f>-PMT(Data!$E$10,$D$315,$D579,0,0)*(P$3&gt;=$E579)*(P$3&lt;=$E579+$D$315-1)</f>
        <v>0</v>
      </c>
      <c r="Q579" s="182">
        <f>-PMT(Data!$E$10,$D$315,$D579,0,0)*(Q$3&gt;=$E579)*(Q$3&lt;=$E579+$D$315-1)</f>
        <v>0</v>
      </c>
      <c r="R579" s="182">
        <f>-PMT(Data!$E$10,$D$315,$D579,0,0)*(R$3&gt;=$E579)*(R$3&lt;=$E579+$D$315-1)</f>
        <v>0</v>
      </c>
      <c r="S579" s="182">
        <f>-PMT(Data!$E$10,$D$315,$D579,0,0)*(S$3&gt;=$E579)*(S$3&lt;=$E579+$D$315-1)</f>
        <v>0</v>
      </c>
      <c r="T579" s="182">
        <f>-PMT(Data!$E$10,$D$315,$D579,0,0)*(T$3&gt;=$E579)*(T$3&lt;=$E579+$D$315-1)</f>
        <v>87930.191642711521</v>
      </c>
      <c r="U579" s="182">
        <f>-PMT(Data!$E$10,$D$315,$D579,0,0)*(U$3&gt;=$E579)*(U$3&lt;=$E579+$D$315-1)</f>
        <v>87930.191642711521</v>
      </c>
      <c r="V579" s="182">
        <f>-PMT(Data!$E$10,$D$315,$D579,0,0)*(V$3&gt;=$E579)*(V$3&lt;=$E579+$D$315-1)</f>
        <v>87930.191642711521</v>
      </c>
      <c r="W579" s="182">
        <f>-PMT(Data!$E$10,$D$315,$D579,0,0)*(W$3&gt;=$E579)*(W$3&lt;=$E579+$D$315-1)</f>
        <v>87930.191642711521</v>
      </c>
      <c r="X579" s="182">
        <f>-PMT(Data!$E$10,$D$315,$D579,0,0)*(X$3&gt;=$E579)*(X$3&lt;=$E579+$D$315-1)</f>
        <v>87930.191642711521</v>
      </c>
      <c r="Y579" s="182">
        <f>-PMT(Data!$E$10,$D$315,$D579,0,0)*(Y$3&gt;=$E579)*(Y$3&lt;=$E579+$D$315-1)</f>
        <v>87930.191642711521</v>
      </c>
      <c r="Z579" s="182">
        <f>-PMT(Data!$E$10,$D$315,$D579,0,0)*(Z$3&gt;=$E579)*(Z$3&lt;=$E579+$D$315-1)</f>
        <v>87930.191642711521</v>
      </c>
      <c r="AA579" s="182">
        <f>-PMT(Data!$E$10,$D$315,$D579,0,0)*(AA$3&gt;=$E579)*(AA$3&lt;=$E579+$D$315-1)</f>
        <v>87930.191642711521</v>
      </c>
      <c r="AB579" s="182">
        <f>-PMT(Data!$E$10,$D$315,$D579,0,0)*(AB$3&gt;=$E579)*(AB$3&lt;=$E579+$D$315-1)</f>
        <v>87930.191642711521</v>
      </c>
      <c r="AC579" s="182">
        <f>-PMT(Data!$E$10,$D$315,$D579,0,0)*(AC$3&gt;=$E579)*(AC$3&lt;=$E579+$D$315-1)</f>
        <v>87930.191642711521</v>
      </c>
      <c r="AD579" s="182">
        <f>-PMT(Data!$E$10,$D$315,$D579,0,0)*(AD$3&gt;=$E579)*(AD$3&lt;=$E579+$D$315-1)</f>
        <v>87930.191642711521</v>
      </c>
      <c r="AE579" s="182">
        <f>-PMT(Data!$E$10,$D$315,$D579,0,0)*(AE$3&gt;=$E579)*(AE$3&lt;=$E579+$D$315-1)</f>
        <v>87930.191642711521</v>
      </c>
      <c r="AF579" s="182">
        <f>-PMT(Data!$E$10,$D$315,$D579,0,0)*(AF$3&gt;=$E579)*(AF$3&lt;=$E579+$D$315-1)</f>
        <v>87930.191642711521</v>
      </c>
      <c r="AG579" s="182">
        <f>-PMT(Data!$E$10,$D$315,$D579,0,0)*(AG$3&gt;=$E579)*(AG$3&lt;=$E579+$D$315-1)</f>
        <v>87930.191642711521</v>
      </c>
      <c r="AH579" s="182">
        <f>-PMT(Data!$E$10,$D$315,$D579,0,0)*(AH$3&gt;=$E579)*(AH$3&lt;=$E579+$D$315-1)</f>
        <v>87930.191642711521</v>
      </c>
      <c r="AI579" s="182">
        <f>-PMT(Data!$E$10,$D$315,$D579,0,0)*(AI$3&gt;=$E579)*(AI$3&lt;=$E579+$D$315-1)</f>
        <v>87930.191642711521</v>
      </c>
      <c r="AJ579" s="182">
        <f>-PMT(Data!$E$10,$D$315,$D579,0,0)*(AJ$3&gt;=$E579)*(AJ$3&lt;=$E579+$D$315-1)</f>
        <v>87930.191642711521</v>
      </c>
      <c r="AK579" s="182">
        <f>-PMT(Data!$E$10,$D$315,$D579,0,0)*(AK$3&gt;=$E579)*(AK$3&lt;=$E579+$D$315-1)</f>
        <v>87930.191642711521</v>
      </c>
      <c r="AL579" s="182">
        <f>-PMT(Data!$E$10,$D$315,$D579,0,0)*(AL$3&gt;=$E579)*(AL$3&lt;=$E579+$D$315-1)</f>
        <v>87930.191642711521</v>
      </c>
      <c r="AM579" s="182">
        <f>-PMT(Data!$E$10,$D$315,$D579,0,0)*(AM$3&gt;=$E579)*(AM$3&lt;=$E579+$D$315-1)</f>
        <v>87930.191642711521</v>
      </c>
      <c r="AN579" s="182">
        <f>-PMT(Data!$E$10,$D$315,$D579,0,0)*(AN$3&gt;=$E579)*(AN$3&lt;=$E579+$D$315-1)</f>
        <v>0</v>
      </c>
      <c r="AO579" s="182">
        <f>-PMT(Data!$E$10,$D$315,$D579,0,0)*(AO$3&gt;=$E579)*(AO$3&lt;=$E579+$D$315-1)</f>
        <v>0</v>
      </c>
      <c r="AP579" s="29"/>
    </row>
    <row r="580" spans="1:42" hidden="1" outlineLevel="1" x14ac:dyDescent="0.25">
      <c r="A580" s="12"/>
      <c r="B580" s="13"/>
      <c r="C580" s="19"/>
      <c r="D580" s="45"/>
      <c r="E580" s="15"/>
      <c r="F580" s="16"/>
      <c r="G580" s="14"/>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29"/>
    </row>
    <row r="581" spans="1:42" hidden="1" outlineLevel="1" x14ac:dyDescent="0.25">
      <c r="A581" s="12"/>
      <c r="B581" s="13"/>
      <c r="C581" s="95" t="s">
        <v>334</v>
      </c>
      <c r="D581" s="380">
        <f>Data!$E$386</f>
        <v>20</v>
      </c>
      <c r="E581" s="15"/>
      <c r="F581" s="16"/>
      <c r="G581" s="14"/>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29"/>
    </row>
    <row r="582" spans="1:42" hidden="1" outlineLevel="1" x14ac:dyDescent="0.25">
      <c r="A582" s="12"/>
      <c r="B582" s="13"/>
      <c r="C582" s="19" t="s">
        <v>510</v>
      </c>
      <c r="D582" s="45"/>
      <c r="E582" s="15"/>
      <c r="F582" s="158"/>
      <c r="G582" s="14"/>
      <c r="H582" s="182">
        <f>SUM(H579)</f>
        <v>0</v>
      </c>
      <c r="I582" s="182">
        <f t="shared" ref="I582:L582" si="151">SUM(I579)</f>
        <v>0</v>
      </c>
      <c r="J582" s="182">
        <f t="shared" si="151"/>
        <v>0</v>
      </c>
      <c r="K582" s="182">
        <f t="shared" si="151"/>
        <v>0</v>
      </c>
      <c r="L582" s="182">
        <f t="shared" si="151"/>
        <v>0</v>
      </c>
      <c r="M582" s="182">
        <f>SUM(M579)</f>
        <v>0</v>
      </c>
      <c r="N582" s="182">
        <f t="shared" ref="N582:AO582" si="152">SUM(N579)</f>
        <v>0</v>
      </c>
      <c r="O582" s="182">
        <f t="shared" si="152"/>
        <v>0</v>
      </c>
      <c r="P582" s="182">
        <f t="shared" si="152"/>
        <v>0</v>
      </c>
      <c r="Q582" s="182">
        <f t="shared" si="152"/>
        <v>0</v>
      </c>
      <c r="R582" s="182">
        <f t="shared" si="152"/>
        <v>0</v>
      </c>
      <c r="S582" s="182">
        <f t="shared" si="152"/>
        <v>0</v>
      </c>
      <c r="T582" s="182">
        <f t="shared" si="152"/>
        <v>87930.191642711521</v>
      </c>
      <c r="U582" s="182">
        <f t="shared" si="152"/>
        <v>87930.191642711521</v>
      </c>
      <c r="V582" s="182">
        <f t="shared" si="152"/>
        <v>87930.191642711521</v>
      </c>
      <c r="W582" s="182">
        <f t="shared" si="152"/>
        <v>87930.191642711521</v>
      </c>
      <c r="X582" s="182">
        <f t="shared" si="152"/>
        <v>87930.191642711521</v>
      </c>
      <c r="Y582" s="182">
        <f t="shared" si="152"/>
        <v>87930.191642711521</v>
      </c>
      <c r="Z582" s="182">
        <f t="shared" si="152"/>
        <v>87930.191642711521</v>
      </c>
      <c r="AA582" s="182">
        <f t="shared" si="152"/>
        <v>87930.191642711521</v>
      </c>
      <c r="AB582" s="182">
        <f t="shared" si="152"/>
        <v>87930.191642711521</v>
      </c>
      <c r="AC582" s="182">
        <f t="shared" si="152"/>
        <v>87930.191642711521</v>
      </c>
      <c r="AD582" s="182">
        <f t="shared" si="152"/>
        <v>87930.191642711521</v>
      </c>
      <c r="AE582" s="182">
        <f t="shared" si="152"/>
        <v>87930.191642711521</v>
      </c>
      <c r="AF582" s="182">
        <f t="shared" si="152"/>
        <v>87930.191642711521</v>
      </c>
      <c r="AG582" s="182">
        <f t="shared" si="152"/>
        <v>87930.191642711521</v>
      </c>
      <c r="AH582" s="182">
        <f t="shared" si="152"/>
        <v>87930.191642711521</v>
      </c>
      <c r="AI582" s="182">
        <f t="shared" si="152"/>
        <v>87930.191642711521</v>
      </c>
      <c r="AJ582" s="182">
        <f t="shared" si="152"/>
        <v>87930.191642711521</v>
      </c>
      <c r="AK582" s="182">
        <f t="shared" si="152"/>
        <v>87930.191642711521</v>
      </c>
      <c r="AL582" s="182">
        <f t="shared" si="152"/>
        <v>87930.191642711521</v>
      </c>
      <c r="AM582" s="182">
        <f t="shared" si="152"/>
        <v>87930.191642711521</v>
      </c>
      <c r="AN582" s="182">
        <f t="shared" si="152"/>
        <v>0</v>
      </c>
      <c r="AO582" s="182">
        <f t="shared" si="152"/>
        <v>0</v>
      </c>
      <c r="AP582" s="29"/>
    </row>
    <row r="583" spans="1:42" hidden="1" outlineLevel="1" x14ac:dyDescent="0.25">
      <c r="A583" s="12"/>
      <c r="B583" s="13"/>
      <c r="C583" s="19"/>
      <c r="D583" s="45"/>
      <c r="E583" s="15"/>
      <c r="F583" s="16"/>
      <c r="G583" s="14"/>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29"/>
    </row>
    <row r="584" spans="1:42" hidden="1" outlineLevel="1" x14ac:dyDescent="0.25">
      <c r="A584" s="12"/>
      <c r="B584" s="13"/>
      <c r="C584" s="37" t="s">
        <v>472</v>
      </c>
      <c r="D584" s="37"/>
      <c r="E584" s="38"/>
      <c r="F584" s="39"/>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17"/>
    </row>
    <row r="585" spans="1:42" hidden="1" outlineLevel="1" x14ac:dyDescent="0.25">
      <c r="A585" s="12"/>
      <c r="B585" s="13"/>
      <c r="C585" s="19" t="s">
        <v>599</v>
      </c>
      <c r="D585" s="19"/>
      <c r="E585" s="15"/>
      <c r="F585" s="16"/>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7"/>
    </row>
    <row r="586" spans="1:42" hidden="1" outlineLevel="1" x14ac:dyDescent="0.25">
      <c r="A586" s="12"/>
      <c r="B586" s="13"/>
      <c r="C586" s="20" t="s">
        <v>258</v>
      </c>
      <c r="D586" s="44"/>
      <c r="E586" s="15"/>
      <c r="F586" s="16"/>
      <c r="G586" s="14"/>
      <c r="H586" s="14"/>
      <c r="I586" s="159"/>
      <c r="J586" s="14"/>
      <c r="K586" s="14"/>
      <c r="L586" s="14"/>
      <c r="M586" s="14"/>
      <c r="O586" s="14"/>
      <c r="P586" s="14"/>
      <c r="Q586" s="14"/>
      <c r="R586" s="14"/>
      <c r="S586" s="14"/>
      <c r="T586" s="14"/>
      <c r="U586" s="14"/>
      <c r="V586" s="14"/>
      <c r="X586" s="14"/>
      <c r="Y586" s="14"/>
      <c r="Z586" s="14"/>
      <c r="AA586" s="14"/>
      <c r="AB586" s="14"/>
      <c r="AC586" s="14"/>
      <c r="AD586" s="14"/>
      <c r="AE586" s="14"/>
      <c r="AF586" s="14"/>
      <c r="AG586" s="14"/>
      <c r="AH586" s="14"/>
      <c r="AI586" s="14"/>
      <c r="AJ586" s="14"/>
      <c r="AK586" s="14"/>
      <c r="AL586" s="14"/>
      <c r="AM586" s="14"/>
      <c r="AN586" s="14"/>
      <c r="AO586" s="14"/>
      <c r="AP586" s="17"/>
    </row>
    <row r="587" spans="1:42" hidden="1" outlineLevel="1" x14ac:dyDescent="0.25">
      <c r="A587" s="12"/>
      <c r="B587" s="13"/>
      <c r="C587" s="96" t="s">
        <v>120</v>
      </c>
      <c r="D587" s="45"/>
      <c r="E587" s="15" t="s">
        <v>474</v>
      </c>
      <c r="F587" s="158" t="str">
        <f>Dashboard!$I$63</f>
        <v>3 Axle Double Decker Bus</v>
      </c>
      <c r="G587" s="14"/>
      <c r="H587" s="150"/>
      <c r="I587" s="177">
        <f>IF($F$587=$C$587,Data!$E$377*I$558,0)</f>
        <v>0</v>
      </c>
      <c r="J587" s="177">
        <f>IF($F$587=$C$587,Data!$E$377*J$558,0)</f>
        <v>0</v>
      </c>
      <c r="K587" s="177">
        <f>IF($F$587=$C$587,Data!$E$377*K$558,0)</f>
        <v>0</v>
      </c>
      <c r="L587" s="177">
        <f>IF($F$587=$C$587,Data!$E$377*L$558,0)</f>
        <v>0</v>
      </c>
      <c r="M587" s="177">
        <f>IF($F$587=$C$587,Data!$E$377*M$558,0)</f>
        <v>0</v>
      </c>
      <c r="N587" s="177">
        <f>IF($F$587=$C$587,Data!$E$377*N$558,0)</f>
        <v>0</v>
      </c>
      <c r="O587" s="177">
        <f>IF($F$587=$C$587,Data!$E$377*O$558,0)</f>
        <v>0</v>
      </c>
      <c r="P587" s="177">
        <f>IF($F$587=$C$587,Data!$E$377*P$558,0)</f>
        <v>0</v>
      </c>
      <c r="Q587" s="177">
        <f>IF($F$587=$C$587,Data!$E$377*Q$558,0)</f>
        <v>0</v>
      </c>
      <c r="R587" s="177">
        <f>IF($F$587=$C$587,Data!$E$377*R$558,0)</f>
        <v>0</v>
      </c>
      <c r="S587" s="177">
        <f>IF($F$587=$C$587,Data!$E$377*S$558,0)</f>
        <v>0</v>
      </c>
      <c r="T587" s="177">
        <f>IF($F$587=$C$587,Data!$E$377*T$558,0)</f>
        <v>0</v>
      </c>
      <c r="U587" s="177">
        <f>IF($F$587=$C$587,Data!$E$377*U$558,0)</f>
        <v>0</v>
      </c>
      <c r="V587" s="177">
        <f>IF($F$587=$C$587,Data!$E$377*V$558,0)</f>
        <v>0</v>
      </c>
      <c r="W587" s="177">
        <f>IF($F$587=$C$587,Data!$E$377*W$558,0)</f>
        <v>0</v>
      </c>
      <c r="X587" s="177">
        <f>IF($F$587=$C$587,Data!$E$377*X$558,0)</f>
        <v>0</v>
      </c>
      <c r="Y587" s="177">
        <f>IF($F$587=$C$587,Data!$E$377*Y$558,0)</f>
        <v>0</v>
      </c>
      <c r="Z587" s="177">
        <f>IF($F$587=$C$587,Data!$E$377*Z$558,0)</f>
        <v>0</v>
      </c>
      <c r="AA587" s="177">
        <f>IF($F$587=$C$587,Data!$E$377*AA$558,0)</f>
        <v>0</v>
      </c>
      <c r="AB587" s="177">
        <f>IF($F$587=$C$587,Data!$E$377*AB$558,0)</f>
        <v>0</v>
      </c>
      <c r="AC587" s="177">
        <f>IF($F$587=$C$587,Data!$E$377*AC$558,0)</f>
        <v>0</v>
      </c>
      <c r="AD587" s="177">
        <f>IF($F$587=$C$587,Data!$E$377*AD$558,0)</f>
        <v>0</v>
      </c>
      <c r="AE587" s="177">
        <f>IF($F$587=$C$587,Data!$E$377*AE$558,0)</f>
        <v>0</v>
      </c>
      <c r="AF587" s="177">
        <f>IF($F$587=$C$587,Data!$E$377*AF$558,0)</f>
        <v>0</v>
      </c>
      <c r="AG587" s="177">
        <f>IF($F$587=$C$587,Data!$E$377*AG$558,0)</f>
        <v>0</v>
      </c>
      <c r="AH587" s="177">
        <f>IF($F$587=$C$587,Data!$E$377*AH$558,0)</f>
        <v>0</v>
      </c>
      <c r="AI587" s="177">
        <f>IF($F$587=$C$587,Data!$E$377*AI$558,0)</f>
        <v>0</v>
      </c>
      <c r="AJ587" s="177">
        <f>IF($F$587=$C$587,Data!$E$377*AJ$558,0)</f>
        <v>0</v>
      </c>
      <c r="AK587" s="177">
        <f>IF($F$587=$C$587,Data!$E$377*AK$558,0)</f>
        <v>0</v>
      </c>
      <c r="AL587" s="177">
        <f>IF($F$587=$C$587,Data!$E$377*AL$558,0)</f>
        <v>0</v>
      </c>
      <c r="AM587" s="177">
        <f>IF($F$587=$C$587,Data!$E$377*AM$558,0)</f>
        <v>0</v>
      </c>
      <c r="AN587" s="177">
        <f>IF($F$587=$C$587,Data!$E$377*AN$558,0)</f>
        <v>0</v>
      </c>
      <c r="AO587" s="177">
        <f>IF($F$587=$C$587,Data!$E$377*AO$558,0)</f>
        <v>0</v>
      </c>
      <c r="AP587" s="29"/>
    </row>
    <row r="588" spans="1:42" hidden="1" outlineLevel="1" x14ac:dyDescent="0.25">
      <c r="A588" s="12"/>
      <c r="B588" s="13"/>
      <c r="C588" s="96" t="s">
        <v>124</v>
      </c>
      <c r="D588" s="45"/>
      <c r="E588" s="15" t="s">
        <v>474</v>
      </c>
      <c r="F588" s="158" t="str">
        <f>Dashboard!$I$63</f>
        <v>3 Axle Double Decker Bus</v>
      </c>
      <c r="G588" s="14"/>
      <c r="H588" s="150"/>
      <c r="I588" s="177">
        <f>IF($F$588=$C$588,Data!$E$378*I$558,0)</f>
        <v>0</v>
      </c>
      <c r="J588" s="177">
        <f>IF($F$588=$C$588,Data!$E$378*J$558,0)</f>
        <v>0</v>
      </c>
      <c r="K588" s="177">
        <f>IF($F$588=$C$588,Data!$E$378*K$558,0)</f>
        <v>0</v>
      </c>
      <c r="L588" s="177">
        <f>IF($F$588=$C$588,Data!$E$378*L$558,0)</f>
        <v>0</v>
      </c>
      <c r="M588" s="177">
        <f>IF($F$588=$C$588,Data!$E$378*M$558,0)</f>
        <v>0</v>
      </c>
      <c r="N588" s="177">
        <f>IF($F$588=$C$588,Data!$E$378*N$558,0)</f>
        <v>0</v>
      </c>
      <c r="O588" s="177">
        <f>IF($F$588=$C$588,Data!$E$378*O$558,0)</f>
        <v>0</v>
      </c>
      <c r="P588" s="177">
        <f>IF($F$588=$C$588,Data!$E$378*P$558,0)</f>
        <v>0</v>
      </c>
      <c r="Q588" s="177">
        <f>IF($F$588=$C$588,Data!$E$378*Q$558,0)</f>
        <v>0</v>
      </c>
      <c r="R588" s="177">
        <f>IF($F$588=$C$588,Data!$E$378*R$558,0)</f>
        <v>0</v>
      </c>
      <c r="S588" s="177">
        <f>IF($F$588=$C$588,Data!$E$378*S$558,0)</f>
        <v>0</v>
      </c>
      <c r="T588" s="177">
        <f>IF($F$588=$C$588,Data!$E$378*T$558,0)</f>
        <v>0</v>
      </c>
      <c r="U588" s="177">
        <f>IF($F$588=$C$588,Data!$E$378*U$558,0)</f>
        <v>0</v>
      </c>
      <c r="V588" s="177">
        <f>IF($F$588=$C$588,Data!$E$378*V$558,0)</f>
        <v>0</v>
      </c>
      <c r="W588" s="177">
        <f>IF($F$588=$C$588,Data!$E$378*W$558,0)</f>
        <v>0</v>
      </c>
      <c r="X588" s="177">
        <f>IF($F$588=$C$588,Data!$E$378*X$558,0)</f>
        <v>0</v>
      </c>
      <c r="Y588" s="177">
        <f>IF($F$588=$C$588,Data!$E$378*Y$558,0)</f>
        <v>0</v>
      </c>
      <c r="Z588" s="177">
        <f>IF($F$588=$C$588,Data!$E$378*Z$558,0)</f>
        <v>0</v>
      </c>
      <c r="AA588" s="177">
        <f>IF($F$588=$C$588,Data!$E$378*AA$558,0)</f>
        <v>0</v>
      </c>
      <c r="AB588" s="177">
        <f>IF($F$588=$C$588,Data!$E$378*AB$558,0)</f>
        <v>0</v>
      </c>
      <c r="AC588" s="177">
        <f>IF($F$588=$C$588,Data!$E$378*AC$558,0)</f>
        <v>0</v>
      </c>
      <c r="AD588" s="177">
        <f>IF($F$588=$C$588,Data!$E$378*AD$558,0)</f>
        <v>0</v>
      </c>
      <c r="AE588" s="177">
        <f>IF($F$588=$C$588,Data!$E$378*AE$558,0)</f>
        <v>0</v>
      </c>
      <c r="AF588" s="177">
        <f>IF($F$588=$C$588,Data!$E$378*AF$558,0)</f>
        <v>0</v>
      </c>
      <c r="AG588" s="177">
        <f>IF($F$588=$C$588,Data!$E$378*AG$558,0)</f>
        <v>0</v>
      </c>
      <c r="AH588" s="177">
        <f>IF($F$588=$C$588,Data!$E$378*AH$558,0)</f>
        <v>0</v>
      </c>
      <c r="AI588" s="177">
        <f>IF($F$588=$C$588,Data!$E$378*AI$558,0)</f>
        <v>0</v>
      </c>
      <c r="AJ588" s="177">
        <f>IF($F$588=$C$588,Data!$E$378*AJ$558,0)</f>
        <v>0</v>
      </c>
      <c r="AK588" s="177">
        <f>IF($F$588=$C$588,Data!$E$378*AK$558,0)</f>
        <v>0</v>
      </c>
      <c r="AL588" s="177">
        <f>IF($F$588=$C$588,Data!$E$378*AL$558,0)</f>
        <v>0</v>
      </c>
      <c r="AM588" s="177">
        <f>IF($F$588=$C$588,Data!$E$378*AM$558,0)</f>
        <v>0</v>
      </c>
      <c r="AN588" s="177">
        <f>IF($F$588=$C$588,Data!$E$378*AN$558,0)</f>
        <v>0</v>
      </c>
      <c r="AO588" s="177">
        <f>IF($F$588=$C$588,Data!$E$378*AO$558,0)</f>
        <v>0</v>
      </c>
      <c r="AP588" s="29"/>
    </row>
    <row r="589" spans="1:42" hidden="1" outlineLevel="1" x14ac:dyDescent="0.25">
      <c r="A589" s="12"/>
      <c r="B589" s="13"/>
      <c r="C589" s="96" t="s">
        <v>126</v>
      </c>
      <c r="D589" s="45"/>
      <c r="E589" s="15" t="s">
        <v>474</v>
      </c>
      <c r="F589" s="158" t="str">
        <f>Dashboard!$I$63</f>
        <v>3 Axle Double Decker Bus</v>
      </c>
      <c r="G589" s="14"/>
      <c r="H589" s="150"/>
      <c r="I589" s="177">
        <f>IF($F$589=$C$589,Data!$E$379*I$558,0)</f>
        <v>0</v>
      </c>
      <c r="J589" s="177">
        <f>IF($F$589=$C$589,Data!$E$379*J$558,0)</f>
        <v>0</v>
      </c>
      <c r="K589" s="177">
        <f>IF($F$589=$C$589,Data!$E$379*K$558,0)</f>
        <v>0</v>
      </c>
      <c r="L589" s="177">
        <f>IF($F$589=$C$589,Data!$E$379*L$558,0)</f>
        <v>0</v>
      </c>
      <c r="M589" s="177">
        <f>IF($F$589=$C$589,Data!$E$379*M$558,0)</f>
        <v>0</v>
      </c>
      <c r="N589" s="177">
        <f>IF($F$589=$C$589,Data!$E$379*N$558,0)</f>
        <v>0</v>
      </c>
      <c r="O589" s="177">
        <f>IF($F$589=$C$589,Data!$E$379*O$558,0)</f>
        <v>0</v>
      </c>
      <c r="P589" s="177">
        <f>IF($F$589=$C$589,Data!$E$379*P$558,0)</f>
        <v>0</v>
      </c>
      <c r="Q589" s="177">
        <f>IF($F$589=$C$589,Data!$E$379*Q$558,0)</f>
        <v>0</v>
      </c>
      <c r="R589" s="177">
        <f>IF($F$589=$C$589,Data!$E$379*R$558,0)</f>
        <v>0</v>
      </c>
      <c r="S589" s="177">
        <f>IF($F$589=$C$589,Data!$E$379*S$558,0)</f>
        <v>0</v>
      </c>
      <c r="T589" s="177">
        <f>IF($F$589=$C$589,Data!$E$379*T$558,0)</f>
        <v>0</v>
      </c>
      <c r="U589" s="177">
        <f>IF($F$589=$C$589,Data!$E$379*U$558,0)</f>
        <v>77973.734260975602</v>
      </c>
      <c r="V589" s="177">
        <f>IF($F$589=$C$589,Data!$E$379*V$558,0)</f>
        <v>77973.734260975602</v>
      </c>
      <c r="W589" s="177">
        <f>IF($F$589=$C$589,Data!$E$379*W$558,0)</f>
        <v>77973.734260975602</v>
      </c>
      <c r="X589" s="177">
        <f>IF($F$589=$C$589,Data!$E$379*X$558,0)</f>
        <v>77973.734260975602</v>
      </c>
      <c r="Y589" s="177">
        <f>IF($F$589=$C$589,Data!$E$379*Y$558,0)</f>
        <v>77973.734260975602</v>
      </c>
      <c r="Z589" s="177">
        <f>IF($F$589=$C$589,Data!$E$379*Z$558,0)</f>
        <v>77973.734260975602</v>
      </c>
      <c r="AA589" s="177">
        <f>IF($F$589=$C$589,Data!$E$379*AA$558,0)</f>
        <v>77973.734260975602</v>
      </c>
      <c r="AB589" s="177">
        <f>IF($F$589=$C$589,Data!$E$379*AB$558,0)</f>
        <v>77973.734260975602</v>
      </c>
      <c r="AC589" s="177">
        <f>IF($F$589=$C$589,Data!$E$379*AC$558,0)</f>
        <v>77973.734260975602</v>
      </c>
      <c r="AD589" s="177">
        <f>IF($F$589=$C$589,Data!$E$379*AD$558,0)</f>
        <v>77973.734260975602</v>
      </c>
      <c r="AE589" s="177">
        <f>IF($F$589=$C$589,Data!$E$379*AE$558,0)</f>
        <v>77973.734260975602</v>
      </c>
      <c r="AF589" s="177">
        <f>IF($F$589=$C$589,Data!$E$379*AF$558,0)</f>
        <v>77973.734260975602</v>
      </c>
      <c r="AG589" s="177">
        <f>IF($F$589=$C$589,Data!$E$379*AG$558,0)</f>
        <v>77973.734260975602</v>
      </c>
      <c r="AH589" s="177">
        <f>IF($F$589=$C$589,Data!$E$379*AH$558,0)</f>
        <v>77973.734260975602</v>
      </c>
      <c r="AI589" s="177">
        <f>IF($F$589=$C$589,Data!$E$379*AI$558,0)</f>
        <v>77973.734260975602</v>
      </c>
      <c r="AJ589" s="177">
        <f>IF($F$589=$C$589,Data!$E$379*AJ$558,0)</f>
        <v>77973.734260975602</v>
      </c>
      <c r="AK589" s="177">
        <f>IF($F$589=$C$589,Data!$E$379*AK$558,0)</f>
        <v>77973.734260975602</v>
      </c>
      <c r="AL589" s="177">
        <f>IF($F$589=$C$589,Data!$E$379*AL$558,0)</f>
        <v>77973.734260975602</v>
      </c>
      <c r="AM589" s="177">
        <f>IF($F$589=$C$589,Data!$E$379*AM$558,0)</f>
        <v>77973.734260975602</v>
      </c>
      <c r="AN589" s="177">
        <f>IF($F$589=$C$589,Data!$E$379*AN$558,0)</f>
        <v>77973.734260975602</v>
      </c>
      <c r="AO589" s="177">
        <f>IF($F$589=$C$589,Data!$E$379*AO$558,0)</f>
        <v>0</v>
      </c>
      <c r="AP589" s="29"/>
    </row>
    <row r="590" spans="1:42" hidden="1" outlineLevel="1" x14ac:dyDescent="0.25">
      <c r="A590" s="12"/>
      <c r="B590" s="13"/>
      <c r="C590" s="95"/>
      <c r="D590" s="45"/>
      <c r="E590" s="15"/>
      <c r="F590" s="16"/>
      <c r="G590" s="14"/>
      <c r="H590" s="28"/>
      <c r="I590" s="177"/>
      <c r="J590" s="177"/>
      <c r="K590" s="177"/>
      <c r="L590" s="177"/>
      <c r="M590" s="177"/>
      <c r="N590" s="177"/>
      <c r="O590" s="177"/>
      <c r="P590" s="177"/>
      <c r="Q590" s="177"/>
      <c r="R590" s="177"/>
      <c r="S590" s="177"/>
      <c r="T590" s="177"/>
      <c r="U590" s="177"/>
      <c r="V590" s="177"/>
      <c r="W590" s="177"/>
      <c r="X590" s="177"/>
      <c r="Y590" s="177"/>
      <c r="Z590" s="177"/>
      <c r="AA590" s="177"/>
      <c r="AB590" s="177"/>
      <c r="AC590" s="177"/>
      <c r="AD590" s="28"/>
      <c r="AE590" s="28"/>
      <c r="AF590" s="28"/>
      <c r="AG590" s="28"/>
      <c r="AH590" s="28"/>
      <c r="AI590" s="28"/>
      <c r="AJ590" s="28"/>
      <c r="AK590" s="28"/>
      <c r="AL590" s="28"/>
      <c r="AM590" s="28"/>
      <c r="AN590" s="28"/>
      <c r="AO590" s="28"/>
      <c r="AP590" s="29"/>
    </row>
    <row r="591" spans="1:42" hidden="1" outlineLevel="1" x14ac:dyDescent="0.25">
      <c r="A591" s="12"/>
      <c r="B591" s="13"/>
      <c r="C591" s="44" t="s">
        <v>260</v>
      </c>
      <c r="D591" s="14"/>
      <c r="E591" s="15" t="s">
        <v>318</v>
      </c>
      <c r="F591" s="16"/>
      <c r="G591" s="14"/>
      <c r="H591" s="151"/>
      <c r="I591" s="151">
        <f>Data!$E$382*I$558</f>
        <v>0</v>
      </c>
      <c r="J591" s="151">
        <f>Data!$E$382*J$558</f>
        <v>0</v>
      </c>
      <c r="K591" s="151">
        <f>Data!$E$382*K$558</f>
        <v>0</v>
      </c>
      <c r="L591" s="151">
        <f>Data!$E$382*L$558</f>
        <v>0</v>
      </c>
      <c r="M591" s="151">
        <f>Data!$E$382*M$558</f>
        <v>0</v>
      </c>
      <c r="N591" s="151">
        <f>Data!$E$382*N$558</f>
        <v>0</v>
      </c>
      <c r="O591" s="151">
        <f>Data!$E$382*O$558</f>
        <v>0</v>
      </c>
      <c r="P591" s="151">
        <f>Data!$E$382*P$558</f>
        <v>0</v>
      </c>
      <c r="Q591" s="151">
        <f>Data!$E$382*Q$558</f>
        <v>0</v>
      </c>
      <c r="R591" s="151">
        <f>Data!$E$382*R$558</f>
        <v>0</v>
      </c>
      <c r="S591" s="151">
        <f>Data!$E$382*S$558</f>
        <v>0</v>
      </c>
      <c r="T591" s="151">
        <f>Data!$E$382*T$558</f>
        <v>0</v>
      </c>
      <c r="U591" s="151">
        <f>Data!$E$382*U$558</f>
        <v>33733.440000000002</v>
      </c>
      <c r="V591" s="151">
        <f>Data!$E$382*V$558</f>
        <v>33733.440000000002</v>
      </c>
      <c r="W591" s="151">
        <f>Data!$E$382*W$558</f>
        <v>33733.440000000002</v>
      </c>
      <c r="X591" s="151">
        <f>Data!$E$382*X$558</f>
        <v>33733.440000000002</v>
      </c>
      <c r="Y591" s="151">
        <f>Data!$E$382*Y$558</f>
        <v>33733.440000000002</v>
      </c>
      <c r="Z591" s="151">
        <f>Data!$E$382*Z$558</f>
        <v>33733.440000000002</v>
      </c>
      <c r="AA591" s="151">
        <f>Data!$E$382*AA$558</f>
        <v>33733.440000000002</v>
      </c>
      <c r="AB591" s="151">
        <f>Data!$E$382*AB$558</f>
        <v>33733.440000000002</v>
      </c>
      <c r="AC591" s="151">
        <f>Data!$E$382*AC$558</f>
        <v>33733.440000000002</v>
      </c>
      <c r="AD591" s="151">
        <f>Data!$E$382*AD$558</f>
        <v>33733.440000000002</v>
      </c>
      <c r="AE591" s="151">
        <f>Data!$E$382*AE$558</f>
        <v>33733.440000000002</v>
      </c>
      <c r="AF591" s="151">
        <f>Data!$E$382*AF$558</f>
        <v>33733.440000000002</v>
      </c>
      <c r="AG591" s="151">
        <f>Data!$E$382*AG$558</f>
        <v>33733.440000000002</v>
      </c>
      <c r="AH591" s="151">
        <f>Data!$E$382*AH$558</f>
        <v>33733.440000000002</v>
      </c>
      <c r="AI591" s="151">
        <f>Data!$E$382*AI$558</f>
        <v>33733.440000000002</v>
      </c>
      <c r="AJ591" s="151">
        <f>Data!$E$382*AJ$558</f>
        <v>33733.440000000002</v>
      </c>
      <c r="AK591" s="151">
        <f>Data!$E$382*AK$558</f>
        <v>33733.440000000002</v>
      </c>
      <c r="AL591" s="151">
        <f>Data!$E$382*AL$558</f>
        <v>33733.440000000002</v>
      </c>
      <c r="AM591" s="151">
        <f>Data!$E$382*AM$558</f>
        <v>33733.440000000002</v>
      </c>
      <c r="AN591" s="151">
        <f>Data!$E$382*AN$558</f>
        <v>33733.440000000002</v>
      </c>
      <c r="AO591" s="151">
        <f>Data!$E$382*AO$558</f>
        <v>0</v>
      </c>
      <c r="AP591" s="17"/>
    </row>
    <row r="592" spans="1:42" hidden="1" outlineLevel="1" x14ac:dyDescent="0.25">
      <c r="A592" s="12"/>
      <c r="B592" s="13"/>
      <c r="C592" s="95" t="s">
        <v>570</v>
      </c>
      <c r="D592" s="45"/>
      <c r="E592" s="15"/>
      <c r="F592" s="16"/>
      <c r="G592" s="14"/>
      <c r="H592" s="28"/>
      <c r="I592" s="56"/>
      <c r="J592" s="56"/>
      <c r="K592" s="56"/>
      <c r="L592" s="56"/>
      <c r="M592" s="56"/>
      <c r="N592" s="56"/>
      <c r="O592" s="56"/>
      <c r="P592" s="56"/>
      <c r="Q592" s="56"/>
      <c r="R592" s="56"/>
      <c r="S592" s="56"/>
      <c r="T592" s="56"/>
      <c r="U592" s="56"/>
      <c r="V592" s="56"/>
      <c r="W592" s="56"/>
      <c r="X592" s="56"/>
      <c r="Y592" s="56"/>
      <c r="Z592" s="56"/>
      <c r="AA592" s="56"/>
      <c r="AB592" s="56"/>
      <c r="AC592" s="28"/>
      <c r="AD592" s="28"/>
      <c r="AE592" s="28"/>
      <c r="AF592" s="28"/>
      <c r="AG592" s="28"/>
      <c r="AH592" s="28"/>
      <c r="AI592" s="28"/>
      <c r="AJ592" s="28"/>
      <c r="AK592" s="28"/>
      <c r="AL592" s="28"/>
      <c r="AM592" s="28"/>
      <c r="AN592" s="28"/>
      <c r="AO592" s="28"/>
      <c r="AP592" s="29"/>
    </row>
    <row r="593" spans="1:42" hidden="1" outlineLevel="1" x14ac:dyDescent="0.25">
      <c r="A593" s="12"/>
      <c r="B593" s="13"/>
      <c r="C593" s="96" t="s">
        <v>127</v>
      </c>
      <c r="D593" s="45"/>
      <c r="E593" s="15" t="s">
        <v>475</v>
      </c>
      <c r="F593" s="158" t="str">
        <f>Dashboard!$I$62</f>
        <v>Hilly (Gradient  6%)</v>
      </c>
      <c r="G593" s="14"/>
      <c r="H593" s="28"/>
      <c r="I593" s="178" cm="1">
        <f t="array" ref="I593">INDEX('Control panel'!$F$17:$F$19,MATCH($F593,'Control panel'!$C$17:$C$19,0),0)</f>
        <v>0.15</v>
      </c>
      <c r="J593" s="178" cm="1">
        <f t="array" ref="J593">INDEX('Control panel'!$F$17:$F$19,MATCH($F593,'Control panel'!$C$17:$C$19,0),0)</f>
        <v>0.15</v>
      </c>
      <c r="K593" s="178" cm="1">
        <f t="array" ref="K593">INDEX('Control panel'!$F$17:$F$19,MATCH($F593,'Control panel'!$C$17:$C$19,0),0)</f>
        <v>0.15</v>
      </c>
      <c r="L593" s="178" cm="1">
        <f t="array" ref="L593">INDEX('Control panel'!$F$17:$F$19,MATCH($F593,'Control panel'!$C$17:$C$19,0),0)</f>
        <v>0.15</v>
      </c>
      <c r="M593" s="178" cm="1">
        <f t="array" ref="M593">INDEX('Control panel'!$F$17:$F$19,MATCH($F593,'Control panel'!$C$17:$C$19,0),0)</f>
        <v>0.15</v>
      </c>
      <c r="N593" s="178" cm="1">
        <f t="array" ref="N593">INDEX('Control panel'!$F$17:$F$19,MATCH($F593,'Control panel'!$C$17:$C$19,0),0)</f>
        <v>0.15</v>
      </c>
      <c r="O593" s="178" cm="1">
        <f t="array" ref="O593">INDEX('Control panel'!$F$17:$F$19,MATCH($F593,'Control panel'!$C$17:$C$19,0),0)</f>
        <v>0.15</v>
      </c>
      <c r="P593" s="178" cm="1">
        <f t="array" ref="P593">INDEX('Control panel'!$F$17:$F$19,MATCH($F593,'Control panel'!$C$17:$C$19,0),0)</f>
        <v>0.15</v>
      </c>
      <c r="Q593" s="178" cm="1">
        <f t="array" ref="Q593">INDEX('Control panel'!$F$17:$F$19,MATCH($F593,'Control panel'!$C$17:$C$19,0),0)</f>
        <v>0.15</v>
      </c>
      <c r="R593" s="178" cm="1">
        <f t="array" ref="R593">INDEX('Control panel'!$F$17:$F$19,MATCH($F593,'Control panel'!$C$17:$C$19,0),0)</f>
        <v>0.15</v>
      </c>
      <c r="S593" s="178" cm="1">
        <f t="array" ref="S593">INDEX('Control panel'!$F$17:$F$19,MATCH($F593,'Control panel'!$C$17:$C$19,0),0)</f>
        <v>0.15</v>
      </c>
      <c r="T593" s="178" cm="1">
        <f t="array" ref="T593">INDEX('Control panel'!$F$17:$F$19,MATCH($F593,'Control panel'!$C$17:$C$19,0),0)</f>
        <v>0.15</v>
      </c>
      <c r="U593" s="178" cm="1">
        <f t="array" ref="U593">INDEX('Control panel'!$F$17:$F$19,MATCH($F593,'Control panel'!$C$17:$C$19,0),0)</f>
        <v>0.15</v>
      </c>
      <c r="V593" s="178" cm="1">
        <f t="array" ref="V593">INDEX('Control panel'!$F$17:$F$19,MATCH($F593,'Control panel'!$C$17:$C$19,0),0)</f>
        <v>0.15</v>
      </c>
      <c r="W593" s="178" cm="1">
        <f t="array" ref="W593">INDEX('Control panel'!$F$17:$F$19,MATCH($F593,'Control panel'!$C$17:$C$19,0),0)</f>
        <v>0.15</v>
      </c>
      <c r="X593" s="178" cm="1">
        <f t="array" ref="X593">INDEX('Control panel'!$F$17:$F$19,MATCH($F593,'Control panel'!$C$17:$C$19,0),0)</f>
        <v>0.15</v>
      </c>
      <c r="Y593" s="178" cm="1">
        <f t="array" ref="Y593">INDEX('Control panel'!$F$17:$F$19,MATCH($F593,'Control panel'!$C$17:$C$19,0),0)</f>
        <v>0.15</v>
      </c>
      <c r="Z593" s="178" cm="1">
        <f t="array" ref="Z593">INDEX('Control panel'!$F$17:$F$19,MATCH($F593,'Control panel'!$C$17:$C$19,0),0)</f>
        <v>0.15</v>
      </c>
      <c r="AA593" s="178" cm="1">
        <f t="array" ref="AA593">INDEX('Control panel'!$F$17:$F$19,MATCH($F593,'Control panel'!$C$17:$C$19,0),0)</f>
        <v>0.15</v>
      </c>
      <c r="AB593" s="178" cm="1">
        <f t="array" ref="AB593">INDEX('Control panel'!$F$17:$F$19,MATCH($F593,'Control panel'!$C$17:$C$19,0),0)</f>
        <v>0.15</v>
      </c>
      <c r="AC593" s="178" cm="1">
        <f t="array" ref="AC593">INDEX('Control panel'!$F$17:$F$19,MATCH($F593,'Control panel'!$C$17:$C$19,0),0)</f>
        <v>0.15</v>
      </c>
      <c r="AD593" s="178" cm="1">
        <f t="array" ref="AD593">INDEX('Control panel'!$F$17:$F$19,MATCH($F593,'Control panel'!$C$17:$C$19,0),0)</f>
        <v>0.15</v>
      </c>
      <c r="AE593" s="178" cm="1">
        <f t="array" ref="AE593">INDEX('Control panel'!$F$17:$F$19,MATCH($F593,'Control panel'!$C$17:$C$19,0),0)</f>
        <v>0.15</v>
      </c>
      <c r="AF593" s="178" cm="1">
        <f t="array" ref="AF593">INDEX('Control panel'!$F$17:$F$19,MATCH($F593,'Control panel'!$C$17:$C$19,0),0)</f>
        <v>0.15</v>
      </c>
      <c r="AG593" s="178" cm="1">
        <f t="array" ref="AG593">INDEX('Control panel'!$F$17:$F$19,MATCH($F593,'Control panel'!$C$17:$C$19,0),0)</f>
        <v>0.15</v>
      </c>
      <c r="AH593" s="178" cm="1">
        <f t="array" ref="AH593">INDEX('Control panel'!$F$17:$F$19,MATCH($F593,'Control panel'!$C$17:$C$19,0),0)</f>
        <v>0.15</v>
      </c>
      <c r="AI593" s="178" cm="1">
        <f t="array" ref="AI593">INDEX('Control panel'!$F$17:$F$19,MATCH($F593,'Control panel'!$C$17:$C$19,0),0)</f>
        <v>0.15</v>
      </c>
      <c r="AJ593" s="178" cm="1">
        <f t="array" ref="AJ593">INDEX('Control panel'!$F$17:$F$19,MATCH($F593,'Control panel'!$C$17:$C$19,0),0)</f>
        <v>0.15</v>
      </c>
      <c r="AK593" s="178" cm="1">
        <f t="array" ref="AK593">INDEX('Control panel'!$F$17:$F$19,MATCH($F593,'Control panel'!$C$17:$C$19,0),0)</f>
        <v>0.15</v>
      </c>
      <c r="AL593" s="178" cm="1">
        <f t="array" ref="AL593">INDEX('Control panel'!$F$17:$F$19,MATCH($F593,'Control panel'!$C$17:$C$19,0),0)</f>
        <v>0.15</v>
      </c>
      <c r="AM593" s="178" cm="1">
        <f t="array" ref="AM593">INDEX('Control panel'!$F$17:$F$19,MATCH($F593,'Control panel'!$C$17:$C$19,0),0)</f>
        <v>0.15</v>
      </c>
      <c r="AN593" s="178" cm="1">
        <f t="array" ref="AN593">INDEX('Control panel'!$F$17:$F$19,MATCH($F593,'Control panel'!$C$17:$C$19,0),0)</f>
        <v>0.15</v>
      </c>
      <c r="AO593" s="178" cm="1">
        <f t="array" ref="AO593">INDEX('Control panel'!$F$17:$F$19,MATCH($F593,'Control panel'!$C$17:$C$19,0),0)</f>
        <v>0.15</v>
      </c>
      <c r="AP593" s="29"/>
    </row>
    <row r="594" spans="1:42" ht="15.75" hidden="1" customHeight="1" outlineLevel="1" x14ac:dyDescent="0.25">
      <c r="A594" s="12"/>
      <c r="B594" s="13"/>
      <c r="C594" s="96" t="s">
        <v>120</v>
      </c>
      <c r="D594" s="45"/>
      <c r="E594" s="15"/>
      <c r="F594" s="158" t="str">
        <f>Dashboard!$I$63</f>
        <v>3 Axle Double Decker Bus</v>
      </c>
      <c r="G594" s="14"/>
      <c r="H594" s="28"/>
      <c r="I594" s="56">
        <f>IF($C$594=$F$594,I$558*Data!$E$389*Data!H$66,0)*(1+I$593)*(1+Data!$E$93)</f>
        <v>0</v>
      </c>
      <c r="J594" s="56">
        <f>IF($C$594=$F$594,J$558*Data!$E$389*Data!I$66,0)*(1+J$593)*(1+Data!$E$93)</f>
        <v>0</v>
      </c>
      <c r="K594" s="56">
        <f>IF($C$594=$F$594,K$558*Data!$E$389*Data!J$66,0)*(1+K$593)*(1+Data!$E$93)</f>
        <v>0</v>
      </c>
      <c r="L594" s="56">
        <f>IF($C$594=$F$594,L$558*Data!$E$389*Data!K$66,0)*(1+L$593)*(1+Data!$E$93)</f>
        <v>0</v>
      </c>
      <c r="M594" s="56">
        <f>IF($C$594=$F$594,M$558*Data!$E$389*Data!L$66,0)*(1+M$593)*(1+Data!$E$93)</f>
        <v>0</v>
      </c>
      <c r="N594" s="56">
        <f>IF($C$594=$F$594,N$558*Data!$E$389*Data!M$66,0)*(1+N$593)*(1+Data!$E$93)</f>
        <v>0</v>
      </c>
      <c r="O594" s="56">
        <f>IF($C$594=$F$594,O$558*Data!$E$389*Data!N$66,0)*(1+O$593)*(1+Data!$E$93)</f>
        <v>0</v>
      </c>
      <c r="P594" s="56">
        <f>IF($C$594=$F$594,P$558*Data!$E$389*Data!O$66,0)*(1+P$593)*(1+Data!$E$93)</f>
        <v>0</v>
      </c>
      <c r="Q594" s="56">
        <f>IF($C$594=$F$594,Q$558*Data!$E$389*Data!P$66,0)*(1+Q$593)*(1+Data!$E$93)</f>
        <v>0</v>
      </c>
      <c r="R594" s="56">
        <f>IF($C$594=$F$594,R$558*Data!$E$389*Data!Q$66,0)*(1+R$593)*(1+Data!$E$93)</f>
        <v>0</v>
      </c>
      <c r="S594" s="56">
        <f>IF($C$594=$F$594,S$558*Data!$E$389*Data!R$66,0)*(1+S$593)*(1+Data!$E$93)</f>
        <v>0</v>
      </c>
      <c r="T594" s="56">
        <f>IF($C$594=$F$594,T$558*Data!$E$389*Data!S$66,0)*(1+T$593)*(1+Data!$E$93)</f>
        <v>0</v>
      </c>
      <c r="U594" s="56">
        <f>IF($C$594=$F$594,U$558*Data!$E$389*Data!T$66,0)*(1+U$593)*(1+Data!$E$93)</f>
        <v>0</v>
      </c>
      <c r="V594" s="56">
        <f>IF($C$594=$F$594,V$558*Data!$E$389*Data!U$66,0)*(1+V$593)*(1+Data!$E$93)</f>
        <v>0</v>
      </c>
      <c r="W594" s="56">
        <f>IF($C$594=$F$594,W$558*Data!$E$389*Data!V$66,0)*(1+W$593)*(1+Data!$E$93)</f>
        <v>0</v>
      </c>
      <c r="X594" s="56">
        <f>IF($C$594=$F$594,X$558*Data!$E$389*Data!W$66,0)*(1+X$593)*(1+Data!$E$93)</f>
        <v>0</v>
      </c>
      <c r="Y594" s="56">
        <f>IF($C$594=$F$594,Y$558*Data!$E$389*Data!X$66,0)*(1+Y$593)*(1+Data!$E$93)</f>
        <v>0</v>
      </c>
      <c r="Z594" s="56">
        <f>IF($C$594=$F$594,Z$558*Data!$E$389*Data!Y$66,0)*(1+Z$593)*(1+Data!$E$93)</f>
        <v>0</v>
      </c>
      <c r="AA594" s="56">
        <f>IF($C$594=$F$594,AA$558*Data!$E$389*Data!Z$66,0)*(1+AA$593)*(1+Data!$E$93)</f>
        <v>0</v>
      </c>
      <c r="AB594" s="56">
        <f>IF($C$594=$F$594,AB$558*Data!$E$389*Data!AA$66,0)*(1+AB$593)*(1+Data!$E$93)</f>
        <v>0</v>
      </c>
      <c r="AC594" s="56">
        <f>IF($C$594=$F$594,AC$558*Data!$E$389*Data!AB$66,0)*(1+AC$593)*(1+Data!$E$93)</f>
        <v>0</v>
      </c>
      <c r="AD594" s="56">
        <f>IF($C$594=$F$594,AD$558*Data!$E$389*Data!AC$66,0)*(1+AD$593)*(1+Data!$E$93)</f>
        <v>0</v>
      </c>
      <c r="AE594" s="56">
        <f>IF($C$594=$F$594,AE$558*Data!$E$389*Data!AD$66,0)*(1+AE$593)*(1+Data!$E$93)</f>
        <v>0</v>
      </c>
      <c r="AF594" s="56">
        <f>IF($C$594=$F$594,AF$558*Data!$E$389*Data!AE$66,0)*(1+AF$593)*(1+Data!$E$93)</f>
        <v>0</v>
      </c>
      <c r="AG594" s="56">
        <f>IF($C$594=$F$594,AG$558*Data!$E$389*Data!AF$66,0)*(1+AG$593)*(1+Data!$E$93)</f>
        <v>0</v>
      </c>
      <c r="AH594" s="56">
        <f>IF($C$594=$F$594,AH$558*Data!$E$389*Data!AG$66,0)*(1+AH$593)*(1+Data!$E$93)</f>
        <v>0</v>
      </c>
      <c r="AI594" s="56">
        <f>IF($C$594=$F$594,AI$558*Data!$E$389*Data!AH$66,0)*(1+AI$593)*(1+Data!$E$93)</f>
        <v>0</v>
      </c>
      <c r="AJ594" s="56">
        <f>IF($C$594=$F$594,AJ$558*Data!$E$389*Data!AI$66,0)*(1+AJ$593)*(1+Data!$E$93)</f>
        <v>0</v>
      </c>
      <c r="AK594" s="56">
        <f>IF($C$594=$F$594,AK$558*Data!$E$389*Data!AJ$66,0)*(1+AK$593)*(1+Data!$E$93)</f>
        <v>0</v>
      </c>
      <c r="AL594" s="56">
        <f>IF($C$594=$F$594,AL$558*Data!$E$389*Data!AK$66,0)*(1+AL$593)*(1+Data!$E$93)</f>
        <v>0</v>
      </c>
      <c r="AM594" s="56">
        <f>IF($C$594=$F$594,AM$558*Data!$E$389*Data!AL$66,0)*(1+AM$593)*(1+Data!$E$93)</f>
        <v>0</v>
      </c>
      <c r="AN594" s="56">
        <f>IF($C$594=$F$594,AN$558*Data!$E$389*Data!AM$66,0)*(1+AN$593)*(1+Data!$E$93)</f>
        <v>0</v>
      </c>
      <c r="AO594" s="56">
        <f>IF($C$594=$F$594,AO$558*Data!$E$389*Data!AN$66,0)*(1+AO$593)*(1+Data!$E$93)</f>
        <v>0</v>
      </c>
      <c r="AP594" s="29"/>
    </row>
    <row r="595" spans="1:42" hidden="1" outlineLevel="1" x14ac:dyDescent="0.25">
      <c r="A595" s="12"/>
      <c r="B595" s="13"/>
      <c r="C595" s="96" t="s">
        <v>124</v>
      </c>
      <c r="D595" s="45"/>
      <c r="E595" s="15"/>
      <c r="F595" s="158" t="str">
        <f>Dashboard!$I$63</f>
        <v>3 Axle Double Decker Bus</v>
      </c>
      <c r="G595" s="14"/>
      <c r="H595" s="28"/>
      <c r="I595" s="56">
        <f>IF($C$595=$F$595,I$558*Data!$E$390*Data!H$66,0)*(1+I$593)*(1+Data!$E$93)</f>
        <v>0</v>
      </c>
      <c r="J595" s="56">
        <f>IF($C$595=$F$595,J$558*Data!$E$390*Data!I$66,0)*(1+J$593)*(1+Data!$E$93)</f>
        <v>0</v>
      </c>
      <c r="K595" s="56">
        <f>IF($C$595=$F$595,K$558*Data!$E$390*Data!J$66,0)*(1+K$593)*(1+Data!$E$93)</f>
        <v>0</v>
      </c>
      <c r="L595" s="56">
        <f>IF($C$595=$F$595,L$558*Data!$E$390*Data!K$66,0)*(1+L$593)*(1+Data!$E$93)</f>
        <v>0</v>
      </c>
      <c r="M595" s="56">
        <f>IF($C$595=$F$595,M$558*Data!$E$390*Data!L$66,0)*(1+M$593)*(1+Data!$E$93)</f>
        <v>0</v>
      </c>
      <c r="N595" s="56">
        <f>IF($C$595=$F$595,N$558*Data!$E$390*Data!M$66,0)*(1+N$593)*(1+Data!$E$93)</f>
        <v>0</v>
      </c>
      <c r="O595" s="56">
        <f>IF($C$595=$F$595,O$558*Data!$E$390*Data!N$66,0)*(1+O$593)*(1+Data!$E$93)</f>
        <v>0</v>
      </c>
      <c r="P595" s="56">
        <f>IF($C$595=$F$595,P$558*Data!$E$390*Data!O$66,0)*(1+P$593)*(1+Data!$E$93)</f>
        <v>0</v>
      </c>
      <c r="Q595" s="56">
        <f>IF($C$595=$F$595,Q$558*Data!$E$390*Data!P$66,0)*(1+Q$593)*(1+Data!$E$93)</f>
        <v>0</v>
      </c>
      <c r="R595" s="56">
        <f>IF($C$595=$F$595,R$558*Data!$E$390*Data!Q$66,0)*(1+R$593)*(1+Data!$E$93)</f>
        <v>0</v>
      </c>
      <c r="S595" s="56">
        <f>IF($C$595=$F$595,S$558*Data!$E$390*Data!R$66,0)*(1+S$593)*(1+Data!$E$93)</f>
        <v>0</v>
      </c>
      <c r="T595" s="56">
        <f>IF($C$595=$F$595,T$558*Data!$E$390*Data!S$66,0)*(1+T$593)*(1+Data!$E$93)</f>
        <v>0</v>
      </c>
      <c r="U595" s="56">
        <f>IF($C$595=$F$595,U$558*Data!$E$390*Data!T$66,0)*(1+U$593)*(1+Data!$E$93)</f>
        <v>0</v>
      </c>
      <c r="V595" s="56">
        <f>IF($C$595=$F$595,V$558*Data!$E$390*Data!U$66,0)*(1+V$593)*(1+Data!$E$93)</f>
        <v>0</v>
      </c>
      <c r="W595" s="56">
        <f>IF($C$595=$F$595,W$558*Data!$E$390*Data!V$66,0)*(1+W$593)*(1+Data!$E$93)</f>
        <v>0</v>
      </c>
      <c r="X595" s="56">
        <f>IF($C$595=$F$595,X$558*Data!$E$390*Data!W$66,0)*(1+X$593)*(1+Data!$E$93)</f>
        <v>0</v>
      </c>
      <c r="Y595" s="56">
        <f>IF($C$595=$F$595,Y$558*Data!$E$390*Data!X$66,0)*(1+Y$593)*(1+Data!$E$93)</f>
        <v>0</v>
      </c>
      <c r="Z595" s="56">
        <f>IF($C$595=$F$595,Z$558*Data!$E$390*Data!Y$66,0)*(1+Z$593)*(1+Data!$E$93)</f>
        <v>0</v>
      </c>
      <c r="AA595" s="56">
        <f>IF($C$595=$F$595,AA$558*Data!$E$390*Data!Z$66,0)*(1+AA$593)*(1+Data!$E$93)</f>
        <v>0</v>
      </c>
      <c r="AB595" s="56">
        <f>IF($C$595=$F$595,AB$558*Data!$E$390*Data!AA$66,0)*(1+AB$593)*(1+Data!$E$93)</f>
        <v>0</v>
      </c>
      <c r="AC595" s="56">
        <f>IF($C$595=$F$595,AC$558*Data!$E$390*Data!AB$66,0)*(1+AC$593)*(1+Data!$E$93)</f>
        <v>0</v>
      </c>
      <c r="AD595" s="56">
        <f>IF($C$595=$F$595,AD$558*Data!$E$390*Data!AC$66,0)*(1+AD$593)*(1+Data!$E$93)</f>
        <v>0</v>
      </c>
      <c r="AE595" s="56">
        <f>IF($C$595=$F$595,AE$558*Data!$E$390*Data!AD$66,0)*(1+AE$593)*(1+Data!$E$93)</f>
        <v>0</v>
      </c>
      <c r="AF595" s="56">
        <f>IF($C$595=$F$595,AF$558*Data!$E$390*Data!AE$66,0)*(1+AF$593)*(1+Data!$E$93)</f>
        <v>0</v>
      </c>
      <c r="AG595" s="56">
        <f>IF($C$595=$F$595,AG$558*Data!$E$390*Data!AF$66,0)*(1+AG$593)*(1+Data!$E$93)</f>
        <v>0</v>
      </c>
      <c r="AH595" s="56">
        <f>IF($C$595=$F$595,AH$558*Data!$E$390*Data!AG$66,0)*(1+AH$593)*(1+Data!$E$93)</f>
        <v>0</v>
      </c>
      <c r="AI595" s="56">
        <f>IF($C$595=$F$595,AI$558*Data!$E$390*Data!AH$66,0)*(1+AI$593)*(1+Data!$E$93)</f>
        <v>0</v>
      </c>
      <c r="AJ595" s="56">
        <f>IF($C$595=$F$595,AJ$558*Data!$E$390*Data!AI$66,0)*(1+AJ$593)*(1+Data!$E$93)</f>
        <v>0</v>
      </c>
      <c r="AK595" s="56">
        <f>IF($C$595=$F$595,AK$558*Data!$E$390*Data!AJ$66,0)*(1+AK$593)*(1+Data!$E$93)</f>
        <v>0</v>
      </c>
      <c r="AL595" s="56">
        <f>IF($C$595=$F$595,AL$558*Data!$E$390*Data!AK$66,0)*(1+AL$593)*(1+Data!$E$93)</f>
        <v>0</v>
      </c>
      <c r="AM595" s="56">
        <f>IF($C$595=$F$595,AM$558*Data!$E$390*Data!AL$66,0)*(1+AM$593)*(1+Data!$E$93)</f>
        <v>0</v>
      </c>
      <c r="AN595" s="56">
        <f>IF($C$595=$F$595,AN$558*Data!$E$390*Data!AM$66,0)*(1+AN$593)*(1+Data!$E$93)</f>
        <v>0</v>
      </c>
      <c r="AO595" s="56">
        <f>IF($C$595=$F$595,AO$558*Data!$E$390*Data!AN$66,0)*(1+AO$593)*(1+Data!$E$93)</f>
        <v>0</v>
      </c>
      <c r="AP595" s="29"/>
    </row>
    <row r="596" spans="1:42" hidden="1" outlineLevel="1" x14ac:dyDescent="0.25">
      <c r="A596" s="12"/>
      <c r="B596" s="13"/>
      <c r="C596" s="96" t="s">
        <v>126</v>
      </c>
      <c r="D596" s="45"/>
      <c r="E596" s="15"/>
      <c r="F596" s="158" t="str">
        <f>Dashboard!$I$63</f>
        <v>3 Axle Double Decker Bus</v>
      </c>
      <c r="G596" s="14"/>
      <c r="H596" s="28"/>
      <c r="I596" s="56">
        <f>IF($C$596=$F$596,I$558*Data!$E$391*Data!H$66,0)*(1+I$593)*(1+Data!$E$93)</f>
        <v>0</v>
      </c>
      <c r="J596" s="56">
        <f>IF($C$596=$F$596,J$558*Data!$E$391*Data!I$66,0)*(1+J$593)*(1+Data!$E$93)</f>
        <v>0</v>
      </c>
      <c r="K596" s="56">
        <f>IF($C$596=$F$596,K$558*Data!$E$391*Data!J$66,0)*(1+K$593)*(1+Data!$E$93)</f>
        <v>0</v>
      </c>
      <c r="L596" s="56">
        <f>IF($C$596=$F$596,L$558*Data!$E$391*Data!K$66,0)*(1+L$593)*(1+Data!$E$93)</f>
        <v>0</v>
      </c>
      <c r="M596" s="56">
        <f>IF($C$596=$F$596,M$558*Data!$E$391*Data!L$66,0)*(1+M$593)*(1+Data!$E$93)</f>
        <v>0</v>
      </c>
      <c r="N596" s="56">
        <f>IF($C$596=$F$596,N$558*Data!$E$391*Data!M$66,0)*(1+N$593)*(1+Data!$E$93)</f>
        <v>0</v>
      </c>
      <c r="O596" s="56">
        <f>IF($C$596=$F$596,O$558*Data!$E$391*Data!N$66,0)*(1+O$593)*(1+Data!$E$93)</f>
        <v>0</v>
      </c>
      <c r="P596" s="56">
        <f>IF($C$596=$F$596,P$558*Data!$E$391*Data!O$66,0)*(1+P$593)*(1+Data!$E$93)</f>
        <v>0</v>
      </c>
      <c r="Q596" s="56">
        <f>IF($C$596=$F$596,Q$558*Data!$E$391*Data!P$66,0)*(1+Q$593)*(1+Data!$E$93)</f>
        <v>0</v>
      </c>
      <c r="R596" s="56">
        <f>IF($C$596=$F$596,R$558*Data!$E$391*Data!Q$66,0)*(1+R$593)*(1+Data!$E$93)</f>
        <v>0</v>
      </c>
      <c r="S596" s="56">
        <f>IF($C$596=$F$596,S$558*Data!$E$391*Data!R$66,0)*(1+S$593)*(1+Data!$E$93)</f>
        <v>0</v>
      </c>
      <c r="T596" s="56">
        <f>IF($C$596=$F$596,T$558*Data!$E$391*Data!S$66,0)*(1+T$593)*(1+Data!$E$93)</f>
        <v>0</v>
      </c>
      <c r="U596" s="56">
        <f>IF($C$596=$F$596,U$558*Data!$E$391*Data!T$66,0)*(1+U$593)*(1+Data!$E$93)</f>
        <v>59621.560865310748</v>
      </c>
      <c r="V596" s="56">
        <f>IF($C$596=$F$596,V$558*Data!$E$391*Data!U$66,0)*(1+V$593)*(1+Data!$E$93)</f>
        <v>58557.724286737095</v>
      </c>
      <c r="W596" s="56">
        <f>IF($C$596=$F$596,W$558*Data!$E$391*Data!V$66,0)*(1+W$593)*(1+Data!$E$93)</f>
        <v>57518.601133078846</v>
      </c>
      <c r="X596" s="56">
        <f>IF($C$596=$F$596,X$558*Data!$E$391*Data!W$66,0)*(1+X$593)*(1+Data!$E$93)</f>
        <v>56503.517607182606</v>
      </c>
      <c r="Y596" s="56">
        <f>IF($C$596=$F$596,Y$558*Data!$E$391*Data!X$66,0)*(1+Y$593)*(1+Data!$E$93)</f>
        <v>55511.820419094525</v>
      </c>
      <c r="Z596" s="56">
        <f>IF($C$596=$F$596,Z$558*Data!$E$391*Data!Y$66,0)*(1+Z$593)*(1+Data!$E$93)</f>
        <v>54542.876123638685</v>
      </c>
      <c r="AA596" s="56">
        <f>IF($C$596=$F$596,AA$558*Data!$E$391*Data!Z$66,0)*(1+AA$593)*(1+Data!$E$93)</f>
        <v>53596.070480014612</v>
      </c>
      <c r="AB596" s="56">
        <f>IF($C$596=$F$596,AB$558*Data!$E$391*Data!AA$66,0)*(1+AB$593)*(1+Data!$E$93)</f>
        <v>52670.807832672552</v>
      </c>
      <c r="AC596" s="56">
        <f>IF($C$596=$F$596,AC$558*Data!$E$391*Data!AB$66,0)*(1+AC$593)*(1+Data!$E$93)</f>
        <v>51766.510512750239</v>
      </c>
      <c r="AD596" s="56">
        <f>IF($C$596=$F$596,AD$558*Data!$E$391*Data!AC$66,0)*(1+AD$593)*(1+Data!$E$93)</f>
        <v>50882.618259379109</v>
      </c>
      <c r="AE596" s="56">
        <f>IF($C$596=$F$596,AE$558*Data!$E$391*Data!AD$66,0)*(1+AE$593)*(1+Data!$E$93)</f>
        <v>50018.587660191421</v>
      </c>
      <c r="AF596" s="56">
        <f>IF($C$596=$F$596,AF$558*Data!$E$391*Data!AE$66,0)*(1+AF$593)*(1+Data!$E$93)</f>
        <v>49173.891610382438</v>
      </c>
      <c r="AG596" s="56">
        <f>IF($C$596=$F$596,AG$558*Data!$E$391*Data!AF$66,0)*(1+AG$593)*(1+Data!$E$93)</f>
        <v>48348.018789703274</v>
      </c>
      <c r="AH596" s="56">
        <f>IF($C$596=$F$596,AH$558*Data!$E$391*Data!AG$66,0)*(1+AH$593)*(1+Data!$E$93)</f>
        <v>47540.473156781751</v>
      </c>
      <c r="AI596" s="56">
        <f>IF($C$596=$F$596,AI$558*Data!$E$391*Data!AH$66,0)*(1+AI$593)*(1+Data!$E$93)</f>
        <v>46750.773460188582</v>
      </c>
      <c r="AJ596" s="56">
        <f>IF($C$596=$F$596,AJ$558*Data!$E$391*Data!AI$66,0)*(1+AJ$593)*(1+Data!$E$93)</f>
        <v>45978.452765685885</v>
      </c>
      <c r="AK596" s="56">
        <f>IF($C$596=$F$596,AK$558*Data!$E$391*Data!AJ$66,0)*(1+AK$593)*(1+Data!$E$93)</f>
        <v>45978.452765685885</v>
      </c>
      <c r="AL596" s="56">
        <f>IF($C$596=$F$596,AL$558*Data!$E$391*Data!AK$66,0)*(1+AL$593)*(1+Data!$E$93)</f>
        <v>45978.452765685885</v>
      </c>
      <c r="AM596" s="56">
        <f>IF($C$596=$F$596,AM$558*Data!$E$391*Data!AL$66,0)*(1+AM$593)*(1+Data!$E$93)</f>
        <v>45978.452765685885</v>
      </c>
      <c r="AN596" s="56">
        <f>IF($C$596=$F$596,AN$558*Data!$E$391*Data!AM$66,0)*(1+AN$593)*(1+Data!$E$93)</f>
        <v>45978.452765685885</v>
      </c>
      <c r="AO596" s="56">
        <f>IF($C$596=$F$596,AO$558*Data!$E$391*Data!AN$66,0)*(1+AO$593)*(1+Data!$E$93)</f>
        <v>0</v>
      </c>
      <c r="AP596" s="29"/>
    </row>
    <row r="597" spans="1:42" hidden="1" outlineLevel="1" x14ac:dyDescent="0.25">
      <c r="A597" s="12"/>
      <c r="B597" s="13"/>
      <c r="C597" s="19" t="s">
        <v>600</v>
      </c>
      <c r="D597" s="45"/>
      <c r="E597" s="15"/>
      <c r="F597" s="158"/>
      <c r="G597" s="14"/>
      <c r="H597" s="28"/>
      <c r="I597" s="182">
        <f>SUM(I587:I589)+SUM(I594:I596) +I591</f>
        <v>0</v>
      </c>
      <c r="J597" s="182">
        <f t="shared" ref="J597:AO597" si="153">SUM(J587:J589)+SUM(J594:J596) +J591</f>
        <v>0</v>
      </c>
      <c r="K597" s="182">
        <f t="shared" si="153"/>
        <v>0</v>
      </c>
      <c r="L597" s="182">
        <f t="shared" si="153"/>
        <v>0</v>
      </c>
      <c r="M597" s="182">
        <f t="shared" si="153"/>
        <v>0</v>
      </c>
      <c r="N597" s="182">
        <f t="shared" si="153"/>
        <v>0</v>
      </c>
      <c r="O597" s="182">
        <f t="shared" si="153"/>
        <v>0</v>
      </c>
      <c r="P597" s="182">
        <f t="shared" si="153"/>
        <v>0</v>
      </c>
      <c r="Q597" s="182">
        <f t="shared" si="153"/>
        <v>0</v>
      </c>
      <c r="R597" s="182">
        <f t="shared" si="153"/>
        <v>0</v>
      </c>
      <c r="S597" s="182">
        <f t="shared" si="153"/>
        <v>0</v>
      </c>
      <c r="T597" s="182">
        <f t="shared" si="153"/>
        <v>0</v>
      </c>
      <c r="U597" s="182">
        <f t="shared" si="153"/>
        <v>171328.73512628634</v>
      </c>
      <c r="V597" s="182">
        <f t="shared" si="153"/>
        <v>170264.89854771271</v>
      </c>
      <c r="W597" s="182">
        <f t="shared" si="153"/>
        <v>169225.77539405445</v>
      </c>
      <c r="X597" s="182">
        <f t="shared" si="153"/>
        <v>168210.6918681582</v>
      </c>
      <c r="Y597" s="182">
        <f t="shared" si="153"/>
        <v>167218.99468007014</v>
      </c>
      <c r="Z597" s="182">
        <f t="shared" si="153"/>
        <v>166250.0503846143</v>
      </c>
      <c r="AA597" s="182">
        <f t="shared" si="153"/>
        <v>165303.24474099022</v>
      </c>
      <c r="AB597" s="182">
        <f t="shared" si="153"/>
        <v>164377.98209364817</v>
      </c>
      <c r="AC597" s="182">
        <f t="shared" si="153"/>
        <v>163473.68477372584</v>
      </c>
      <c r="AD597" s="182">
        <f t="shared" si="153"/>
        <v>162589.79252035471</v>
      </c>
      <c r="AE597" s="182">
        <f t="shared" si="153"/>
        <v>161725.76192116702</v>
      </c>
      <c r="AF597" s="182">
        <f t="shared" si="153"/>
        <v>160881.06587135803</v>
      </c>
      <c r="AG597" s="182">
        <f t="shared" si="153"/>
        <v>160055.19305067888</v>
      </c>
      <c r="AH597" s="182">
        <f t="shared" si="153"/>
        <v>159247.64741775737</v>
      </c>
      <c r="AI597" s="182">
        <f t="shared" si="153"/>
        <v>158457.94772116418</v>
      </c>
      <c r="AJ597" s="182">
        <f t="shared" si="153"/>
        <v>157685.62702666147</v>
      </c>
      <c r="AK597" s="182">
        <f t="shared" si="153"/>
        <v>157685.62702666147</v>
      </c>
      <c r="AL597" s="182">
        <f t="shared" si="153"/>
        <v>157685.62702666147</v>
      </c>
      <c r="AM597" s="182">
        <f t="shared" si="153"/>
        <v>157685.62702666147</v>
      </c>
      <c r="AN597" s="182">
        <f t="shared" si="153"/>
        <v>157685.62702666147</v>
      </c>
      <c r="AO597" s="182">
        <f t="shared" si="153"/>
        <v>0</v>
      </c>
      <c r="AP597" s="29"/>
    </row>
    <row r="598" spans="1:42" hidden="1" outlineLevel="1" x14ac:dyDescent="0.25">
      <c r="A598" s="12"/>
      <c r="B598" s="13"/>
      <c r="C598" s="19"/>
      <c r="D598" s="45"/>
      <c r="E598" s="15"/>
      <c r="F598" s="158"/>
      <c r="G598" s="14"/>
      <c r="H598" s="28"/>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29"/>
    </row>
    <row r="599" spans="1:42" hidden="1" outlineLevel="1" x14ac:dyDescent="0.25">
      <c r="A599" s="12"/>
      <c r="B599" s="13"/>
      <c r="C599" s="37" t="s">
        <v>601</v>
      </c>
      <c r="D599" s="37"/>
      <c r="E599" s="38"/>
      <c r="F599" s="39"/>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17"/>
    </row>
    <row r="600" spans="1:42" s="140" customFormat="1" hidden="1" outlineLevel="1" x14ac:dyDescent="0.25">
      <c r="A600" s="78"/>
      <c r="B600" s="19"/>
      <c r="C600" s="95" t="s">
        <v>249</v>
      </c>
      <c r="D600" s="44"/>
      <c r="E600" s="21" t="s">
        <v>142</v>
      </c>
      <c r="F600" s="48"/>
      <c r="G600" s="95"/>
      <c r="H600" s="182"/>
      <c r="I600" s="182">
        <f>IF(COUNT($I$3:I$3)=(Dashboard!$I$31+Data!$E$386+1),SUM($H$304:$AO$306)*Data!$E$359,0)</f>
        <v>0</v>
      </c>
      <c r="J600" s="182">
        <f>IF(COUNT($I$3:J$3)=(Dashboard!$I$31+Data!$E$386+1),SUM($H$304:$AO$306)*Data!$E$359,0)</f>
        <v>0</v>
      </c>
      <c r="K600" s="182">
        <f>IF(COUNT($I$3:K$3)=(Dashboard!$I$31+Data!$E$386+1),SUM($H$304:$AO$306)*Data!$E$359,0)</f>
        <v>0</v>
      </c>
      <c r="L600" s="182">
        <f>IF(COUNT($I$3:L$3)=(Dashboard!$I$31+Data!$E$386+1),SUM($H$304:$AO$306)*Data!$E$359,0)</f>
        <v>0</v>
      </c>
      <c r="M600" s="182">
        <f>IF(COUNT($I$3:M$3)=(Dashboard!$I$31+Data!$E$386+1),SUM($H$304:$AO$306)*Data!$E$359,0)</f>
        <v>0</v>
      </c>
      <c r="N600" s="182">
        <f>IF(COUNT($I$3:N$3)=(Dashboard!$I$31+Data!$E$386+1),SUM($H$304:$AO$306)*Data!$E$359,0)</f>
        <v>0</v>
      </c>
      <c r="O600" s="182">
        <f>IF(COUNT($I$3:O$3)=(Dashboard!$I$31+Data!$E$386+1),SUM($H$304:$AO$306)*Data!$E$359,0)</f>
        <v>0</v>
      </c>
      <c r="P600" s="182">
        <f>IF(COUNT($I$3:P$3)=(Dashboard!$I$31+Data!$E$386+1),SUM($H$304:$AO$306)*Data!$E$359,0)</f>
        <v>0</v>
      </c>
      <c r="Q600" s="182">
        <f>IF(COUNT($I$3:Q$3)=(Dashboard!$I$31+Data!$E$386+1),SUM($H$304:$AO$306)*Data!$E$359,0)</f>
        <v>0</v>
      </c>
      <c r="R600" s="182">
        <f>IF(COUNT($I$3:R$3)=(Dashboard!$I$31+Data!$E$386+1),SUM($H$304:$AO$306)*Data!$E$359,0)</f>
        <v>0</v>
      </c>
      <c r="S600" s="182">
        <f>IF(COUNT($I$3:S$3)=(Dashboard!$I$31+Data!$E$386+1),SUM($H$304:$AO$306)*Data!$E$359,0)</f>
        <v>0</v>
      </c>
      <c r="T600" s="182">
        <f>IF(COUNT($I$3:T$3)=(Dashboard!$I$31+Data!$E$386+1),SUM($H$304:$AO$306)*Data!$E$359,0)</f>
        <v>0</v>
      </c>
      <c r="U600" s="182">
        <f>IF(COUNT($I$3:U$3)=(Dashboard!$I$31+Data!$E$386+1),SUM($H$304:$AO$306)*Data!$E$359,0)</f>
        <v>0</v>
      </c>
      <c r="V600" s="182">
        <f>IF(COUNT($I$3:V$3)=(Dashboard!$I$31+Data!$E$386+1),SUM($H$304:$AO$306)*Data!$E$359,0)</f>
        <v>0</v>
      </c>
      <c r="W600" s="182">
        <f>IF(COUNT($I$3:W$3)=(Dashboard!$I$31+Data!$E$386+1),SUM($H$304:$AO$306)*Data!$E$359,0)</f>
        <v>0</v>
      </c>
      <c r="X600" s="182">
        <f>IF(COUNT($I$3:X$3)=(Dashboard!$I$31+Data!$E$386+1),SUM($H$304:$AO$306)*Data!$E$359,0)</f>
        <v>0</v>
      </c>
      <c r="Y600" s="182">
        <f>IF(COUNT($I$3:Y$3)=(Dashboard!$I$31+Data!$E$386+1),SUM($H$304:$AO$306)*Data!$E$359,0)</f>
        <v>0</v>
      </c>
      <c r="Z600" s="182">
        <f>IF(COUNT($I$3:Z$3)=(Dashboard!$I$31+Data!$E$386+1),SUM($H$304:$AO$306)*Data!$E$359,0)</f>
        <v>0</v>
      </c>
      <c r="AA600" s="182">
        <f>IF(COUNT($I$3:AA$3)=(Dashboard!$I$31+Data!$E$386+1),SUM($H$304:$AO$306)*Data!$E$359,0)</f>
        <v>0</v>
      </c>
      <c r="AB600" s="182">
        <f>IF(COUNT($I$3:AB$3)=(Dashboard!$I$31+Data!$E$386+1),SUM($H$304:$AO$306)*Data!$E$359,0)</f>
        <v>0</v>
      </c>
      <c r="AC600" s="182">
        <f>IF(COUNT($I$3:AC$3)=(Dashboard!$I$31+Data!$E$386+1),SUM($H$304:$AO$306)*Data!$E$359,0)</f>
        <v>0</v>
      </c>
      <c r="AD600" s="182">
        <f>IF(COUNT($I$3:AD$3)=(Dashboard!$I$31+Data!$E$386+1),SUM($H$304:$AO$306)*Data!$E$359,0)</f>
        <v>0</v>
      </c>
      <c r="AE600" s="182">
        <f>IF(COUNT($I$3:AE$3)=(Dashboard!$I$31+Data!$E$386+1),SUM($H$304:$AO$306)*Data!$E$359,0)</f>
        <v>0</v>
      </c>
      <c r="AF600" s="182">
        <f>IF(COUNT($I$3:AF$3)=(Dashboard!$I$31+Data!$E$386+1),SUM($H$304:$AO$306)*Data!$E$359,0)</f>
        <v>0</v>
      </c>
      <c r="AG600" s="182">
        <f>IF(COUNT($I$3:AG$3)=(Dashboard!$I$31+Data!$E$386+1),SUM($H$304:$AO$306)*Data!$E$359,0)</f>
        <v>0</v>
      </c>
      <c r="AH600" s="182">
        <f>IF(COUNT($I$3:AH$3)=(Dashboard!$I$31+Data!$E$386+1),SUM($H$304:$AO$306)*Data!$E$359,0)</f>
        <v>0</v>
      </c>
      <c r="AI600" s="182">
        <f>IF(COUNT($I$3:AI$3)=(Dashboard!$I$31+Data!$E$386+1),SUM($H$304:$AO$306)*Data!$E$359,0)</f>
        <v>0</v>
      </c>
      <c r="AJ600" s="182">
        <f>IF(COUNT($I$3:AJ$3)=(Dashboard!$I$31+Data!$E$386+1),SUM($H$304:$AO$306)*Data!$E$359,0)</f>
        <v>0</v>
      </c>
      <c r="AK600" s="182">
        <f>IF(COUNT($I$3:AK$3)=(Dashboard!$I$31+Data!$E$386+1),SUM($H$304:$AO$306)*Data!$E$359,0)</f>
        <v>0</v>
      </c>
      <c r="AL600" s="182">
        <f>IF(COUNT($I$3:AL$3)=(Dashboard!$I$31+Data!$E$386+1),SUM($H$304:$AO$306)*Data!$E$359,0)</f>
        <v>0</v>
      </c>
      <c r="AM600" s="182">
        <f>IF(COUNT($I$3:AM$3)=(Dashboard!$I$31+Data!$E$386+1),SUM($H$304:$AO$306)*Data!$E$359,0)</f>
        <v>0</v>
      </c>
      <c r="AN600" s="182">
        <f>IF(COUNT($I$3:AN$3)=(Dashboard!$I$31+Data!$E$386+1),SUM($H$304:$AO$306)*Data!$E$359,0)</f>
        <v>0</v>
      </c>
      <c r="AO600" s="182">
        <f>IF(COUNT($I$3:AO$3)=(Dashboard!$I$31+Data!$E$386+1),SUM($H$570:$AO$572)*Data!$E$359,0)</f>
        <v>179250</v>
      </c>
      <c r="AP600" s="50"/>
    </row>
    <row r="601" spans="1:42" hidden="1" outlineLevel="1" x14ac:dyDescent="0.25">
      <c r="A601" s="12"/>
      <c r="B601" s="13"/>
      <c r="C601" s="96"/>
      <c r="D601" s="45"/>
      <c r="E601" s="15"/>
      <c r="F601" s="158"/>
      <c r="G601" s="96"/>
      <c r="H601" s="165"/>
      <c r="I601" s="165"/>
      <c r="J601" s="165"/>
      <c r="K601" s="165"/>
      <c r="L601" s="165"/>
      <c r="M601" s="165"/>
      <c r="N601" s="165"/>
      <c r="O601" s="165"/>
      <c r="P601" s="165"/>
      <c r="Q601" s="165"/>
      <c r="R601" s="165"/>
      <c r="S601" s="165"/>
      <c r="T601" s="165"/>
      <c r="U601" s="165"/>
      <c r="V601" s="165"/>
      <c r="W601" s="165"/>
      <c r="X601" s="165"/>
      <c r="Y601" s="165"/>
      <c r="Z601" s="165"/>
      <c r="AA601" s="165"/>
      <c r="AB601" s="165"/>
      <c r="AC601" s="165"/>
      <c r="AD601" s="165"/>
      <c r="AE601" s="165"/>
      <c r="AF601" s="165"/>
      <c r="AG601" s="165"/>
      <c r="AH601" s="165"/>
      <c r="AI601" s="165"/>
      <c r="AJ601" s="165"/>
      <c r="AK601" s="165"/>
      <c r="AL601" s="165"/>
      <c r="AM601" s="165"/>
      <c r="AN601" s="165"/>
      <c r="AO601" s="165"/>
      <c r="AP601" s="29"/>
    </row>
    <row r="602" spans="1:42" hidden="1" outlineLevel="1" x14ac:dyDescent="0.25">
      <c r="A602" s="12"/>
      <c r="B602" s="13"/>
      <c r="C602" s="19" t="s">
        <v>252</v>
      </c>
      <c r="D602" s="45"/>
      <c r="E602" s="15"/>
      <c r="F602" s="158"/>
      <c r="G602" s="14"/>
      <c r="H602" s="28"/>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29"/>
    </row>
    <row r="603" spans="1:42" hidden="1" outlineLevel="1" x14ac:dyDescent="0.25">
      <c r="A603" s="12"/>
      <c r="B603" s="13"/>
      <c r="C603" s="44" t="s">
        <v>258</v>
      </c>
      <c r="D603" s="44"/>
      <c r="E603" s="15"/>
      <c r="F603" s="16"/>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7"/>
    </row>
    <row r="604" spans="1:42" hidden="1" outlineLevel="1" x14ac:dyDescent="0.25">
      <c r="A604" s="12"/>
      <c r="B604" s="13"/>
      <c r="C604" s="45" t="s">
        <v>120</v>
      </c>
      <c r="D604" s="45"/>
      <c r="E604" s="15" t="s">
        <v>474</v>
      </c>
      <c r="F604" s="158" t="str">
        <f>Dashboard!$I$63</f>
        <v>3 Axle Double Decker Bus</v>
      </c>
      <c r="G604" s="14"/>
      <c r="H604" s="14"/>
      <c r="I604" s="177">
        <f>IF($C$604=$F$604,Data!$E$118*I556,0)</f>
        <v>0</v>
      </c>
      <c r="J604" s="177">
        <f>IF($C$604=$F$604,Data!$E$118*J556,0)</f>
        <v>0</v>
      </c>
      <c r="K604" s="177">
        <f>IF($C$604=$F$604,Data!$E$118*K556,0)</f>
        <v>0</v>
      </c>
      <c r="L604" s="177">
        <f>IF($C$604=$F$604,Data!$E$118*L556,0)</f>
        <v>0</v>
      </c>
      <c r="M604" s="177">
        <f>IF($C$604=$F$604,Data!$E$118*M556,0)</f>
        <v>0</v>
      </c>
      <c r="N604" s="177">
        <f>IF($C$604=$F$604,Data!$E$118*N556,0)</f>
        <v>0</v>
      </c>
      <c r="O604" s="177">
        <f>IF($C$604=$F$604,Data!$E$118*O556,0)</f>
        <v>0</v>
      </c>
      <c r="P604" s="177">
        <f>IF($C$604=$F$604,Data!$E$118*P556,0)</f>
        <v>0</v>
      </c>
      <c r="Q604" s="177">
        <f>IF($C$604=$F$604,Data!$E$118*Q556,0)</f>
        <v>0</v>
      </c>
      <c r="R604" s="177">
        <f>IF($C$604=$F$604,Data!$E$118*R556,0)</f>
        <v>0</v>
      </c>
      <c r="S604" s="177">
        <f>IF($C$604=$F$604,Data!$E$118*S556,0)</f>
        <v>0</v>
      </c>
      <c r="T604" s="177">
        <f>IF($C$604=$F$604,Data!$E$118*T556,0)</f>
        <v>0</v>
      </c>
      <c r="U604" s="177">
        <f>IF($C$604=$F$604,Data!$E$118*U556,0)</f>
        <v>0</v>
      </c>
      <c r="V604" s="177">
        <f>IF($C$604=$F$604,Data!$E$118*V556,0)</f>
        <v>0</v>
      </c>
      <c r="W604" s="177">
        <f>IF($C$604=$F$604,Data!$E$118*W556,0)</f>
        <v>0</v>
      </c>
      <c r="X604" s="177">
        <f>IF($C$604=$F$604,Data!$E$118*X556,0)</f>
        <v>0</v>
      </c>
      <c r="Y604" s="177">
        <f>IF($C$604=$F$604,Data!$E$118*Y556,0)</f>
        <v>0</v>
      </c>
      <c r="Z604" s="177">
        <f>IF($C$604=$F$604,Data!$E$118*Z556,0)</f>
        <v>0</v>
      </c>
      <c r="AA604" s="177">
        <f>IF($C$604=$F$604,Data!$E$118*AA556,0)</f>
        <v>0</v>
      </c>
      <c r="AB604" s="177">
        <f>IF($C$604=$F$604,Data!$E$118*AB556,0)</f>
        <v>0</v>
      </c>
      <c r="AC604" s="177">
        <f>IF($C$604=$F$604,Data!$E$118*AC556,0)</f>
        <v>0</v>
      </c>
      <c r="AD604" s="177">
        <f>IF($C$604=$F$604,Data!$E$118*AD556,0)</f>
        <v>0</v>
      </c>
      <c r="AE604" s="177">
        <f>IF($C$604=$F$604,Data!$E$118*AE556,0)</f>
        <v>0</v>
      </c>
      <c r="AF604" s="177">
        <f>IF($C$604=$F$604,Data!$E$118*AF556,0)</f>
        <v>0</v>
      </c>
      <c r="AG604" s="177">
        <f>IF($C$604=$F$604,Data!$E$118*AG556,0)</f>
        <v>0</v>
      </c>
      <c r="AH604" s="177">
        <f>IF($C$604=$F$604,Data!$E$118*AH556,0)</f>
        <v>0</v>
      </c>
      <c r="AI604" s="177">
        <f>IF($C$604=$F$604,Data!$E$118*AI556,0)</f>
        <v>0</v>
      </c>
      <c r="AJ604" s="177">
        <f>IF($C$604=$F$604,Data!$E$118*AJ556,0)</f>
        <v>0</v>
      </c>
      <c r="AK604" s="177">
        <f>IF($C$604=$F$604,Data!$E$118*AK556,0)</f>
        <v>0</v>
      </c>
      <c r="AL604" s="177">
        <f>IF($C$604=$F$604,Data!$E$118*AL556,0)</f>
        <v>0</v>
      </c>
      <c r="AM604" s="177">
        <f>IF($C$604=$F$604,Data!$E$118*AM556,0)</f>
        <v>0</v>
      </c>
      <c r="AN604" s="177">
        <f>IF($C$604=$F$604,Data!$E$118*AN556,0)</f>
        <v>0</v>
      </c>
      <c r="AO604" s="177">
        <f>IF($C$604=$F$604,Data!$E$118*AO556,0)</f>
        <v>0</v>
      </c>
      <c r="AP604" s="29"/>
    </row>
    <row r="605" spans="1:42" hidden="1" outlineLevel="1" x14ac:dyDescent="0.25">
      <c r="A605" s="12"/>
      <c r="B605" s="13"/>
      <c r="C605" s="45" t="s">
        <v>124</v>
      </c>
      <c r="D605" s="45"/>
      <c r="E605" s="15" t="s">
        <v>474</v>
      </c>
      <c r="F605" s="158" t="str">
        <f>Dashboard!$I$63</f>
        <v>3 Axle Double Decker Bus</v>
      </c>
      <c r="G605" s="14"/>
      <c r="H605" s="14"/>
      <c r="I605" s="177">
        <f>IF($C$605=$F$605,Data!$E$119*I556,0)</f>
        <v>0</v>
      </c>
      <c r="J605" s="177">
        <f>IF($C$605=$F$605,Data!$E$119*J556,0)</f>
        <v>0</v>
      </c>
      <c r="K605" s="177">
        <f>IF($C$605=$F$605,Data!$E$119*K556,0)</f>
        <v>0</v>
      </c>
      <c r="L605" s="177">
        <f>IF($C$605=$F$605,Data!$E$119*L556,0)</f>
        <v>0</v>
      </c>
      <c r="M605" s="177">
        <f>IF($C$605=$F$605,Data!$E$119*M556,0)</f>
        <v>0</v>
      </c>
      <c r="N605" s="177">
        <f>IF($C$605=$F$605,Data!$E$119*N556,0)</f>
        <v>0</v>
      </c>
      <c r="O605" s="177">
        <f>IF($C$605=$F$605,Data!$E$119*O556,0)</f>
        <v>0</v>
      </c>
      <c r="P605" s="177">
        <f>IF($C$605=$F$605,Data!$E$119*P556,0)</f>
        <v>0</v>
      </c>
      <c r="Q605" s="177">
        <f>IF($C$605=$F$605,Data!$E$119*Q556,0)</f>
        <v>0</v>
      </c>
      <c r="R605" s="177">
        <f>IF($C$605=$F$605,Data!$E$119*R556,0)</f>
        <v>0</v>
      </c>
      <c r="S605" s="177">
        <f>IF($C$605=$F$605,Data!$E$119*S556,0)</f>
        <v>0</v>
      </c>
      <c r="T605" s="177">
        <f>IF($C$605=$F$605,Data!$E$119*T556,0)</f>
        <v>0</v>
      </c>
      <c r="U605" s="177">
        <f>IF($C$605=$F$605,Data!$E$119*U556,0)</f>
        <v>0</v>
      </c>
      <c r="V605" s="177">
        <f>IF($C$605=$F$605,Data!$E$119*V556,0)</f>
        <v>0</v>
      </c>
      <c r="W605" s="177">
        <f>IF($C$605=$F$605,Data!$E$119*W556,0)</f>
        <v>0</v>
      </c>
      <c r="X605" s="177">
        <f>IF($C$605=$F$605,Data!$E$119*X556,0)</f>
        <v>0</v>
      </c>
      <c r="Y605" s="177">
        <f>IF($C$605=$F$605,Data!$E$119*Y556,0)</f>
        <v>0</v>
      </c>
      <c r="Z605" s="177">
        <f>IF($C$605=$F$605,Data!$E$119*Z556,0)</f>
        <v>0</v>
      </c>
      <c r="AA605" s="177">
        <f>IF($C$605=$F$605,Data!$E$119*AA556,0)</f>
        <v>0</v>
      </c>
      <c r="AB605" s="177">
        <f>IF($C$605=$F$605,Data!$E$119*AB556,0)</f>
        <v>0</v>
      </c>
      <c r="AC605" s="177">
        <f>IF($C$605=$F$605,Data!$E$119*AC556,0)</f>
        <v>0</v>
      </c>
      <c r="AD605" s="177">
        <f>IF($C$605=$F$605,Data!$E$119*AD556,0)</f>
        <v>0</v>
      </c>
      <c r="AE605" s="177">
        <f>IF($C$605=$F$605,Data!$E$119*AE556,0)</f>
        <v>0</v>
      </c>
      <c r="AF605" s="177">
        <f>IF($C$605=$F$605,Data!$E$119*AF556,0)</f>
        <v>0</v>
      </c>
      <c r="AG605" s="177">
        <f>IF($C$605=$F$605,Data!$E$119*AG556,0)</f>
        <v>0</v>
      </c>
      <c r="AH605" s="177">
        <f>IF($C$605=$F$605,Data!$E$119*AH556,0)</f>
        <v>0</v>
      </c>
      <c r="AI605" s="177">
        <f>IF($C$605=$F$605,Data!$E$119*AI556,0)</f>
        <v>0</v>
      </c>
      <c r="AJ605" s="177">
        <f>IF($C$605=$F$605,Data!$E$119*AJ556,0)</f>
        <v>0</v>
      </c>
      <c r="AK605" s="177">
        <f>IF($C$605=$F$605,Data!$E$119*AK556,0)</f>
        <v>0</v>
      </c>
      <c r="AL605" s="177">
        <f>IF($C$605=$F$605,Data!$E$119*AL556,0)</f>
        <v>0</v>
      </c>
      <c r="AM605" s="177">
        <f>IF($C$605=$F$605,Data!$E$119*AM556,0)</f>
        <v>0</v>
      </c>
      <c r="AN605" s="177">
        <f>IF($C$605=$F$605,Data!$E$119*AN556,0)</f>
        <v>0</v>
      </c>
      <c r="AO605" s="177">
        <f>IF($C$605=$F$605,Data!$E$119*AO556,0)</f>
        <v>0</v>
      </c>
      <c r="AP605" s="29"/>
    </row>
    <row r="606" spans="1:42" hidden="1" outlineLevel="1" x14ac:dyDescent="0.25">
      <c r="A606" s="12"/>
      <c r="B606" s="13"/>
      <c r="C606" s="45" t="s">
        <v>126</v>
      </c>
      <c r="D606" s="45"/>
      <c r="E606" s="15" t="s">
        <v>474</v>
      </c>
      <c r="F606" s="158" t="str">
        <f>Dashboard!$I$63</f>
        <v>3 Axle Double Decker Bus</v>
      </c>
      <c r="G606" s="14"/>
      <c r="H606" s="14"/>
      <c r="I606" s="177">
        <f>IF($C$606=$F$606,Data!$E$120*I556,0)</f>
        <v>160457.14285714284</v>
      </c>
      <c r="J606" s="177">
        <f>IF($C$606=$F$606,Data!$E$120*J556,0)</f>
        <v>160457.14285714284</v>
      </c>
      <c r="K606" s="177">
        <f>IF($C$606=$F$606,Data!$E$120*K556,0)</f>
        <v>160457.14285714284</v>
      </c>
      <c r="L606" s="177">
        <f>IF($C$606=$F$606,Data!$E$120*L556,0)</f>
        <v>160457.14285714284</v>
      </c>
      <c r="M606" s="177">
        <f>IF($C$606=$F$606,Data!$E$120*M556,0)</f>
        <v>160457.14285714284</v>
      </c>
      <c r="N606" s="177">
        <f>IF($C$606=$F$606,Data!$E$120*N556,0)</f>
        <v>160457.14285714284</v>
      </c>
      <c r="O606" s="177">
        <f>IF($C$606=$F$606,Data!$E$120*O556,0)</f>
        <v>160457.14285714284</v>
      </c>
      <c r="P606" s="177">
        <f>IF($C$606=$F$606,Data!$E$120*P556,0)</f>
        <v>160457.14285714284</v>
      </c>
      <c r="Q606" s="177">
        <f>IF($C$606=$F$606,Data!$E$120*Q556,0)</f>
        <v>160457.14285714284</v>
      </c>
      <c r="R606" s="177">
        <f>IF($C$606=$F$606,Data!$E$120*R556,0)</f>
        <v>160457.14285714284</v>
      </c>
      <c r="S606" s="177">
        <f>IF($C$606=$F$606,Data!$E$120*S556,0)</f>
        <v>160457.14285714284</v>
      </c>
      <c r="T606" s="177">
        <f>IF($C$606=$F$606,Data!$E$120*T556,0)</f>
        <v>160457.14285714284</v>
      </c>
      <c r="U606" s="177">
        <f>IF($C$606=$F$606,Data!$E$120*U556,0)</f>
        <v>0</v>
      </c>
      <c r="V606" s="177">
        <f>IF($C$606=$F$606,Data!$E$120*V556,0)</f>
        <v>0</v>
      </c>
      <c r="W606" s="177">
        <f>IF($C$606=$F$606,Data!$E$120*W556,0)</f>
        <v>0</v>
      </c>
      <c r="X606" s="177">
        <f>IF($C$606=$F$606,Data!$E$120*X556,0)</f>
        <v>0</v>
      </c>
      <c r="Y606" s="177">
        <f>IF($C$606=$F$606,Data!$E$120*Y556,0)</f>
        <v>0</v>
      </c>
      <c r="Z606" s="177">
        <f>IF($C$606=$F$606,Data!$E$120*Z556,0)</f>
        <v>0</v>
      </c>
      <c r="AA606" s="177">
        <f>IF($C$606=$F$606,Data!$E$120*AA556,0)</f>
        <v>0</v>
      </c>
      <c r="AB606" s="177">
        <f>IF($C$606=$F$606,Data!$E$120*AB556,0)</f>
        <v>0</v>
      </c>
      <c r="AC606" s="177">
        <f>IF($C$606=$F$606,Data!$E$120*AC556,0)</f>
        <v>0</v>
      </c>
      <c r="AD606" s="177">
        <f>IF($C$606=$F$606,Data!$E$120*AD556,0)</f>
        <v>0</v>
      </c>
      <c r="AE606" s="177">
        <f>IF($C$606=$F$606,Data!$E$120*AE556,0)</f>
        <v>0</v>
      </c>
      <c r="AF606" s="177">
        <f>IF($C$606=$F$606,Data!$E$120*AF556,0)</f>
        <v>0</v>
      </c>
      <c r="AG606" s="177">
        <f>IF($C$606=$F$606,Data!$E$120*AG556,0)</f>
        <v>0</v>
      </c>
      <c r="AH606" s="177">
        <f>IF($C$606=$F$606,Data!$E$120*AH556,0)</f>
        <v>0</v>
      </c>
      <c r="AI606" s="177">
        <f>IF($C$606=$F$606,Data!$E$120*AI556,0)</f>
        <v>0</v>
      </c>
      <c r="AJ606" s="177">
        <f>IF($C$606=$F$606,Data!$E$120*AJ556,0)</f>
        <v>0</v>
      </c>
      <c r="AK606" s="177">
        <f>IF($C$606=$F$606,Data!$E$120*AK556,0)</f>
        <v>0</v>
      </c>
      <c r="AL606" s="177">
        <f>IF($C$606=$F$606,Data!$E$120*AL556,0)</f>
        <v>0</v>
      </c>
      <c r="AM606" s="177">
        <f>IF($C$606=$F$606,Data!$E$120*AM556,0)</f>
        <v>0</v>
      </c>
      <c r="AN606" s="177">
        <f>IF($C$606=$F$606,Data!$E$120*AN556,0)</f>
        <v>0</v>
      </c>
      <c r="AO606" s="177">
        <f>IF($C$606=$F$606,Data!$E$120*AO556,0)</f>
        <v>0</v>
      </c>
      <c r="AP606" s="29"/>
    </row>
    <row r="607" spans="1:42" hidden="1" outlineLevel="1" x14ac:dyDescent="0.25">
      <c r="A607" s="12"/>
      <c r="B607" s="13"/>
      <c r="C607" s="45"/>
      <c r="D607" s="45"/>
      <c r="E607" s="15"/>
      <c r="F607" s="16"/>
      <c r="G607" s="14"/>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9"/>
    </row>
    <row r="608" spans="1:42" hidden="1" outlineLevel="1" x14ac:dyDescent="0.25">
      <c r="A608" s="12"/>
      <c r="B608" s="13"/>
      <c r="C608" s="44"/>
      <c r="D608" s="45"/>
      <c r="E608" s="15" t="s">
        <v>318</v>
      </c>
      <c r="F608" s="16"/>
      <c r="G608" s="14"/>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9"/>
    </row>
    <row r="609" spans="1:42" hidden="1" outlineLevel="1" x14ac:dyDescent="0.25">
      <c r="A609" s="12"/>
      <c r="B609" s="13"/>
      <c r="C609" s="44" t="s">
        <v>260</v>
      </c>
      <c r="D609" s="14"/>
      <c r="E609" s="15" t="s">
        <v>318</v>
      </c>
      <c r="F609" s="16"/>
      <c r="G609" s="14"/>
      <c r="H609" s="151"/>
      <c r="I609" s="151">
        <f>Data!$E$122*I556</f>
        <v>33733.440000000002</v>
      </c>
      <c r="J609" s="151">
        <f>Data!$E$122*J556</f>
        <v>33733.440000000002</v>
      </c>
      <c r="K609" s="151">
        <f>Data!$E$122*K556</f>
        <v>33733.440000000002</v>
      </c>
      <c r="L609" s="151">
        <f>Data!$E$122*L556</f>
        <v>33733.440000000002</v>
      </c>
      <c r="M609" s="151">
        <f>Data!$E$122*M556</f>
        <v>33733.440000000002</v>
      </c>
      <c r="N609" s="151">
        <f>Data!$E$122*N556</f>
        <v>33733.440000000002</v>
      </c>
      <c r="O609" s="151">
        <f>Data!$E$122*O556</f>
        <v>33733.440000000002</v>
      </c>
      <c r="P609" s="151">
        <f>Data!$E$122*P556</f>
        <v>33733.440000000002</v>
      </c>
      <c r="Q609" s="151">
        <f>Data!$E$122*Q556</f>
        <v>33733.440000000002</v>
      </c>
      <c r="R609" s="151">
        <f>Data!$E$122*R556</f>
        <v>33733.440000000002</v>
      </c>
      <c r="S609" s="151">
        <f>Data!$E$122*S556</f>
        <v>33733.440000000002</v>
      </c>
      <c r="T609" s="151">
        <f>Data!$E$122*T556</f>
        <v>33733.440000000002</v>
      </c>
      <c r="U609" s="151">
        <f>Data!$E$122*U556</f>
        <v>0</v>
      </c>
      <c r="V609" s="151">
        <f>Data!$E$122*V556</f>
        <v>0</v>
      </c>
      <c r="W609" s="151">
        <f>Data!$E$122*W556</f>
        <v>0</v>
      </c>
      <c r="X609" s="151">
        <f>Data!$E$122*X556</f>
        <v>0</v>
      </c>
      <c r="Y609" s="151">
        <f>Data!$E$122*Y556</f>
        <v>0</v>
      </c>
      <c r="Z609" s="151">
        <f>Data!$E$122*Z556</f>
        <v>0</v>
      </c>
      <c r="AA609" s="151">
        <f>Data!$E$122*AA556</f>
        <v>0</v>
      </c>
      <c r="AB609" s="151">
        <f>Data!$E$122*AB556</f>
        <v>0</v>
      </c>
      <c r="AC609" s="151">
        <f>Data!$E$122*AC556</f>
        <v>0</v>
      </c>
      <c r="AD609" s="151">
        <f>Data!$E$122*AD556</f>
        <v>0</v>
      </c>
      <c r="AE609" s="151">
        <f>Data!$E$122*AE556</f>
        <v>0</v>
      </c>
      <c r="AF609" s="151">
        <f>Data!$E$122*AF556</f>
        <v>0</v>
      </c>
      <c r="AG609" s="151">
        <f>Data!$E$122*AG556</f>
        <v>0</v>
      </c>
      <c r="AH609" s="151">
        <f>Data!$E$122*AH556</f>
        <v>0</v>
      </c>
      <c r="AI609" s="151">
        <f>Data!$E$122*AI556</f>
        <v>0</v>
      </c>
      <c r="AJ609" s="151">
        <f>Data!$E$122*AJ556</f>
        <v>0</v>
      </c>
      <c r="AK609" s="151">
        <f>Data!$E$122*AK556</f>
        <v>0</v>
      </c>
      <c r="AL609" s="151">
        <f>Data!$E$122*AL556</f>
        <v>0</v>
      </c>
      <c r="AM609" s="151">
        <f>Data!$E$122*AM556</f>
        <v>0</v>
      </c>
      <c r="AN609" s="151">
        <f>Data!$E$122*AN556</f>
        <v>0</v>
      </c>
      <c r="AO609" s="151">
        <f>Data!$E$122*AO556</f>
        <v>0</v>
      </c>
      <c r="AP609" s="17"/>
    </row>
    <row r="610" spans="1:42" hidden="1" outlineLevel="1" x14ac:dyDescent="0.25">
      <c r="A610" s="12"/>
      <c r="B610" s="13"/>
      <c r="C610" s="44"/>
      <c r="D610" s="44"/>
      <c r="E610" s="15"/>
      <c r="F610" s="16"/>
      <c r="G610" s="14"/>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17"/>
    </row>
    <row r="611" spans="1:42" hidden="1" outlineLevel="1" x14ac:dyDescent="0.25">
      <c r="A611" s="12"/>
      <c r="B611" s="13"/>
      <c r="C611" s="44" t="s">
        <v>398</v>
      </c>
      <c r="D611" s="45"/>
      <c r="E611" s="15"/>
      <c r="F611" s="16"/>
      <c r="G611" s="14"/>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9"/>
    </row>
    <row r="612" spans="1:42" hidden="1" outlineLevel="1" x14ac:dyDescent="0.25">
      <c r="A612" s="12"/>
      <c r="B612" s="13"/>
      <c r="C612" s="45" t="s">
        <v>127</v>
      </c>
      <c r="D612" s="45"/>
      <c r="E612" s="15" t="s">
        <v>475</v>
      </c>
      <c r="F612" s="158" t="str">
        <f>Dashboard!$I$62</f>
        <v>Hilly (Gradient  6%)</v>
      </c>
      <c r="G612" s="14"/>
      <c r="H612" s="62"/>
      <c r="I612" s="181" cm="1">
        <f t="array" ref="I612">INDEX('Control panel'!$E$17:$E$19,MATCH($F$612,'Control panel'!$C$17:$C$19,0),0)</f>
        <v>2.0035308778415004</v>
      </c>
      <c r="J612" s="181" cm="1">
        <f t="array" ref="J612">INDEX('Control panel'!$E$17:$E$19,MATCH($F$612,'Control panel'!$C$17:$C$19,0),0)</f>
        <v>2.0035308778415004</v>
      </c>
      <c r="K612" s="181" cm="1">
        <f t="array" ref="K612">INDEX('Control panel'!$E$17:$E$19,MATCH($F$612,'Control panel'!$C$17:$C$19,0),0)</f>
        <v>2.0035308778415004</v>
      </c>
      <c r="L612" s="181" cm="1">
        <f t="array" ref="L612">INDEX('Control panel'!$E$17:$E$19,MATCH($F$612,'Control panel'!$C$17:$C$19,0),0)</f>
        <v>2.0035308778415004</v>
      </c>
      <c r="M612" s="181" cm="1">
        <f t="array" ref="M612">INDEX('Control panel'!$E$17:$E$19,MATCH($F$612,'Control panel'!$C$17:$C$19,0),0)</f>
        <v>2.0035308778415004</v>
      </c>
      <c r="N612" s="181" cm="1">
        <f t="array" ref="N612">INDEX('Control panel'!$E$17:$E$19,MATCH($F$612,'Control panel'!$C$17:$C$19,0),0)</f>
        <v>2.0035308778415004</v>
      </c>
      <c r="O612" s="181" cm="1">
        <f t="array" ref="O612">INDEX('Control panel'!$E$17:$E$19,MATCH($F$612,'Control panel'!$C$17:$C$19,0),0)</f>
        <v>2.0035308778415004</v>
      </c>
      <c r="P612" s="181" cm="1">
        <f t="array" ref="P612">INDEX('Control panel'!$E$17:$E$19,MATCH($F$612,'Control panel'!$C$17:$C$19,0),0)</f>
        <v>2.0035308778415004</v>
      </c>
      <c r="Q612" s="181" cm="1">
        <f t="array" ref="Q612">INDEX('Control panel'!$E$17:$E$19,MATCH($F$612,'Control panel'!$C$17:$C$19,0),0)</f>
        <v>2.0035308778415004</v>
      </c>
      <c r="R612" s="181" cm="1">
        <f t="array" ref="R612">INDEX('Control panel'!$E$17:$E$19,MATCH($F$612,'Control panel'!$C$17:$C$19,0),0)</f>
        <v>2.0035308778415004</v>
      </c>
      <c r="S612" s="181" cm="1">
        <f t="array" ref="S612">INDEX('Control panel'!$E$17:$E$19,MATCH($F$612,'Control panel'!$C$17:$C$19,0),0)</f>
        <v>2.0035308778415004</v>
      </c>
      <c r="T612" s="181" cm="1">
        <f t="array" ref="T612">INDEX('Control panel'!$E$17:$E$19,MATCH($F$612,'Control panel'!$C$17:$C$19,0),0)</f>
        <v>2.0035308778415004</v>
      </c>
      <c r="U612" s="181" cm="1">
        <f t="array" ref="U612">INDEX('Control panel'!$E$17:$E$19,MATCH($F$612,'Control panel'!$C$17:$C$19,0),0)</f>
        <v>2.0035308778415004</v>
      </c>
      <c r="V612" s="181" cm="1">
        <f t="array" ref="V612">INDEX('Control panel'!$E$17:$E$19,MATCH($F$612,'Control panel'!$C$17:$C$19,0),0)</f>
        <v>2.0035308778415004</v>
      </c>
      <c r="W612" s="181" cm="1">
        <f t="array" ref="W612">INDEX('Control panel'!$E$17:$E$19,MATCH($F$612,'Control panel'!$C$17:$C$19,0),0)</f>
        <v>2.0035308778415004</v>
      </c>
      <c r="X612" s="181" cm="1">
        <f t="array" ref="X612">INDEX('Control panel'!$E$17:$E$19,MATCH($F$612,'Control panel'!$C$17:$C$19,0),0)</f>
        <v>2.0035308778415004</v>
      </c>
      <c r="Y612" s="181" cm="1">
        <f t="array" ref="Y612">INDEX('Control panel'!$E$17:$E$19,MATCH($F$612,'Control panel'!$C$17:$C$19,0),0)</f>
        <v>2.0035308778415004</v>
      </c>
      <c r="Z612" s="181" cm="1">
        <f t="array" ref="Z612">INDEX('Control panel'!$E$17:$E$19,MATCH($F$612,'Control panel'!$C$17:$C$19,0),0)</f>
        <v>2.0035308778415004</v>
      </c>
      <c r="AA612" s="181" cm="1">
        <f t="array" ref="AA612">INDEX('Control panel'!$E$17:$E$19,MATCH($F$612,'Control panel'!$C$17:$C$19,0),0)</f>
        <v>2.0035308778415004</v>
      </c>
      <c r="AB612" s="181" cm="1">
        <f t="array" ref="AB612">INDEX('Control panel'!$E$17:$E$19,MATCH($F$612,'Control panel'!$C$17:$C$19,0),0)</f>
        <v>2.0035308778415004</v>
      </c>
      <c r="AC612" s="181" cm="1">
        <f t="array" ref="AC612">INDEX('Control panel'!$E$17:$E$19,MATCH($F$612,'Control panel'!$C$17:$C$19,0),0)</f>
        <v>2.0035308778415004</v>
      </c>
      <c r="AD612" s="181" cm="1">
        <f t="array" ref="AD612">INDEX('Control panel'!$E$17:$E$19,MATCH($F$612,'Control panel'!$C$17:$C$19,0),0)</f>
        <v>2.0035308778415004</v>
      </c>
      <c r="AE612" s="181" cm="1">
        <f t="array" ref="AE612">INDEX('Control panel'!$E$17:$E$19,MATCH($F$612,'Control panel'!$C$17:$C$19,0),0)</f>
        <v>2.0035308778415004</v>
      </c>
      <c r="AF612" s="181" cm="1">
        <f t="array" ref="AF612">INDEX('Control panel'!$E$17:$E$19,MATCH($F$612,'Control panel'!$C$17:$C$19,0),0)</f>
        <v>2.0035308778415004</v>
      </c>
      <c r="AG612" s="181" cm="1">
        <f t="array" ref="AG612">INDEX('Control panel'!$E$17:$E$19,MATCH($F$612,'Control panel'!$C$17:$C$19,0),0)</f>
        <v>2.0035308778415004</v>
      </c>
      <c r="AH612" s="181" cm="1">
        <f t="array" ref="AH612">INDEX('Control panel'!$E$17:$E$19,MATCH($F$612,'Control panel'!$C$17:$C$19,0),0)</f>
        <v>2.0035308778415004</v>
      </c>
      <c r="AI612" s="181" cm="1">
        <f t="array" ref="AI612">INDEX('Control panel'!$E$17:$E$19,MATCH($F$612,'Control panel'!$C$17:$C$19,0),0)</f>
        <v>2.0035308778415004</v>
      </c>
      <c r="AJ612" s="181" cm="1">
        <f t="array" ref="AJ612">INDEX('Control panel'!$E$17:$E$19,MATCH($F$612,'Control panel'!$C$17:$C$19,0),0)</f>
        <v>2.0035308778415004</v>
      </c>
      <c r="AK612" s="181" cm="1">
        <f t="array" ref="AK612">INDEX('Control panel'!$E$17:$E$19,MATCH($F$612,'Control panel'!$C$17:$C$19,0),0)</f>
        <v>2.0035308778415004</v>
      </c>
      <c r="AL612" s="181" cm="1">
        <f t="array" ref="AL612">INDEX('Control panel'!$E$17:$E$19,MATCH($F$612,'Control panel'!$C$17:$C$19,0),0)</f>
        <v>2.0035308778415004</v>
      </c>
      <c r="AM612" s="181" cm="1">
        <f t="array" ref="AM612">INDEX('Control panel'!$E$17:$E$19,MATCH($F$612,'Control panel'!$C$17:$C$19,0),0)</f>
        <v>2.0035308778415004</v>
      </c>
      <c r="AN612" s="181" cm="1">
        <f t="array" ref="AN612">INDEX('Control panel'!$E$17:$E$19,MATCH($F$612,'Control panel'!$C$17:$C$19,0),0)</f>
        <v>2.0035308778415004</v>
      </c>
      <c r="AO612" s="181" cm="1">
        <f t="array" ref="AO612">INDEX('Control panel'!$E$17:$E$19,MATCH($F$612,'Control panel'!$C$17:$C$19,0),0)</f>
        <v>2.0035308778415004</v>
      </c>
      <c r="AP612" s="29"/>
    </row>
    <row r="613" spans="1:42" hidden="1" outlineLevel="1" x14ac:dyDescent="0.25">
      <c r="A613" s="12"/>
      <c r="B613" s="13"/>
      <c r="C613" s="45" t="s">
        <v>120</v>
      </c>
      <c r="D613" s="45"/>
      <c r="E613" s="15" t="s">
        <v>318</v>
      </c>
      <c r="F613" s="158" t="str">
        <f>Dashboard!$I$63</f>
        <v>3 Axle Double Decker Bus</v>
      </c>
      <c r="G613" s="14"/>
      <c r="H613" s="62"/>
      <c r="I613" s="177">
        <f>IF($C$613=$F$613,I556*Data!$E$129*Data!H$61,0)*(1+I612)*(1+Data!$E$93)</f>
        <v>0</v>
      </c>
      <c r="J613" s="177">
        <f>IF($C$613=$F$613,J556*Data!$E$129*Data!I$61,0)*(1+J612)*(1+Data!$E$93)</f>
        <v>0</v>
      </c>
      <c r="K613" s="177">
        <f>IF($C$613=$F$613,K556*Data!$E$129*Data!J$61,0)*(1+K612)*(1+Data!$E$93)</f>
        <v>0</v>
      </c>
      <c r="L613" s="177">
        <f>IF($C$613=$F$613,L556*Data!$E$129*Data!K$61,0)*(1+L612)*(1+Data!$E$93)</f>
        <v>0</v>
      </c>
      <c r="M613" s="177">
        <f>IF($C$613=$F$613,M556*Data!$E$129*Data!L$61,0)*(1+M612)*(1+Data!$E$93)</f>
        <v>0</v>
      </c>
      <c r="N613" s="177">
        <f>IF($C$613=$F$613,N556*Data!$E$129*Data!M$61,0)*(1+N612)*(1+Data!$E$93)</f>
        <v>0</v>
      </c>
      <c r="O613" s="177">
        <f>IF($C$613=$F$613,O556*Data!$E$129*Data!N$61,0)*(1+O612)*(1+Data!$E$93)</f>
        <v>0</v>
      </c>
      <c r="P613" s="177">
        <f>IF($C$613=$F$613,P556*Data!$E$129*Data!O$61,0)*(1+P612)*(1+Data!$E$93)</f>
        <v>0</v>
      </c>
      <c r="Q613" s="177">
        <f>IF($C$613=$F$613,Q556*Data!$E$129*Data!P$61,0)*(1+Q612)*(1+Data!$E$93)</f>
        <v>0</v>
      </c>
      <c r="R613" s="177">
        <f>IF($C$613=$F$613,R556*Data!$E$129*Data!Q$61,0)*(1+R612)*(1+Data!$E$93)</f>
        <v>0</v>
      </c>
      <c r="S613" s="177">
        <f>IF($C$613=$F$613,S556*Data!$E$129*Data!R$61,0)*(1+S612)*(1+Data!$E$93)</f>
        <v>0</v>
      </c>
      <c r="T613" s="177">
        <f>IF($C$613=$F$613,T556*Data!$E$129*Data!S$61,0)*(1+T612)*(1+Data!$E$93)</f>
        <v>0</v>
      </c>
      <c r="U613" s="177">
        <f>IF($C$613=$F$613,U556*Data!$E$129*Data!T$61,0)*(1+U612)*(1+Data!$E$93)</f>
        <v>0</v>
      </c>
      <c r="V613" s="177">
        <f>IF($C$613=$F$613,V556*Data!$E$129*Data!U$61,0)*(1+V612)*(1+Data!$E$93)</f>
        <v>0</v>
      </c>
      <c r="W613" s="177">
        <f>IF($C$613=$F$613,W556*Data!$E$129*Data!V$61,0)*(1+W612)*(1+Data!$E$93)</f>
        <v>0</v>
      </c>
      <c r="X613" s="177">
        <f>IF($C$613=$F$613,X556*Data!$E$129*Data!W$61,0)*(1+X612)*(1+Data!$E$93)</f>
        <v>0</v>
      </c>
      <c r="Y613" s="177">
        <f>IF($C$613=$F$613,Y556*Data!$E$129*Data!X$61,0)*(1+Y612)*(1+Data!$E$93)</f>
        <v>0</v>
      </c>
      <c r="Z613" s="177">
        <f>IF($C$613=$F$613,Z556*Data!$E$129*Data!Y$61,0)*(1+Z612)*(1+Data!$E$93)</f>
        <v>0</v>
      </c>
      <c r="AA613" s="177">
        <f>IF($C$613=$F$613,AA556*Data!$E$129*Data!Z$61,0)*(1+AA612)*(1+Data!$E$93)</f>
        <v>0</v>
      </c>
      <c r="AB613" s="177">
        <f>IF($C$613=$F$613,AB556*Data!$E$129*Data!AA$61,0)*(1+AB612)*(1+Data!$E$93)</f>
        <v>0</v>
      </c>
      <c r="AC613" s="177">
        <f>IF($C$613=$F$613,AC556*Data!$E$129*Data!AB$61,0)*(1+AC612)*(1+Data!$E$93)</f>
        <v>0</v>
      </c>
      <c r="AD613" s="177">
        <f>IF($C$613=$F$613,AD556*Data!$E$129*Data!AC$61,0)*(1+AD612)*(1+Data!$E$93)</f>
        <v>0</v>
      </c>
      <c r="AE613" s="177">
        <f>IF($C$613=$F$613,AE556*Data!$E$129*Data!AD$61,0)*(1+AE612)*(1+Data!$E$93)</f>
        <v>0</v>
      </c>
      <c r="AF613" s="177">
        <f>IF($C$613=$F$613,AF556*Data!$E$129*Data!AE$61,0)*(1+AF612)*(1+Data!$E$93)</f>
        <v>0</v>
      </c>
      <c r="AG613" s="177">
        <f>IF($C$613=$F$613,AG556*Data!$E$129*Data!AF$61,0)*(1+AG612)*(1+Data!$E$93)</f>
        <v>0</v>
      </c>
      <c r="AH613" s="177">
        <f>IF($C$613=$F$613,AH556*Data!$E$129*Data!AG$61,0)*(1+AH612)*(1+Data!$E$93)</f>
        <v>0</v>
      </c>
      <c r="AI613" s="177">
        <f>IF($C$613=$F$613,AI556*Data!$E$129*Data!AH$61,0)*(1+AI612)*(1+Data!$E$93)</f>
        <v>0</v>
      </c>
      <c r="AJ613" s="177">
        <f>IF($C$613=$F$613,AJ556*Data!$E$129*Data!AI$61,0)*(1+AJ612)*(1+Data!$E$93)</f>
        <v>0</v>
      </c>
      <c r="AK613" s="177">
        <f>IF($C$613=$F$613,AK556*Data!$E$129*Data!AJ$61,0)*(1+AK612)*(1+Data!$E$93)</f>
        <v>0</v>
      </c>
      <c r="AL613" s="177">
        <f>IF($C$613=$F$613,AL556*Data!$E$129*Data!AK$61,0)*(1+AL612)*(1+Data!$E$93)</f>
        <v>0</v>
      </c>
      <c r="AM613" s="177">
        <f>IF($C$613=$F$613,AM556*Data!$E$129*Data!AL$61,0)*(1+AM612)*(1+Data!$E$93)</f>
        <v>0</v>
      </c>
      <c r="AN613" s="177">
        <f>IF($C$613=$F$613,AN556*Data!$E$129*Data!AM$61,0)*(1+AN612)*(1+Data!$E$93)</f>
        <v>0</v>
      </c>
      <c r="AO613" s="177">
        <f>IF($C$613=$F$613,AO556*Data!$E$129*Data!AN$61,0)*(1+AO612)*(1+Data!$E$93)</f>
        <v>0</v>
      </c>
      <c r="AP613" s="29"/>
    </row>
    <row r="614" spans="1:42" hidden="1" outlineLevel="1" x14ac:dyDescent="0.25">
      <c r="A614" s="12"/>
      <c r="B614" s="13"/>
      <c r="C614" s="45" t="s">
        <v>124</v>
      </c>
      <c r="D614" s="45"/>
      <c r="E614" s="15" t="s">
        <v>318</v>
      </c>
      <c r="F614" s="158" t="str">
        <f>Dashboard!$I$63</f>
        <v>3 Axle Double Decker Bus</v>
      </c>
      <c r="G614" s="14"/>
      <c r="H614" s="62"/>
      <c r="I614" s="177">
        <f>IF($C$614=$F$614,I556*Data!$E$130*Data!H$61,0)*(1+I612)*(1+Data!$E$93)</f>
        <v>0</v>
      </c>
      <c r="J614" s="177">
        <f>IF($C$614=$F$614,J556*Data!$E$130*Data!I$61,0)*(1+J612)*(1+Data!$E$93)</f>
        <v>0</v>
      </c>
      <c r="K614" s="177">
        <f>IF($C$614=$F$614,K556*Data!$E$130*Data!J$61,0)*(1+K612)*(1+Data!$E$93)</f>
        <v>0</v>
      </c>
      <c r="L614" s="177">
        <f>IF($C$614=$F$614,L556*Data!$E$130*Data!K$61,0)*(1+L612)*(1+Data!$E$93)</f>
        <v>0</v>
      </c>
      <c r="M614" s="177">
        <f>IF($C$614=$F$614,M556*Data!$E$130*Data!L$61,0)*(1+M612)*(1+Data!$E$93)</f>
        <v>0</v>
      </c>
      <c r="N614" s="177">
        <f>IF($C$614=$F$614,N556*Data!$E$130*Data!M$61,0)*(1+N612)*(1+Data!$E$93)</f>
        <v>0</v>
      </c>
      <c r="O614" s="177">
        <f>IF($C$614=$F$614,O556*Data!$E$130*Data!N$61,0)*(1+O612)*(1+Data!$E$93)</f>
        <v>0</v>
      </c>
      <c r="P614" s="177">
        <f>IF($C$614=$F$614,P556*Data!$E$130*Data!O$61,0)*(1+P612)*(1+Data!$E$93)</f>
        <v>0</v>
      </c>
      <c r="Q614" s="177">
        <f>IF($C$614=$F$614,Q556*Data!$E$130*Data!P$61,0)*(1+Q612)*(1+Data!$E$93)</f>
        <v>0</v>
      </c>
      <c r="R614" s="177">
        <f>IF($C$614=$F$614,R556*Data!$E$130*Data!Q$61,0)*(1+R612)*(1+Data!$E$93)</f>
        <v>0</v>
      </c>
      <c r="S614" s="177">
        <f>IF($C$614=$F$614,S556*Data!$E$130*Data!R$61,0)*(1+S612)*(1+Data!$E$93)</f>
        <v>0</v>
      </c>
      <c r="T614" s="177">
        <f>IF($C$614=$F$614,T556*Data!$E$130*Data!S$61,0)*(1+T612)*(1+Data!$E$93)</f>
        <v>0</v>
      </c>
      <c r="U614" s="177">
        <f>IF($C$614=$F$614,U556*Data!$E$130*Data!T$61,0)*(1+U612)*(1+Data!$E$93)</f>
        <v>0</v>
      </c>
      <c r="V614" s="177">
        <f>IF($C$614=$F$614,V556*Data!$E$130*Data!U$61,0)*(1+V612)*(1+Data!$E$93)</f>
        <v>0</v>
      </c>
      <c r="W614" s="177">
        <f>IF($C$614=$F$614,W556*Data!$E$130*Data!V$61,0)*(1+W612)*(1+Data!$E$93)</f>
        <v>0</v>
      </c>
      <c r="X614" s="177">
        <f>IF($C$614=$F$614,X556*Data!$E$130*Data!W$61,0)*(1+X612)*(1+Data!$E$93)</f>
        <v>0</v>
      </c>
      <c r="Y614" s="177">
        <f>IF($C$614=$F$614,Y556*Data!$E$130*Data!X$61,0)*(1+Y612)*(1+Data!$E$93)</f>
        <v>0</v>
      </c>
      <c r="Z614" s="177">
        <f>IF($C$614=$F$614,Z556*Data!$E$130*Data!Y$61,0)*(1+Z612)*(1+Data!$E$93)</f>
        <v>0</v>
      </c>
      <c r="AA614" s="177">
        <f>IF($C$614=$F$614,AA556*Data!$E$130*Data!Z$61,0)*(1+AA612)*(1+Data!$E$93)</f>
        <v>0</v>
      </c>
      <c r="AB614" s="177">
        <f>IF($C$614=$F$614,AB556*Data!$E$130*Data!AA$61,0)*(1+AB612)*(1+Data!$E$93)</f>
        <v>0</v>
      </c>
      <c r="AC614" s="177">
        <f>IF($C$614=$F$614,AC556*Data!$E$130*Data!AB$61,0)*(1+AC612)*(1+Data!$E$93)</f>
        <v>0</v>
      </c>
      <c r="AD614" s="177">
        <f>IF($C$614=$F$614,AD556*Data!$E$130*Data!AC$61,0)*(1+AD612)*(1+Data!$E$93)</f>
        <v>0</v>
      </c>
      <c r="AE614" s="177">
        <f>IF($C$614=$F$614,AE556*Data!$E$130*Data!AD$61,0)*(1+AE612)*(1+Data!$E$93)</f>
        <v>0</v>
      </c>
      <c r="AF614" s="177">
        <f>IF($C$614=$F$614,AF556*Data!$E$130*Data!AE$61,0)*(1+AF612)*(1+Data!$E$93)</f>
        <v>0</v>
      </c>
      <c r="AG614" s="177">
        <f>IF($C$614=$F$614,AG556*Data!$E$130*Data!AF$61,0)*(1+AG612)*(1+Data!$E$93)</f>
        <v>0</v>
      </c>
      <c r="AH614" s="177">
        <f>IF($C$614=$F$614,AH556*Data!$E$130*Data!AG$61,0)*(1+AH612)*(1+Data!$E$93)</f>
        <v>0</v>
      </c>
      <c r="AI614" s="177">
        <f>IF($C$614=$F$614,AI556*Data!$E$130*Data!AH$61,0)*(1+AI612)*(1+Data!$E$93)</f>
        <v>0</v>
      </c>
      <c r="AJ614" s="177">
        <f>IF($C$614=$F$614,AJ556*Data!$E$130*Data!AI$61,0)*(1+AJ612)*(1+Data!$E$93)</f>
        <v>0</v>
      </c>
      <c r="AK614" s="177">
        <f>IF($C$614=$F$614,AK556*Data!$E$130*Data!AJ$61,0)*(1+AK612)*(1+Data!$E$93)</f>
        <v>0</v>
      </c>
      <c r="AL614" s="177">
        <f>IF($C$614=$F$614,AL556*Data!$E$130*Data!AK$61,0)*(1+AL612)*(1+Data!$E$93)</f>
        <v>0</v>
      </c>
      <c r="AM614" s="177">
        <f>IF($C$614=$F$614,AM556*Data!$E$130*Data!AL$61,0)*(1+AM612)*(1+Data!$E$93)</f>
        <v>0</v>
      </c>
      <c r="AN614" s="177">
        <f>IF($C$614=$F$614,AN556*Data!$E$130*Data!AM$61,0)*(1+AN612)*(1+Data!$E$93)</f>
        <v>0</v>
      </c>
      <c r="AO614" s="177">
        <f>IF($C$614=$F$614,AO556*Data!$E$130*Data!AN$61,0)*(1+AO612)*(1+Data!$E$93)</f>
        <v>0</v>
      </c>
      <c r="AP614" s="29"/>
    </row>
    <row r="615" spans="1:42" hidden="1" outlineLevel="1" x14ac:dyDescent="0.25">
      <c r="A615" s="12"/>
      <c r="B615" s="13"/>
      <c r="C615" s="45" t="s">
        <v>126</v>
      </c>
      <c r="D615" s="45"/>
      <c r="E615" s="15" t="s">
        <v>318</v>
      </c>
      <c r="F615" s="158" t="str">
        <f>Dashboard!$I$63</f>
        <v>3 Axle Double Decker Bus</v>
      </c>
      <c r="G615" s="14"/>
      <c r="H615" s="62"/>
      <c r="I615" s="177">
        <f>IF($C$615=$F$615,I556*Data!$E$131*Data!H$61,0)*(1+I612)*(1+Data!$E$93)</f>
        <v>311318.20722393208</v>
      </c>
      <c r="J615" s="177">
        <f>IF($C$615=$F$615,J556*Data!$E$131*Data!I$61,0)*(1+J612)*(1+Data!$E$93)</f>
        <v>248699.82419059781</v>
      </c>
      <c r="K615" s="177">
        <f>IF($C$615=$F$615,K556*Data!$E$131*Data!J$61,0)*(1+K612)*(1+Data!$E$93)</f>
        <v>248699.82419059781</v>
      </c>
      <c r="L615" s="177">
        <f>IF($C$615=$F$615,L556*Data!$E$131*Data!K$61,0)*(1+L612)*(1+Data!$E$93)</f>
        <v>248699.82419059781</v>
      </c>
      <c r="M615" s="177">
        <f>IF($C$615=$F$615,M556*Data!$E$131*Data!L$61,0)*(1+M612)*(1+Data!$E$93)</f>
        <v>248699.82419059781</v>
      </c>
      <c r="N615" s="177">
        <f>IF($C$615=$F$615,N556*Data!$E$131*Data!M$61,0)*(1+N612)*(1+Data!$E$93)</f>
        <v>248699.82419059781</v>
      </c>
      <c r="O615" s="177">
        <f>IF($C$615=$F$615,O556*Data!$E$131*Data!N$61,0)*(1+O612)*(1+Data!$E$93)</f>
        <v>248699.82419059781</v>
      </c>
      <c r="P615" s="177">
        <f>IF($C$615=$F$615,P556*Data!$E$131*Data!O$61,0)*(1+P612)*(1+Data!$E$93)</f>
        <v>248699.82419059781</v>
      </c>
      <c r="Q615" s="177">
        <f>IF($C$615=$F$615,Q556*Data!$E$131*Data!P$61,0)*(1+Q612)*(1+Data!$E$93)</f>
        <v>248699.82419059781</v>
      </c>
      <c r="R615" s="177">
        <f>IF($C$615=$F$615,R556*Data!$E$131*Data!Q$61,0)*(1+R612)*(1+Data!$E$93)</f>
        <v>248699.82419059781</v>
      </c>
      <c r="S615" s="177">
        <f>IF($C$615=$F$615,S556*Data!$E$131*Data!R$61,0)*(1+S612)*(1+Data!$E$93)</f>
        <v>248699.82419059781</v>
      </c>
      <c r="T615" s="177">
        <f>IF($C$615=$F$615,T556*Data!$E$131*Data!S$61,0)*(1+T612)*(1+Data!$E$93)</f>
        <v>248699.82419059781</v>
      </c>
      <c r="U615" s="177">
        <f>IF($C$615=$F$615,U556*Data!$E$131*Data!T$61,0)*(1+U612)*(1+Data!$E$93)</f>
        <v>0</v>
      </c>
      <c r="V615" s="177">
        <f>IF($C$615=$F$615,V556*Data!$E$131*Data!U$61,0)*(1+V612)*(1+Data!$E$93)</f>
        <v>0</v>
      </c>
      <c r="W615" s="177">
        <f>IF($C$615=$F$615,W556*Data!$E$131*Data!V$61,0)*(1+W612)*(1+Data!$E$93)</f>
        <v>0</v>
      </c>
      <c r="X615" s="177">
        <f>IF($C$615=$F$615,X556*Data!$E$131*Data!W$61,0)*(1+X612)*(1+Data!$E$93)</f>
        <v>0</v>
      </c>
      <c r="Y615" s="177">
        <f>IF($C$615=$F$615,Y556*Data!$E$131*Data!X$61,0)*(1+Y612)*(1+Data!$E$93)</f>
        <v>0</v>
      </c>
      <c r="Z615" s="177">
        <f>IF($C$615=$F$615,Z556*Data!$E$131*Data!Y$61,0)*(1+Z612)*(1+Data!$E$93)</f>
        <v>0</v>
      </c>
      <c r="AA615" s="177">
        <f>IF($C$615=$F$615,AA556*Data!$E$131*Data!Z$61,0)*(1+AA612)*(1+Data!$E$93)</f>
        <v>0</v>
      </c>
      <c r="AB615" s="177">
        <f>IF($C$615=$F$615,AB556*Data!$E$131*Data!AA$61,0)*(1+AB612)*(1+Data!$E$93)</f>
        <v>0</v>
      </c>
      <c r="AC615" s="177">
        <f>IF($C$615=$F$615,AC556*Data!$E$131*Data!AB$61,0)*(1+AC612)*(1+Data!$E$93)</f>
        <v>0</v>
      </c>
      <c r="AD615" s="177">
        <f>IF($C$615=$F$615,AD556*Data!$E$131*Data!AC$61,0)*(1+AD612)*(1+Data!$E$93)</f>
        <v>0</v>
      </c>
      <c r="AE615" s="177">
        <f>IF($C$615=$F$615,AE556*Data!$E$131*Data!AD$61,0)*(1+AE612)*(1+Data!$E$93)</f>
        <v>0</v>
      </c>
      <c r="AF615" s="177">
        <f>IF($C$615=$F$615,AF556*Data!$E$131*Data!AE$61,0)*(1+AF612)*(1+Data!$E$93)</f>
        <v>0</v>
      </c>
      <c r="AG615" s="177">
        <f>IF($C$615=$F$615,AG556*Data!$E$131*Data!AF$61,0)*(1+AG612)*(1+Data!$E$93)</f>
        <v>0</v>
      </c>
      <c r="AH615" s="177">
        <f>IF($C$615=$F$615,AH556*Data!$E$131*Data!AG$61,0)*(1+AH612)*(1+Data!$E$93)</f>
        <v>0</v>
      </c>
      <c r="AI615" s="177">
        <f>IF($C$615=$F$615,AI556*Data!$E$131*Data!AH$61,0)*(1+AI612)*(1+Data!$E$93)</f>
        <v>0</v>
      </c>
      <c r="AJ615" s="177">
        <f>IF($C$615=$F$615,AJ556*Data!$E$131*Data!AI$61,0)*(1+AJ612)*(1+Data!$E$93)</f>
        <v>0</v>
      </c>
      <c r="AK615" s="177">
        <f>IF($C$615=$F$615,AK556*Data!$E$131*Data!AJ$61,0)*(1+AK612)*(1+Data!$E$93)</f>
        <v>0</v>
      </c>
      <c r="AL615" s="177">
        <f>IF($C$615=$F$615,AL556*Data!$E$131*Data!AK$61,0)*(1+AL612)*(1+Data!$E$93)</f>
        <v>0</v>
      </c>
      <c r="AM615" s="177">
        <f>IF($C$615=$F$615,AM556*Data!$E$131*Data!AL$61,0)*(1+AM612)*(1+Data!$E$93)</f>
        <v>0</v>
      </c>
      <c r="AN615" s="177">
        <f>IF($C$615=$F$615,AN556*Data!$E$131*Data!AM$61,0)*(1+AN612)*(1+Data!$E$93)</f>
        <v>0</v>
      </c>
      <c r="AO615" s="177">
        <f>IF($C$615=$F$615,AO556*Data!$E$131*Data!AN$61,0)*(1+AO612)*(1+Data!$E$93)</f>
        <v>0</v>
      </c>
      <c r="AP615" s="17"/>
    </row>
    <row r="616" spans="1:42" hidden="1" outlineLevel="1" x14ac:dyDescent="0.25">
      <c r="A616" s="12"/>
      <c r="B616" s="13"/>
      <c r="C616" s="19" t="s">
        <v>476</v>
      </c>
      <c r="D616" s="45"/>
      <c r="E616" s="15"/>
      <c r="F616" s="158"/>
      <c r="G616" s="14"/>
      <c r="H616" s="28"/>
      <c r="I616" s="182">
        <f>SUM(I604:I606)+I609+I608+SUM(I613:I615)</f>
        <v>505508.79008107493</v>
      </c>
      <c r="J616" s="182">
        <f t="shared" ref="J616:AN616" si="154">SUM(J604:J606)+J609+J608+SUM(J613:J615)</f>
        <v>442890.40704774065</v>
      </c>
      <c r="K616" s="182">
        <f t="shared" si="154"/>
        <v>442890.40704774065</v>
      </c>
      <c r="L616" s="182">
        <f t="shared" si="154"/>
        <v>442890.40704774065</v>
      </c>
      <c r="M616" s="182">
        <f t="shared" si="154"/>
        <v>442890.40704774065</v>
      </c>
      <c r="N616" s="182">
        <f t="shared" si="154"/>
        <v>442890.40704774065</v>
      </c>
      <c r="O616" s="182">
        <f t="shared" si="154"/>
        <v>442890.40704774065</v>
      </c>
      <c r="P616" s="182">
        <f t="shared" si="154"/>
        <v>442890.40704774065</v>
      </c>
      <c r="Q616" s="182">
        <f t="shared" si="154"/>
        <v>442890.40704774065</v>
      </c>
      <c r="R616" s="182">
        <f t="shared" si="154"/>
        <v>442890.40704774065</v>
      </c>
      <c r="S616" s="182">
        <f t="shared" si="154"/>
        <v>442890.40704774065</v>
      </c>
      <c r="T616" s="182">
        <f t="shared" si="154"/>
        <v>442890.40704774065</v>
      </c>
      <c r="U616" s="182">
        <f t="shared" si="154"/>
        <v>0</v>
      </c>
      <c r="V616" s="182">
        <f t="shared" si="154"/>
        <v>0</v>
      </c>
      <c r="W616" s="182">
        <f t="shared" si="154"/>
        <v>0</v>
      </c>
      <c r="X616" s="182">
        <f t="shared" si="154"/>
        <v>0</v>
      </c>
      <c r="Y616" s="182">
        <f t="shared" si="154"/>
        <v>0</v>
      </c>
      <c r="Z616" s="182">
        <f t="shared" si="154"/>
        <v>0</v>
      </c>
      <c r="AA616" s="182">
        <f t="shared" si="154"/>
        <v>0</v>
      </c>
      <c r="AB616" s="182">
        <f t="shared" si="154"/>
        <v>0</v>
      </c>
      <c r="AC616" s="182">
        <f t="shared" si="154"/>
        <v>0</v>
      </c>
      <c r="AD616" s="182">
        <f t="shared" si="154"/>
        <v>0</v>
      </c>
      <c r="AE616" s="182">
        <f t="shared" si="154"/>
        <v>0</v>
      </c>
      <c r="AF616" s="182">
        <f t="shared" si="154"/>
        <v>0</v>
      </c>
      <c r="AG616" s="182">
        <f t="shared" si="154"/>
        <v>0</v>
      </c>
      <c r="AH616" s="182">
        <f t="shared" si="154"/>
        <v>0</v>
      </c>
      <c r="AI616" s="182">
        <f t="shared" si="154"/>
        <v>0</v>
      </c>
      <c r="AJ616" s="182">
        <f t="shared" si="154"/>
        <v>0</v>
      </c>
      <c r="AK616" s="182">
        <f t="shared" si="154"/>
        <v>0</v>
      </c>
      <c r="AL616" s="182">
        <f t="shared" si="154"/>
        <v>0</v>
      </c>
      <c r="AM616" s="182">
        <f t="shared" si="154"/>
        <v>0</v>
      </c>
      <c r="AN616" s="182">
        <f t="shared" si="154"/>
        <v>0</v>
      </c>
      <c r="AO616" s="182">
        <f>SUM(AO604:AO606)+AO609+AO608+SUM(AO613:AO615)</f>
        <v>0</v>
      </c>
      <c r="AP616" s="29"/>
    </row>
    <row r="617" spans="1:42" hidden="1" outlineLevel="1" x14ac:dyDescent="0.25">
      <c r="A617" s="12"/>
      <c r="B617" s="13"/>
      <c r="C617" s="96"/>
      <c r="D617" s="45"/>
      <c r="E617" s="15"/>
      <c r="F617" s="158"/>
      <c r="G617" s="14"/>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9"/>
    </row>
    <row r="618" spans="1:42" hidden="1" outlineLevel="1" x14ac:dyDescent="0.25">
      <c r="A618" s="12"/>
      <c r="B618" s="13"/>
      <c r="C618" s="37" t="s">
        <v>477</v>
      </c>
      <c r="D618" s="37"/>
      <c r="E618" s="38"/>
      <c r="F618" s="39"/>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17"/>
    </row>
    <row r="619" spans="1:42" s="140" customFormat="1" collapsed="1" x14ac:dyDescent="0.25">
      <c r="A619" s="78"/>
      <c r="B619" s="19"/>
      <c r="C619" s="44" t="s">
        <v>249</v>
      </c>
      <c r="D619" s="44"/>
      <c r="E619" s="21" t="s">
        <v>142</v>
      </c>
      <c r="F619" s="375" t="str">
        <f>Dashboard!I63</f>
        <v>3 Axle Double Decker Bus</v>
      </c>
      <c r="G619" s="20"/>
      <c r="H619" s="49"/>
      <c r="I619" s="182">
        <f>-IF(COUNT($I$3:I$3)=(Dashboard!$I$31+1),INDEX(Data!$E$99:$E$101,MATCH($F$619,Data!$B$99:$B$101,0)),0)</f>
        <v>0</v>
      </c>
      <c r="J619" s="182">
        <f>-IF(COUNT($I$3:J$3)=(Dashboard!$I$31+1),INDEX(Data!$E$99:$E$101,MATCH($F$619,Data!$B$99:$B$101,0)),0)</f>
        <v>0</v>
      </c>
      <c r="K619" s="182">
        <f>-IF(COUNT($I$3:K$3)=(Dashboard!$I$31+1),INDEX(Data!$E$99:$E$101,MATCH($F$619,Data!$B$99:$B$101,0)),0)</f>
        <v>0</v>
      </c>
      <c r="L619" s="182">
        <f>-IF(COUNT($I$3:L$3)=(Dashboard!$I$31+1),INDEX(Data!$E$99:$E$101,MATCH($F$619,Data!$B$99:$B$101,0)),0)</f>
        <v>0</v>
      </c>
      <c r="M619" s="182">
        <f>-IF(COUNT($I$3:M$3)=(Dashboard!$I$31+1),INDEX(Data!$E$99:$E$101,MATCH($F$619,Data!$B$99:$B$101,0)),0)</f>
        <v>0</v>
      </c>
      <c r="N619" s="182">
        <f>-IF(COUNT($I$3:N$3)=(Dashboard!$I$31+1),INDEX(Data!$E$99:$E$101,MATCH($F$619,Data!$B$99:$B$101,0)),0)</f>
        <v>0</v>
      </c>
      <c r="O619" s="182">
        <f>-IF(COUNT($I$3:O$3)=(Dashboard!$I$31+1),INDEX(Data!$E$99:$E$101,MATCH($F$619,Data!$B$99:$B$101,0)),0)</f>
        <v>0</v>
      </c>
      <c r="P619" s="182">
        <f>-IF(COUNT($I$3:P$3)=(Dashboard!$I$31+1),INDEX(Data!$E$99:$E$101,MATCH($F$619,Data!$B$99:$B$101,0)),0)</f>
        <v>0</v>
      </c>
      <c r="Q619" s="182">
        <f>-IF(COUNT($I$3:Q$3)=(Dashboard!$I$31+1),INDEX(Data!$E$99:$E$101,MATCH($F$619,Data!$B$99:$B$101,0)),0)</f>
        <v>0</v>
      </c>
      <c r="R619" s="182">
        <f>-IF(COUNT($I$3:R$3)=(Dashboard!$I$31+1),INDEX(Data!$E$99:$E$101,MATCH($F$619,Data!$B$99:$B$101,0)),0)</f>
        <v>0</v>
      </c>
      <c r="S619" s="182">
        <f>-IF(COUNT($I$3:S$3)=(Dashboard!$I$31+1),INDEX(Data!$E$99:$E$101,MATCH($F$619,Data!$B$99:$B$101,0)),0)</f>
        <v>0</v>
      </c>
      <c r="T619" s="182">
        <f>-IF(COUNT($I$3:T$3)=(Dashboard!$I$31+1),INDEX(Data!$E$99:$E$101,MATCH($F$619,Data!$B$99:$B$101,0)),0)</f>
        <v>0</v>
      </c>
      <c r="U619" s="182">
        <f>-IF(COUNT($I$3:U$3)=(Dashboard!$I$31+1),INDEX(Data!$E$99:$E$101,MATCH($F$619,Data!$B$99:$B$101,0)),0)</f>
        <v>-105000</v>
      </c>
      <c r="V619" s="182">
        <f>-IF(COUNT($I$3:V$3)=(Dashboard!$I$31+1),INDEX(Data!$E$99:$E$101,MATCH($F$619,Data!$B$99:$B$101,0)),0)</f>
        <v>0</v>
      </c>
      <c r="W619" s="182">
        <f>-IF(COUNT($I$3:W$3)=(Dashboard!$I$31+1),INDEX(Data!$E$99:$E$101,MATCH($F$619,Data!$B$99:$B$101,0)),0)</f>
        <v>0</v>
      </c>
      <c r="X619" s="182">
        <f>-IF(COUNT($I$3:X$3)=(Dashboard!$I$31+1),INDEX(Data!$E$99:$E$101,MATCH($F$619,Data!$B$99:$B$101,0)),0)</f>
        <v>0</v>
      </c>
      <c r="Y619" s="182">
        <f>-IF(COUNT($I$3:Y$3)=(Dashboard!$I$31+1),INDEX(Data!$E$99:$E$101,MATCH($F$619,Data!$B$99:$B$101,0)),0)</f>
        <v>0</v>
      </c>
      <c r="Z619" s="182">
        <f>-IF(COUNT($I$3:Z$3)=(Dashboard!$I$31+1),INDEX(Data!$E$99:$E$101,MATCH($F$619,Data!$B$99:$B$101,0)),0)</f>
        <v>0</v>
      </c>
      <c r="AA619" s="182">
        <f>-IF(COUNT($I$3:AA$3)=(Dashboard!$I$31+1),INDEX(Data!$E$99:$E$101,MATCH($F$619,Data!$B$99:$B$101,0)),0)</f>
        <v>0</v>
      </c>
      <c r="AB619" s="182">
        <f>-IF(COUNT($I$3:AB$3)=(Dashboard!$I$31+1),INDEX(Data!$E$99:$E$101,MATCH($F$619,Data!$B$99:$B$101,0)),0)</f>
        <v>0</v>
      </c>
      <c r="AC619" s="182">
        <f>-IF(COUNT($I$3:AC$3)=(Dashboard!$I$31+1),INDEX(Data!$E$99:$E$101,MATCH($F$619,Data!$B$99:$B$101,0)),0)</f>
        <v>0</v>
      </c>
      <c r="AD619" s="182">
        <f>-IF(COUNT($I$3:AD$3)=(Dashboard!$I$31+1),INDEX(Data!$E$99:$E$101,MATCH($F$619,Data!$B$99:$B$101,0)),0)</f>
        <v>0</v>
      </c>
      <c r="AE619" s="182">
        <f>-IF(COUNT($I$3:AE$3)=(Dashboard!$I$31+1),INDEX(Data!$E$99:$E$101,MATCH($F$619,Data!$B$99:$B$101,0)),0)</f>
        <v>0</v>
      </c>
      <c r="AF619" s="182">
        <f>-IF(COUNT($I$3:AF$3)=(Dashboard!$I$31+1),INDEX(Data!$E$99:$E$101,MATCH($F$619,Data!$B$99:$B$101,0)),0)</f>
        <v>0</v>
      </c>
      <c r="AG619" s="182">
        <f>-IF(COUNT($I$3:AG$3)=(Dashboard!$I$31+1),INDEX(Data!$E$99:$E$101,MATCH($F$619,Data!$B$99:$B$101,0)),0)</f>
        <v>0</v>
      </c>
      <c r="AH619" s="182">
        <f>-IF(COUNT($I$3:AH$3)=(Dashboard!$I$31+1),INDEX(Data!$E$99:$E$101,MATCH($F$619,Data!$B$99:$B$101,0)),0)</f>
        <v>0</v>
      </c>
      <c r="AI619" s="182">
        <f>-IF(COUNT($I$3:AI$3)=(Dashboard!$I$31+1),INDEX(Data!$E$99:$E$101,MATCH($F$619,Data!$B$99:$B$101,0)),0)</f>
        <v>0</v>
      </c>
      <c r="AJ619" s="182">
        <f>-IF(COUNT($I$3:AJ$3)=(Dashboard!$I$31+1),INDEX(Data!$E$99:$E$101,MATCH($F$619,Data!$B$99:$B$101,0)),0)</f>
        <v>0</v>
      </c>
      <c r="AK619" s="182">
        <f>-IF(COUNT($I$3:AK$3)=(Dashboard!$I$31+1),INDEX(Data!$E$99:$E$101,MATCH($F$619,Data!$B$99:$B$101,0)),0)</f>
        <v>0</v>
      </c>
      <c r="AL619" s="182">
        <f>-IF(COUNT($I$3:AL$3)=(Dashboard!$I$31+1),INDEX(Data!$E$99:$E$101,MATCH($F$619,Data!$B$99:$B$101,0)),0)</f>
        <v>0</v>
      </c>
      <c r="AM619" s="182">
        <f>-IF(COUNT($I$3:AM$3)=(Dashboard!$I$31+1),INDEX(Data!$E$99:$E$101,MATCH($F$619,Data!$B$99:$B$101,0)),0)</f>
        <v>0</v>
      </c>
      <c r="AN619" s="182">
        <f>-IF(COUNT($I$3:AN$3)=(Dashboard!$I$31+1),INDEX(Data!$E$99:$E$101,MATCH($F$619,Data!$B$99:$B$101,0)),0)</f>
        <v>0</v>
      </c>
      <c r="AO619" s="182">
        <f>-IF(COUNT($I$3:AO$3)=(Dashboard!$I$31+1),INDEX(Data!$E$99:$E$101,MATCH($F$619,Data!$B$99:$B$101,0)),0)</f>
        <v>0</v>
      </c>
      <c r="AP619" s="50"/>
    </row>
    <row r="620" spans="1:42" hidden="1" outlineLevel="1" x14ac:dyDescent="0.25">
      <c r="A620" s="12"/>
      <c r="B620" s="13"/>
      <c r="C620" s="96"/>
      <c r="D620" s="45"/>
      <c r="E620" s="15"/>
      <c r="F620" s="16"/>
      <c r="G620" s="14"/>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9"/>
    </row>
    <row r="621" spans="1:42" hidden="1" outlineLevel="1" x14ac:dyDescent="0.25">
      <c r="A621" s="12"/>
      <c r="B621" s="13"/>
      <c r="C621" s="37" t="s">
        <v>479</v>
      </c>
      <c r="D621" s="37"/>
      <c r="E621" s="38"/>
      <c r="F621" s="39"/>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17"/>
    </row>
    <row r="622" spans="1:42" hidden="1" outlineLevel="1" x14ac:dyDescent="0.25">
      <c r="A622" s="12"/>
      <c r="B622" s="13"/>
      <c r="C622" s="14" t="s">
        <v>479</v>
      </c>
      <c r="D622" s="14"/>
      <c r="E622" s="15" t="s">
        <v>318</v>
      </c>
      <c r="F622" s="16"/>
      <c r="G622" s="14"/>
      <c r="H622" s="165"/>
      <c r="I622" s="165">
        <f>I582+I597+I616-I600+I619</f>
        <v>505508.79008107493</v>
      </c>
      <c r="J622" s="165">
        <f t="shared" ref="J622:AO622" si="155">J582+J597+J616-J600+J619</f>
        <v>442890.40704774065</v>
      </c>
      <c r="K622" s="165">
        <f t="shared" si="155"/>
        <v>442890.40704774065</v>
      </c>
      <c r="L622" s="165">
        <f t="shared" si="155"/>
        <v>442890.40704774065</v>
      </c>
      <c r="M622" s="165">
        <f t="shared" si="155"/>
        <v>442890.40704774065</v>
      </c>
      <c r="N622" s="165">
        <f t="shared" si="155"/>
        <v>442890.40704774065</v>
      </c>
      <c r="O622" s="165">
        <f t="shared" si="155"/>
        <v>442890.40704774065</v>
      </c>
      <c r="P622" s="165">
        <f t="shared" si="155"/>
        <v>442890.40704774065</v>
      </c>
      <c r="Q622" s="165">
        <f t="shared" si="155"/>
        <v>442890.40704774065</v>
      </c>
      <c r="R622" s="165">
        <f t="shared" si="155"/>
        <v>442890.40704774065</v>
      </c>
      <c r="S622" s="165">
        <f t="shared" si="155"/>
        <v>442890.40704774065</v>
      </c>
      <c r="T622" s="165">
        <f>T582+T597+T616-T600+T619</f>
        <v>530820.59869045217</v>
      </c>
      <c r="U622" s="165">
        <f t="shared" si="155"/>
        <v>154258.92676899786</v>
      </c>
      <c r="V622" s="165">
        <f t="shared" si="155"/>
        <v>258195.09019042423</v>
      </c>
      <c r="W622" s="165">
        <f t="shared" si="155"/>
        <v>257155.96703676597</v>
      </c>
      <c r="X622" s="165">
        <f t="shared" si="155"/>
        <v>256140.88351086972</v>
      </c>
      <c r="Y622" s="165">
        <f t="shared" si="155"/>
        <v>255149.18632278166</v>
      </c>
      <c r="Z622" s="165">
        <f t="shared" si="155"/>
        <v>254180.24202732582</v>
      </c>
      <c r="AA622" s="165">
        <f t="shared" si="155"/>
        <v>253233.43638370174</v>
      </c>
      <c r="AB622" s="165">
        <f t="shared" si="155"/>
        <v>252308.17373635969</v>
      </c>
      <c r="AC622" s="165">
        <f t="shared" si="155"/>
        <v>251403.87641643736</v>
      </c>
      <c r="AD622" s="165">
        <f t="shared" si="155"/>
        <v>250519.98416306623</v>
      </c>
      <c r="AE622" s="165">
        <f t="shared" si="155"/>
        <v>249655.95356387855</v>
      </c>
      <c r="AF622" s="165">
        <f t="shared" si="155"/>
        <v>248811.25751406956</v>
      </c>
      <c r="AG622" s="165">
        <f t="shared" si="155"/>
        <v>247985.3846933904</v>
      </c>
      <c r="AH622" s="165">
        <f t="shared" si="155"/>
        <v>247177.83906046889</v>
      </c>
      <c r="AI622" s="165">
        <f t="shared" si="155"/>
        <v>246388.1393638757</v>
      </c>
      <c r="AJ622" s="165">
        <f t="shared" si="155"/>
        <v>245615.81866937299</v>
      </c>
      <c r="AK622" s="165">
        <f t="shared" si="155"/>
        <v>245615.81866937299</v>
      </c>
      <c r="AL622" s="165">
        <f t="shared" si="155"/>
        <v>245615.81866937299</v>
      </c>
      <c r="AM622" s="165">
        <f t="shared" si="155"/>
        <v>245615.81866937299</v>
      </c>
      <c r="AN622" s="165">
        <f t="shared" si="155"/>
        <v>157685.62702666147</v>
      </c>
      <c r="AO622" s="165">
        <f t="shared" si="155"/>
        <v>-179250</v>
      </c>
      <c r="AP622" s="29"/>
    </row>
    <row r="623" spans="1:42" s="140" customFormat="1" hidden="1" outlineLevel="1" x14ac:dyDescent="0.25">
      <c r="A623" s="78"/>
      <c r="B623" s="19"/>
      <c r="C623" s="20" t="s">
        <v>480</v>
      </c>
      <c r="D623" s="20"/>
      <c r="E623" s="21" t="s">
        <v>318</v>
      </c>
      <c r="F623" s="48"/>
      <c r="G623" s="20"/>
      <c r="H623" s="182"/>
      <c r="I623" s="182">
        <f>I622*Data!H$9</f>
        <v>486066.14430872584</v>
      </c>
      <c r="J623" s="182">
        <f>J622*Data!I$9</f>
        <v>409477.07752194954</v>
      </c>
      <c r="K623" s="182">
        <f>K622*Data!J$9</f>
        <v>393727.95915572072</v>
      </c>
      <c r="L623" s="182">
        <f>L622*Data!K$9</f>
        <v>378584.57611126988</v>
      </c>
      <c r="M623" s="182">
        <f>M622*Data!L$9</f>
        <v>364023.630876221</v>
      </c>
      <c r="N623" s="182">
        <f>N622*Data!M$9</f>
        <v>350022.72199636634</v>
      </c>
      <c r="O623" s="182">
        <f>O622*Data!N$9</f>
        <v>336560.30961189076</v>
      </c>
      <c r="P623" s="182">
        <f>P622*Data!O$9</f>
        <v>323615.68231912568</v>
      </c>
      <c r="Q623" s="182">
        <f>Q622*Data!P$9</f>
        <v>311168.92530685157</v>
      </c>
      <c r="R623" s="182">
        <f>R622*Data!Q$9</f>
        <v>299200.88971812651</v>
      </c>
      <c r="S623" s="182">
        <f>S622*Data!R$9</f>
        <v>287693.16319050628</v>
      </c>
      <c r="T623" s="182">
        <f>T622*Data!S$9</f>
        <v>331548.97979838023</v>
      </c>
      <c r="U623" s="182">
        <f>U622*Data!T$9</f>
        <v>92643.913972407099</v>
      </c>
      <c r="V623" s="182">
        <f>V622*Data!U$9</f>
        <v>149101.23109189887</v>
      </c>
      <c r="W623" s="182">
        <f>W622*Data!V$9</f>
        <v>142789.58015642114</v>
      </c>
      <c r="X623" s="182">
        <f>X622*Data!W$9</f>
        <v>136755.71183384798</v>
      </c>
      <c r="Y623" s="182">
        <f>Y622*Data!X$9</f>
        <v>130986.76595896452</v>
      </c>
      <c r="Z623" s="182">
        <f>Z622*Data!Y$9</f>
        <v>125470.51527015075</v>
      </c>
      <c r="AA623" s="182">
        <f>AA622*Data!Z$9</f>
        <v>120195.33209550548</v>
      </c>
      <c r="AB623" s="182">
        <f>AB622*Data!AA$9</f>
        <v>115150.15691316224</v>
      </c>
      <c r="AC623" s="182">
        <f>AC622*Data!AB$9</f>
        <v>110324.4686739085</v>
      </c>
      <c r="AD623" s="182">
        <f>AD622*Data!AC$9</f>
        <v>105708.2567812295</v>
      </c>
      <c r="AE623" s="182">
        <f>AE622*Data!AD$9</f>
        <v>101291.99463045319</v>
      </c>
      <c r="AF623" s="182">
        <f>AF622*Data!AE$9</f>
        <v>97066.614614803926</v>
      </c>
      <c r="AG623" s="182">
        <f>AG622*Data!AF$9</f>
        <v>93023.484511903662</v>
      </c>
      <c r="AH623" s="182">
        <f>AH622*Data!AG$9</f>
        <v>89154.385169623085</v>
      </c>
      <c r="AI623" s="182">
        <f>AI622*Data!AH$9</f>
        <v>85451.48941520066</v>
      </c>
      <c r="AJ623" s="182">
        <f>AJ622*Data!AI$9</f>
        <v>81907.342116242144</v>
      </c>
      <c r="AK623" s="182">
        <f>AK622*Data!AJ$9</f>
        <v>78757.059727155895</v>
      </c>
      <c r="AL623" s="182">
        <f>AL622*Data!AK$9</f>
        <v>75727.942045342221</v>
      </c>
      <c r="AM623" s="182">
        <f>AM622*Data!AL$9</f>
        <v>72815.328889752127</v>
      </c>
      <c r="AN623" s="182">
        <f>AN622*Data!AM$9</f>
        <v>44949.54001794917</v>
      </c>
      <c r="AO623" s="182">
        <f>AO622*Data!AN$9</f>
        <v>-49131.380535100761</v>
      </c>
      <c r="AP623" s="50"/>
    </row>
    <row r="624" spans="1:42" hidden="1" outlineLevel="1" x14ac:dyDescent="0.25">
      <c r="A624" s="12"/>
      <c r="B624" s="13"/>
      <c r="C624" s="14" t="s">
        <v>479</v>
      </c>
      <c r="D624" s="14"/>
      <c r="E624" s="15" t="s">
        <v>54</v>
      </c>
      <c r="F624" s="16"/>
      <c r="G624" s="159">
        <f>SUM(H623:AO623)</f>
        <v>6271829.7932659565</v>
      </c>
      <c r="H624" s="165"/>
      <c r="I624" s="165"/>
      <c r="J624" s="165"/>
      <c r="K624" s="165"/>
      <c r="L624" s="165"/>
      <c r="M624" s="165"/>
      <c r="N624" s="165"/>
      <c r="O624" s="165"/>
      <c r="P624" s="165"/>
      <c r="Q624" s="165"/>
      <c r="R624" s="165"/>
      <c r="S624" s="165"/>
      <c r="T624" s="165"/>
      <c r="U624" s="165"/>
      <c r="V624" s="165"/>
      <c r="W624" s="28"/>
      <c r="X624" s="28"/>
      <c r="Y624" s="28"/>
      <c r="Z624" s="28"/>
      <c r="AA624" s="28"/>
      <c r="AB624" s="28"/>
      <c r="AC624" s="28"/>
      <c r="AD624" s="28"/>
      <c r="AE624" s="28"/>
      <c r="AF624" s="28"/>
      <c r="AG624" s="28"/>
      <c r="AH624" s="28"/>
      <c r="AI624" s="28"/>
      <c r="AJ624" s="28"/>
      <c r="AK624" s="28"/>
      <c r="AL624" s="28"/>
      <c r="AM624" s="28"/>
      <c r="AN624" s="28"/>
      <c r="AO624" s="28"/>
      <c r="AP624" s="29"/>
    </row>
    <row r="625" spans="1:42" hidden="1" outlineLevel="1" x14ac:dyDescent="0.25">
      <c r="A625" s="12"/>
      <c r="B625" s="13"/>
      <c r="C625" s="44" t="s">
        <v>481</v>
      </c>
      <c r="D625" s="45"/>
      <c r="E625" s="15" t="s">
        <v>261</v>
      </c>
      <c r="F625" s="16"/>
      <c r="G625" s="183">
        <f>G624/(SUM(H556:AN556)+SUM(H558:AN558))</f>
        <v>2.0939602675166786</v>
      </c>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9"/>
    </row>
    <row r="626" spans="1:42" hidden="1" outlineLevel="1" x14ac:dyDescent="0.25">
      <c r="A626" s="12"/>
      <c r="B626" s="13"/>
      <c r="C626" s="41"/>
      <c r="D626" s="41"/>
      <c r="E626" s="15"/>
      <c r="F626" s="16"/>
      <c r="G626" s="14"/>
      <c r="I626" s="141"/>
      <c r="J626" s="141"/>
      <c r="K626" s="141"/>
      <c r="L626" s="141"/>
      <c r="M626" s="141"/>
      <c r="N626" s="141"/>
      <c r="O626" s="141"/>
      <c r="P626" s="141"/>
      <c r="Q626" s="141"/>
      <c r="R626" s="141"/>
      <c r="S626" s="141"/>
      <c r="T626" s="141"/>
      <c r="U626" s="141"/>
      <c r="V626" s="141"/>
      <c r="W626" s="141"/>
      <c r="X626" s="141"/>
      <c r="Y626" s="141"/>
      <c r="Z626" s="141"/>
      <c r="AA626" s="141"/>
      <c r="AB626" s="141"/>
      <c r="AC626" s="14"/>
      <c r="AD626" s="14"/>
      <c r="AE626" s="14"/>
      <c r="AF626" s="14"/>
      <c r="AG626" s="14"/>
      <c r="AH626" s="14"/>
      <c r="AI626" s="14"/>
      <c r="AJ626" s="14"/>
      <c r="AK626" s="14"/>
      <c r="AL626" s="14"/>
      <c r="AM626" s="14"/>
      <c r="AN626" s="14"/>
      <c r="AO626" s="14"/>
      <c r="AP626" s="17"/>
    </row>
    <row r="627" spans="1:42" hidden="1" outlineLevel="1" x14ac:dyDescent="0.25">
      <c r="A627" s="12"/>
      <c r="B627" s="13"/>
      <c r="C627" s="37" t="s">
        <v>515</v>
      </c>
      <c r="D627" s="37"/>
      <c r="E627" s="38"/>
      <c r="F627" s="39"/>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17"/>
    </row>
    <row r="628" spans="1:42" hidden="1" outlineLevel="1" x14ac:dyDescent="0.25">
      <c r="A628" s="12"/>
      <c r="B628" s="13"/>
      <c r="C628" s="14"/>
      <c r="D628" s="14"/>
      <c r="E628" s="15"/>
      <c r="F628" s="16"/>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row>
    <row r="629" spans="1:42" hidden="1" outlineLevel="1" x14ac:dyDescent="0.25">
      <c r="A629" s="12"/>
      <c r="B629" s="13"/>
      <c r="C629" s="20" t="s">
        <v>602</v>
      </c>
      <c r="D629" s="45"/>
      <c r="E629" s="15"/>
      <c r="F629" s="16"/>
      <c r="G629" s="165"/>
      <c r="H629" s="165"/>
      <c r="I629" s="165"/>
      <c r="J629" s="165"/>
      <c r="K629" s="165"/>
      <c r="L629" s="165"/>
      <c r="M629" s="165"/>
      <c r="N629" s="165"/>
      <c r="O629" s="165"/>
      <c r="P629" s="165"/>
      <c r="Q629" s="165"/>
      <c r="R629" s="165"/>
      <c r="S629" s="165"/>
      <c r="T629" s="165"/>
      <c r="U629" s="28"/>
      <c r="V629" s="28"/>
      <c r="W629" s="28"/>
      <c r="X629" s="28"/>
      <c r="Y629" s="28"/>
      <c r="Z629" s="28"/>
      <c r="AA629" s="28"/>
      <c r="AB629" s="28"/>
      <c r="AC629" s="28"/>
      <c r="AD629" s="28"/>
      <c r="AE629" s="28"/>
      <c r="AF629" s="28"/>
      <c r="AG629" s="28"/>
      <c r="AH629" s="28"/>
      <c r="AI629" s="28"/>
      <c r="AJ629" s="28"/>
      <c r="AK629" s="28"/>
      <c r="AL629" s="28"/>
      <c r="AM629" s="28"/>
      <c r="AN629" s="28"/>
      <c r="AO629" s="28"/>
      <c r="AP629" s="29"/>
    </row>
    <row r="630" spans="1:42" hidden="1" outlineLevel="1" x14ac:dyDescent="0.25">
      <c r="A630" s="12"/>
      <c r="B630" s="13"/>
      <c r="C630" s="45" t="s">
        <v>517</v>
      </c>
      <c r="D630" s="45"/>
      <c r="E630" s="15" t="s">
        <v>342</v>
      </c>
      <c r="F630" s="179">
        <f>Data!$E$396</f>
        <v>105600</v>
      </c>
      <c r="G630" s="165"/>
      <c r="H630" s="165"/>
      <c r="I630" s="165"/>
      <c r="J630" s="165"/>
      <c r="K630" s="165"/>
      <c r="L630" s="165"/>
      <c r="M630" s="165"/>
      <c r="N630" s="165"/>
      <c r="O630" s="165"/>
      <c r="P630" s="165"/>
      <c r="Q630" s="165"/>
      <c r="R630" s="165"/>
      <c r="S630" s="165"/>
      <c r="T630" s="165"/>
      <c r="U630" s="28"/>
      <c r="V630" s="28"/>
      <c r="W630" s="28"/>
      <c r="X630" s="28"/>
      <c r="Y630" s="28"/>
      <c r="Z630" s="28"/>
      <c r="AA630" s="28"/>
      <c r="AB630" s="28"/>
      <c r="AC630" s="28"/>
      <c r="AD630" s="28"/>
      <c r="AE630" s="28"/>
      <c r="AF630" s="28"/>
      <c r="AG630" s="28"/>
      <c r="AH630" s="28"/>
      <c r="AI630" s="28"/>
      <c r="AJ630" s="28"/>
      <c r="AK630" s="28"/>
      <c r="AL630" s="28"/>
      <c r="AM630" s="28"/>
      <c r="AN630" s="28"/>
      <c r="AO630" s="28"/>
      <c r="AP630" s="29"/>
    </row>
    <row r="631" spans="1:42" hidden="1" outlineLevel="1" x14ac:dyDescent="0.25">
      <c r="A631" s="12"/>
      <c r="B631" s="13"/>
      <c r="C631" s="45" t="s">
        <v>518</v>
      </c>
      <c r="D631" s="45"/>
      <c r="E631" s="15" t="s">
        <v>142</v>
      </c>
      <c r="F631" s="179"/>
      <c r="G631" s="186">
        <f>F630*Data!$G$16/1000</f>
        <v>9187.2000000000007</v>
      </c>
      <c r="H631" s="165"/>
      <c r="I631" s="165"/>
      <c r="J631" s="165"/>
      <c r="K631" s="165"/>
      <c r="L631" s="165"/>
      <c r="M631" s="165"/>
      <c r="N631" s="165"/>
      <c r="O631" s="165"/>
      <c r="P631" s="165"/>
      <c r="Q631" s="165"/>
      <c r="R631" s="165"/>
      <c r="S631" s="165"/>
      <c r="T631" s="165"/>
      <c r="U631" s="28"/>
      <c r="V631" s="28"/>
      <c r="W631" s="28"/>
      <c r="X631" s="28"/>
      <c r="Y631" s="28"/>
      <c r="Z631" s="28"/>
      <c r="AA631" s="28"/>
      <c r="AB631" s="28"/>
      <c r="AC631" s="28"/>
      <c r="AD631" s="28"/>
      <c r="AE631" s="28"/>
      <c r="AF631" s="28"/>
      <c r="AG631" s="28"/>
      <c r="AH631" s="28"/>
      <c r="AI631" s="28"/>
      <c r="AJ631" s="28"/>
      <c r="AK631" s="28"/>
      <c r="AL631" s="28"/>
      <c r="AM631" s="28"/>
      <c r="AN631" s="28"/>
      <c r="AO631" s="28"/>
      <c r="AP631" s="29"/>
    </row>
    <row r="632" spans="1:42" hidden="1" outlineLevel="1" x14ac:dyDescent="0.25">
      <c r="A632" s="12"/>
      <c r="B632" s="13"/>
      <c r="C632" s="45" t="s">
        <v>518</v>
      </c>
      <c r="D632" s="45"/>
      <c r="E632" s="15" t="s">
        <v>261</v>
      </c>
      <c r="F632" s="179"/>
      <c r="G632" s="184">
        <f>G631/SUM(H558:AN558)</f>
        <v>4.9076923076923082E-3</v>
      </c>
      <c r="H632" s="165"/>
      <c r="I632" s="165"/>
      <c r="J632" s="165"/>
      <c r="K632" s="165"/>
      <c r="L632" s="165"/>
      <c r="M632" s="165"/>
      <c r="N632" s="165"/>
      <c r="O632" s="165"/>
      <c r="P632" s="165"/>
      <c r="Q632" s="165"/>
      <c r="R632" s="165"/>
      <c r="S632" s="165"/>
      <c r="T632" s="165"/>
      <c r="U632" s="28"/>
      <c r="V632" s="28"/>
      <c r="W632" s="28"/>
      <c r="X632" s="28"/>
      <c r="Y632" s="28"/>
      <c r="Z632" s="28"/>
      <c r="AA632" s="28"/>
      <c r="AB632" s="28"/>
      <c r="AC632" s="28"/>
      <c r="AD632" s="28"/>
      <c r="AE632" s="28"/>
      <c r="AF632" s="28"/>
      <c r="AG632" s="28"/>
      <c r="AH632" s="28"/>
      <c r="AI632" s="28"/>
      <c r="AJ632" s="28"/>
      <c r="AK632" s="28"/>
      <c r="AL632" s="28"/>
      <c r="AM632" s="28"/>
      <c r="AN632" s="28"/>
      <c r="AO632" s="28"/>
      <c r="AP632" s="29"/>
    </row>
    <row r="633" spans="1:42" hidden="1" outlineLevel="1" x14ac:dyDescent="0.25">
      <c r="A633" s="12"/>
      <c r="B633" s="13"/>
      <c r="C633" s="45"/>
      <c r="D633" s="45"/>
      <c r="E633" s="15"/>
      <c r="F633" s="179"/>
      <c r="G633" s="165"/>
      <c r="H633" s="165"/>
      <c r="I633" s="165"/>
      <c r="J633" s="165"/>
      <c r="K633" s="165"/>
      <c r="L633" s="165"/>
      <c r="M633" s="165"/>
      <c r="N633" s="165"/>
      <c r="O633" s="165"/>
      <c r="P633" s="165"/>
      <c r="Q633" s="165"/>
      <c r="R633" s="165"/>
      <c r="S633" s="165"/>
      <c r="T633" s="165"/>
      <c r="U633" s="28"/>
      <c r="V633" s="28"/>
      <c r="W633" s="28"/>
      <c r="X633" s="28"/>
      <c r="Y633" s="28"/>
      <c r="Z633" s="28"/>
      <c r="AA633" s="28"/>
      <c r="AB633" s="28"/>
      <c r="AC633" s="28"/>
      <c r="AD633" s="28"/>
      <c r="AE633" s="28"/>
      <c r="AF633" s="28"/>
      <c r="AG633" s="28"/>
      <c r="AH633" s="28"/>
      <c r="AI633" s="28"/>
      <c r="AJ633" s="28"/>
      <c r="AK633" s="28"/>
      <c r="AL633" s="28"/>
      <c r="AM633" s="28"/>
      <c r="AN633" s="28"/>
      <c r="AO633" s="28"/>
      <c r="AP633" s="29"/>
    </row>
    <row r="634" spans="1:42" hidden="1" outlineLevel="1" x14ac:dyDescent="0.25">
      <c r="A634" s="12"/>
      <c r="B634" s="13"/>
      <c r="C634" s="20" t="s">
        <v>483</v>
      </c>
      <c r="D634" s="19"/>
      <c r="E634" s="15"/>
      <c r="F634" s="16"/>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7"/>
    </row>
    <row r="635" spans="1:42" hidden="1" outlineLevel="1" x14ac:dyDescent="0.25">
      <c r="A635" s="12"/>
      <c r="B635" s="13"/>
      <c r="C635" s="19" t="s">
        <v>599</v>
      </c>
      <c r="D635" s="19"/>
      <c r="E635" s="15"/>
      <c r="F635" s="16"/>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7"/>
    </row>
    <row r="636" spans="1:42" hidden="1" outlineLevel="1" x14ac:dyDescent="0.25">
      <c r="A636" s="12"/>
      <c r="B636" s="13"/>
      <c r="C636" s="45" t="s">
        <v>520</v>
      </c>
      <c r="D636" s="14"/>
      <c r="E636" s="15" t="s">
        <v>521</v>
      </c>
      <c r="F636" s="16"/>
      <c r="G636" s="14"/>
      <c r="H636" s="141"/>
      <c r="I636" s="141">
        <f t="shared" ref="I636:AO636" si="156">I558</f>
        <v>0</v>
      </c>
      <c r="J636" s="141">
        <f t="shared" si="156"/>
        <v>0</v>
      </c>
      <c r="K636" s="141">
        <f t="shared" si="156"/>
        <v>0</v>
      </c>
      <c r="L636" s="141">
        <f t="shared" si="156"/>
        <v>0</v>
      </c>
      <c r="M636" s="141">
        <f t="shared" si="156"/>
        <v>0</v>
      </c>
      <c r="N636" s="141">
        <f t="shared" si="156"/>
        <v>0</v>
      </c>
      <c r="O636" s="141">
        <f t="shared" si="156"/>
        <v>0</v>
      </c>
      <c r="P636" s="141">
        <f t="shared" si="156"/>
        <v>0</v>
      </c>
      <c r="Q636" s="141">
        <f t="shared" si="156"/>
        <v>0</v>
      </c>
      <c r="R636" s="141">
        <f t="shared" si="156"/>
        <v>0</v>
      </c>
      <c r="S636" s="141">
        <f t="shared" si="156"/>
        <v>0</v>
      </c>
      <c r="T636" s="141">
        <f t="shared" si="156"/>
        <v>0</v>
      </c>
      <c r="U636" s="141">
        <f t="shared" si="156"/>
        <v>93600</v>
      </c>
      <c r="V636" s="141">
        <f t="shared" si="156"/>
        <v>93600</v>
      </c>
      <c r="W636" s="141">
        <f t="shared" si="156"/>
        <v>93600</v>
      </c>
      <c r="X636" s="141">
        <f t="shared" si="156"/>
        <v>93600</v>
      </c>
      <c r="Y636" s="141">
        <f t="shared" si="156"/>
        <v>93600</v>
      </c>
      <c r="Z636" s="141">
        <f t="shared" si="156"/>
        <v>93600</v>
      </c>
      <c r="AA636" s="141">
        <f t="shared" si="156"/>
        <v>93600</v>
      </c>
      <c r="AB636" s="141">
        <f t="shared" si="156"/>
        <v>93600</v>
      </c>
      <c r="AC636" s="141">
        <f t="shared" si="156"/>
        <v>93600</v>
      </c>
      <c r="AD636" s="141">
        <f t="shared" si="156"/>
        <v>93600</v>
      </c>
      <c r="AE636" s="141">
        <f t="shared" si="156"/>
        <v>93600</v>
      </c>
      <c r="AF636" s="141">
        <f t="shared" si="156"/>
        <v>93600</v>
      </c>
      <c r="AG636" s="141">
        <f t="shared" si="156"/>
        <v>93600</v>
      </c>
      <c r="AH636" s="141">
        <f t="shared" si="156"/>
        <v>93600</v>
      </c>
      <c r="AI636" s="141">
        <f t="shared" si="156"/>
        <v>93600</v>
      </c>
      <c r="AJ636" s="141">
        <f t="shared" si="156"/>
        <v>93600</v>
      </c>
      <c r="AK636" s="141">
        <f t="shared" si="156"/>
        <v>93600</v>
      </c>
      <c r="AL636" s="141">
        <f t="shared" si="156"/>
        <v>93600</v>
      </c>
      <c r="AM636" s="141">
        <f t="shared" si="156"/>
        <v>93600</v>
      </c>
      <c r="AN636" s="141">
        <f t="shared" si="156"/>
        <v>93600</v>
      </c>
      <c r="AO636" s="141">
        <f t="shared" si="156"/>
        <v>0</v>
      </c>
      <c r="AP636" s="14"/>
    </row>
    <row r="637" spans="1:42" hidden="1" outlineLevel="1" x14ac:dyDescent="0.25">
      <c r="A637" s="12"/>
      <c r="B637" s="13"/>
      <c r="C637" s="20" t="s">
        <v>483</v>
      </c>
      <c r="D637" s="14"/>
      <c r="E637" s="15"/>
      <c r="F637" s="16"/>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59"/>
      <c r="AN637" s="159"/>
      <c r="AO637" s="159"/>
      <c r="AP637" s="14"/>
    </row>
    <row r="638" spans="1:42" ht="14.25" hidden="1" customHeight="1" outlineLevel="1" x14ac:dyDescent="0.25">
      <c r="A638" s="54"/>
      <c r="B638" s="13"/>
      <c r="C638" s="45" t="s">
        <v>205</v>
      </c>
      <c r="D638" s="14"/>
      <c r="E638" s="70" t="s">
        <v>352</v>
      </c>
      <c r="F638" s="201">
        <f>Data!E606/1000</f>
        <v>0</v>
      </c>
      <c r="G638" s="56"/>
      <c r="H638" s="56"/>
      <c r="I638" s="56">
        <f>$F638*I$636</f>
        <v>0</v>
      </c>
      <c r="J638" s="56">
        <f t="shared" ref="J638:AO644" si="157">$F638*J$636</f>
        <v>0</v>
      </c>
      <c r="K638" s="56">
        <f t="shared" si="157"/>
        <v>0</v>
      </c>
      <c r="L638" s="56">
        <f t="shared" si="157"/>
        <v>0</v>
      </c>
      <c r="M638" s="56">
        <f t="shared" si="157"/>
        <v>0</v>
      </c>
      <c r="N638" s="56">
        <f t="shared" si="157"/>
        <v>0</v>
      </c>
      <c r="O638" s="56">
        <f t="shared" si="157"/>
        <v>0</v>
      </c>
      <c r="P638" s="56">
        <f t="shared" si="157"/>
        <v>0</v>
      </c>
      <c r="Q638" s="56">
        <f t="shared" si="157"/>
        <v>0</v>
      </c>
      <c r="R638" s="56">
        <f t="shared" si="157"/>
        <v>0</v>
      </c>
      <c r="S638" s="56">
        <f t="shared" si="157"/>
        <v>0</v>
      </c>
      <c r="T638" s="56">
        <f t="shared" si="157"/>
        <v>0</v>
      </c>
      <c r="U638" s="56">
        <f t="shared" si="157"/>
        <v>0</v>
      </c>
      <c r="V638" s="56">
        <f t="shared" si="157"/>
        <v>0</v>
      </c>
      <c r="W638" s="56">
        <f t="shared" si="157"/>
        <v>0</v>
      </c>
      <c r="X638" s="56">
        <f t="shared" si="157"/>
        <v>0</v>
      </c>
      <c r="Y638" s="56">
        <f t="shared" si="157"/>
        <v>0</v>
      </c>
      <c r="Z638" s="56">
        <f t="shared" si="157"/>
        <v>0</v>
      </c>
      <c r="AA638" s="56">
        <f t="shared" si="157"/>
        <v>0</v>
      </c>
      <c r="AB638" s="56">
        <f t="shared" si="157"/>
        <v>0</v>
      </c>
      <c r="AC638" s="56">
        <f t="shared" si="157"/>
        <v>0</v>
      </c>
      <c r="AD638" s="56">
        <f t="shared" si="157"/>
        <v>0</v>
      </c>
      <c r="AE638" s="56">
        <f t="shared" si="157"/>
        <v>0</v>
      </c>
      <c r="AF638" s="56">
        <f t="shared" si="157"/>
        <v>0</v>
      </c>
      <c r="AG638" s="56">
        <f t="shared" si="157"/>
        <v>0</v>
      </c>
      <c r="AH638" s="56">
        <f t="shared" si="157"/>
        <v>0</v>
      </c>
      <c r="AI638" s="56">
        <f t="shared" si="157"/>
        <v>0</v>
      </c>
      <c r="AJ638" s="56">
        <f t="shared" si="157"/>
        <v>0</v>
      </c>
      <c r="AK638" s="56">
        <f t="shared" si="157"/>
        <v>0</v>
      </c>
      <c r="AL638" s="56">
        <f t="shared" si="157"/>
        <v>0</v>
      </c>
      <c r="AM638" s="56">
        <f t="shared" si="157"/>
        <v>0</v>
      </c>
      <c r="AN638" s="56">
        <f t="shared" si="157"/>
        <v>0</v>
      </c>
      <c r="AO638" s="56">
        <f t="shared" si="157"/>
        <v>0</v>
      </c>
      <c r="AP638" s="29"/>
    </row>
    <row r="639" spans="1:42" hidden="1" outlineLevel="1" x14ac:dyDescent="0.25">
      <c r="A639" s="54"/>
      <c r="B639" s="13"/>
      <c r="C639" s="45" t="s">
        <v>484</v>
      </c>
      <c r="D639" s="14"/>
      <c r="E639" s="70" t="s">
        <v>352</v>
      </c>
      <c r="F639" s="223">
        <f>Data!E607</f>
        <v>0</v>
      </c>
      <c r="G639" s="56"/>
      <c r="H639" s="56"/>
      <c r="I639" s="56">
        <f>$F639*I$636</f>
        <v>0</v>
      </c>
      <c r="J639" s="56">
        <f t="shared" ref="I639:X644" si="158">$F639*J$636</f>
        <v>0</v>
      </c>
      <c r="K639" s="56">
        <f t="shared" si="158"/>
        <v>0</v>
      </c>
      <c r="L639" s="56">
        <f t="shared" si="158"/>
        <v>0</v>
      </c>
      <c r="M639" s="56">
        <f t="shared" si="158"/>
        <v>0</v>
      </c>
      <c r="N639" s="56">
        <f t="shared" si="158"/>
        <v>0</v>
      </c>
      <c r="O639" s="56">
        <f t="shared" si="158"/>
        <v>0</v>
      </c>
      <c r="P639" s="56">
        <f t="shared" si="158"/>
        <v>0</v>
      </c>
      <c r="Q639" s="56">
        <f t="shared" si="158"/>
        <v>0</v>
      </c>
      <c r="R639" s="56">
        <f t="shared" si="158"/>
        <v>0</v>
      </c>
      <c r="S639" s="56">
        <f t="shared" si="158"/>
        <v>0</v>
      </c>
      <c r="T639" s="56">
        <f t="shared" si="158"/>
        <v>0</v>
      </c>
      <c r="U639" s="56">
        <f t="shared" si="158"/>
        <v>0</v>
      </c>
      <c r="V639" s="56">
        <f t="shared" si="158"/>
        <v>0</v>
      </c>
      <c r="W639" s="56">
        <f t="shared" si="158"/>
        <v>0</v>
      </c>
      <c r="X639" s="56">
        <f t="shared" si="158"/>
        <v>0</v>
      </c>
      <c r="Y639" s="56">
        <f t="shared" si="157"/>
        <v>0</v>
      </c>
      <c r="Z639" s="56">
        <f t="shared" si="157"/>
        <v>0</v>
      </c>
      <c r="AA639" s="56">
        <f t="shared" si="157"/>
        <v>0</v>
      </c>
      <c r="AB639" s="56">
        <f t="shared" si="157"/>
        <v>0</v>
      </c>
      <c r="AC639" s="56">
        <f t="shared" si="157"/>
        <v>0</v>
      </c>
      <c r="AD639" s="56">
        <f t="shared" si="157"/>
        <v>0</v>
      </c>
      <c r="AE639" s="56">
        <f t="shared" si="157"/>
        <v>0</v>
      </c>
      <c r="AF639" s="56">
        <f t="shared" si="157"/>
        <v>0</v>
      </c>
      <c r="AG639" s="56">
        <f t="shared" si="157"/>
        <v>0</v>
      </c>
      <c r="AH639" s="56">
        <f t="shared" si="157"/>
        <v>0</v>
      </c>
      <c r="AI639" s="56">
        <f t="shared" si="157"/>
        <v>0</v>
      </c>
      <c r="AJ639" s="56">
        <f t="shared" si="157"/>
        <v>0</v>
      </c>
      <c r="AK639" s="56">
        <f t="shared" si="157"/>
        <v>0</v>
      </c>
      <c r="AL639" s="56">
        <f t="shared" si="157"/>
        <v>0</v>
      </c>
      <c r="AM639" s="56">
        <f t="shared" si="157"/>
        <v>0</v>
      </c>
      <c r="AN639" s="56">
        <f t="shared" si="157"/>
        <v>0</v>
      </c>
      <c r="AO639" s="56">
        <f t="shared" si="157"/>
        <v>0</v>
      </c>
      <c r="AP639" s="29"/>
    </row>
    <row r="640" spans="1:42" hidden="1" outlineLevel="1" x14ac:dyDescent="0.25">
      <c r="A640" s="54"/>
      <c r="B640" s="13"/>
      <c r="C640" s="45" t="s">
        <v>285</v>
      </c>
      <c r="D640" s="14"/>
      <c r="E640" s="70" t="s">
        <v>352</v>
      </c>
      <c r="F640" s="201">
        <f>Data!E608/1000</f>
        <v>0</v>
      </c>
      <c r="G640" s="56"/>
      <c r="H640" s="56"/>
      <c r="I640" s="56">
        <f t="shared" si="158"/>
        <v>0</v>
      </c>
      <c r="J640" s="56">
        <f t="shared" si="157"/>
        <v>0</v>
      </c>
      <c r="K640" s="56">
        <f t="shared" si="157"/>
        <v>0</v>
      </c>
      <c r="L640" s="56">
        <f t="shared" si="157"/>
        <v>0</v>
      </c>
      <c r="M640" s="56">
        <f t="shared" si="157"/>
        <v>0</v>
      </c>
      <c r="N640" s="56">
        <f t="shared" si="157"/>
        <v>0</v>
      </c>
      <c r="O640" s="56">
        <f t="shared" si="157"/>
        <v>0</v>
      </c>
      <c r="P640" s="56">
        <f t="shared" si="157"/>
        <v>0</v>
      </c>
      <c r="Q640" s="56">
        <f t="shared" si="157"/>
        <v>0</v>
      </c>
      <c r="R640" s="56">
        <f t="shared" si="157"/>
        <v>0</v>
      </c>
      <c r="S640" s="56">
        <f t="shared" si="157"/>
        <v>0</v>
      </c>
      <c r="T640" s="56">
        <f t="shared" si="157"/>
        <v>0</v>
      </c>
      <c r="U640" s="56">
        <f t="shared" si="157"/>
        <v>0</v>
      </c>
      <c r="V640" s="56">
        <f t="shared" si="157"/>
        <v>0</v>
      </c>
      <c r="W640" s="56">
        <f t="shared" si="157"/>
        <v>0</v>
      </c>
      <c r="X640" s="56">
        <f t="shared" si="157"/>
        <v>0</v>
      </c>
      <c r="Y640" s="56">
        <f t="shared" si="157"/>
        <v>0</v>
      </c>
      <c r="Z640" s="56">
        <f t="shared" si="157"/>
        <v>0</v>
      </c>
      <c r="AA640" s="56">
        <f t="shared" si="157"/>
        <v>0</v>
      </c>
      <c r="AB640" s="56">
        <f t="shared" si="157"/>
        <v>0</v>
      </c>
      <c r="AC640" s="56">
        <f t="shared" si="157"/>
        <v>0</v>
      </c>
      <c r="AD640" s="56">
        <f t="shared" si="157"/>
        <v>0</v>
      </c>
      <c r="AE640" s="56">
        <f t="shared" si="157"/>
        <v>0</v>
      </c>
      <c r="AF640" s="56">
        <f t="shared" si="157"/>
        <v>0</v>
      </c>
      <c r="AG640" s="56">
        <f t="shared" si="157"/>
        <v>0</v>
      </c>
      <c r="AH640" s="56">
        <f t="shared" si="157"/>
        <v>0</v>
      </c>
      <c r="AI640" s="56">
        <f t="shared" si="157"/>
        <v>0</v>
      </c>
      <c r="AJ640" s="56">
        <f t="shared" si="157"/>
        <v>0</v>
      </c>
      <c r="AK640" s="56">
        <f t="shared" si="157"/>
        <v>0</v>
      </c>
      <c r="AL640" s="56">
        <f t="shared" si="157"/>
        <v>0</v>
      </c>
      <c r="AM640" s="56">
        <f t="shared" si="157"/>
        <v>0</v>
      </c>
      <c r="AN640" s="56">
        <f t="shared" si="157"/>
        <v>0</v>
      </c>
      <c r="AO640" s="56">
        <f t="shared" si="157"/>
        <v>0</v>
      </c>
      <c r="AP640" s="29"/>
    </row>
    <row r="641" spans="1:42" hidden="1" outlineLevel="1" x14ac:dyDescent="0.25">
      <c r="A641" s="54"/>
      <c r="B641" s="13"/>
      <c r="C641" s="45" t="s">
        <v>220</v>
      </c>
      <c r="D641" s="14"/>
      <c r="E641" s="70" t="s">
        <v>352</v>
      </c>
      <c r="F641" s="201">
        <f>Data!E609/1000</f>
        <v>0</v>
      </c>
      <c r="G641" s="56"/>
      <c r="H641" s="56"/>
      <c r="I641" s="56">
        <f t="shared" si="158"/>
        <v>0</v>
      </c>
      <c r="J641" s="56">
        <f t="shared" si="157"/>
        <v>0</v>
      </c>
      <c r="K641" s="56">
        <f t="shared" si="157"/>
        <v>0</v>
      </c>
      <c r="L641" s="56">
        <f t="shared" si="157"/>
        <v>0</v>
      </c>
      <c r="M641" s="56">
        <f t="shared" si="157"/>
        <v>0</v>
      </c>
      <c r="N641" s="56">
        <f t="shared" si="157"/>
        <v>0</v>
      </c>
      <c r="O641" s="56">
        <f t="shared" si="157"/>
        <v>0</v>
      </c>
      <c r="P641" s="56">
        <f t="shared" si="157"/>
        <v>0</v>
      </c>
      <c r="Q641" s="56">
        <f t="shared" si="157"/>
        <v>0</v>
      </c>
      <c r="R641" s="56">
        <f t="shared" si="157"/>
        <v>0</v>
      </c>
      <c r="S641" s="56">
        <f t="shared" si="157"/>
        <v>0</v>
      </c>
      <c r="T641" s="56">
        <f t="shared" si="157"/>
        <v>0</v>
      </c>
      <c r="U641" s="56">
        <f t="shared" si="157"/>
        <v>0</v>
      </c>
      <c r="V641" s="56">
        <f t="shared" si="157"/>
        <v>0</v>
      </c>
      <c r="W641" s="56">
        <f t="shared" si="157"/>
        <v>0</v>
      </c>
      <c r="X641" s="56">
        <f t="shared" si="157"/>
        <v>0</v>
      </c>
      <c r="Y641" s="56">
        <f t="shared" si="157"/>
        <v>0</v>
      </c>
      <c r="Z641" s="56">
        <f t="shared" si="157"/>
        <v>0</v>
      </c>
      <c r="AA641" s="56">
        <f t="shared" si="157"/>
        <v>0</v>
      </c>
      <c r="AB641" s="56">
        <f t="shared" si="157"/>
        <v>0</v>
      </c>
      <c r="AC641" s="56">
        <f t="shared" si="157"/>
        <v>0</v>
      </c>
      <c r="AD641" s="56">
        <f t="shared" si="157"/>
        <v>0</v>
      </c>
      <c r="AE641" s="56">
        <f t="shared" si="157"/>
        <v>0</v>
      </c>
      <c r="AF641" s="56">
        <f t="shared" si="157"/>
        <v>0</v>
      </c>
      <c r="AG641" s="56">
        <f t="shared" si="157"/>
        <v>0</v>
      </c>
      <c r="AH641" s="56">
        <f t="shared" si="157"/>
        <v>0</v>
      </c>
      <c r="AI641" s="56">
        <f t="shared" si="157"/>
        <v>0</v>
      </c>
      <c r="AJ641" s="56">
        <f t="shared" si="157"/>
        <v>0</v>
      </c>
      <c r="AK641" s="56">
        <f t="shared" si="157"/>
        <v>0</v>
      </c>
      <c r="AL641" s="56">
        <f t="shared" si="157"/>
        <v>0</v>
      </c>
      <c r="AM641" s="56">
        <f t="shared" si="157"/>
        <v>0</v>
      </c>
      <c r="AN641" s="56">
        <f t="shared" si="157"/>
        <v>0</v>
      </c>
      <c r="AO641" s="56">
        <f t="shared" si="157"/>
        <v>0</v>
      </c>
      <c r="AP641" s="29"/>
    </row>
    <row r="642" spans="1:42" hidden="1" outlineLevel="1" x14ac:dyDescent="0.25">
      <c r="A642" s="54"/>
      <c r="B642" s="13"/>
      <c r="C642" s="45" t="s">
        <v>212</v>
      </c>
      <c r="D642" s="14"/>
      <c r="E642" s="70" t="s">
        <v>352</v>
      </c>
      <c r="F642" s="201">
        <f>Data!E610/1000</f>
        <v>0</v>
      </c>
      <c r="G642" s="56"/>
      <c r="H642" s="56"/>
      <c r="I642" s="56">
        <f t="shared" si="158"/>
        <v>0</v>
      </c>
      <c r="J642" s="56">
        <f t="shared" si="157"/>
        <v>0</v>
      </c>
      <c r="K642" s="56">
        <f t="shared" si="157"/>
        <v>0</v>
      </c>
      <c r="L642" s="56">
        <f t="shared" si="157"/>
        <v>0</v>
      </c>
      <c r="M642" s="56">
        <f t="shared" si="157"/>
        <v>0</v>
      </c>
      <c r="N642" s="56">
        <f t="shared" si="157"/>
        <v>0</v>
      </c>
      <c r="O642" s="56">
        <f t="shared" si="157"/>
        <v>0</v>
      </c>
      <c r="P642" s="56">
        <f t="shared" si="157"/>
        <v>0</v>
      </c>
      <c r="Q642" s="56">
        <f t="shared" si="157"/>
        <v>0</v>
      </c>
      <c r="R642" s="56">
        <f t="shared" si="157"/>
        <v>0</v>
      </c>
      <c r="S642" s="56">
        <f t="shared" si="157"/>
        <v>0</v>
      </c>
      <c r="T642" s="56">
        <f t="shared" si="157"/>
        <v>0</v>
      </c>
      <c r="U642" s="56">
        <f t="shared" si="157"/>
        <v>0</v>
      </c>
      <c r="V642" s="56">
        <f t="shared" si="157"/>
        <v>0</v>
      </c>
      <c r="W642" s="56">
        <f t="shared" si="157"/>
        <v>0</v>
      </c>
      <c r="X642" s="56">
        <f t="shared" si="157"/>
        <v>0</v>
      </c>
      <c r="Y642" s="56">
        <f t="shared" si="157"/>
        <v>0</v>
      </c>
      <c r="Z642" s="56">
        <f t="shared" si="157"/>
        <v>0</v>
      </c>
      <c r="AA642" s="56">
        <f t="shared" si="157"/>
        <v>0</v>
      </c>
      <c r="AB642" s="56">
        <f t="shared" si="157"/>
        <v>0</v>
      </c>
      <c r="AC642" s="56">
        <f t="shared" si="157"/>
        <v>0</v>
      </c>
      <c r="AD642" s="56">
        <f t="shared" si="157"/>
        <v>0</v>
      </c>
      <c r="AE642" s="56">
        <f t="shared" si="157"/>
        <v>0</v>
      </c>
      <c r="AF642" s="56">
        <f t="shared" si="157"/>
        <v>0</v>
      </c>
      <c r="AG642" s="56">
        <f t="shared" si="157"/>
        <v>0</v>
      </c>
      <c r="AH642" s="56">
        <f t="shared" si="157"/>
        <v>0</v>
      </c>
      <c r="AI642" s="56">
        <f t="shared" si="157"/>
        <v>0</v>
      </c>
      <c r="AJ642" s="56">
        <f t="shared" si="157"/>
        <v>0</v>
      </c>
      <c r="AK642" s="56">
        <f t="shared" si="157"/>
        <v>0</v>
      </c>
      <c r="AL642" s="56">
        <f t="shared" si="157"/>
        <v>0</v>
      </c>
      <c r="AM642" s="56">
        <f t="shared" si="157"/>
        <v>0</v>
      </c>
      <c r="AN642" s="56">
        <f t="shared" si="157"/>
        <v>0</v>
      </c>
      <c r="AO642" s="56">
        <f t="shared" si="157"/>
        <v>0</v>
      </c>
      <c r="AP642" s="29"/>
    </row>
    <row r="643" spans="1:42" hidden="1" outlineLevel="1" x14ac:dyDescent="0.25">
      <c r="A643" s="54"/>
      <c r="B643" s="13"/>
      <c r="C643" s="45" t="s">
        <v>485</v>
      </c>
      <c r="D643" s="14"/>
      <c r="E643" s="70" t="s">
        <v>352</v>
      </c>
      <c r="F643" s="201">
        <f>Data!E611/1000</f>
        <v>0</v>
      </c>
      <c r="G643" s="56"/>
      <c r="H643" s="56"/>
      <c r="I643" s="56">
        <f t="shared" si="158"/>
        <v>0</v>
      </c>
      <c r="J643" s="56">
        <f t="shared" si="157"/>
        <v>0</v>
      </c>
      <c r="K643" s="56">
        <f t="shared" si="157"/>
        <v>0</v>
      </c>
      <c r="L643" s="56">
        <f t="shared" si="157"/>
        <v>0</v>
      </c>
      <c r="M643" s="56">
        <f t="shared" si="157"/>
        <v>0</v>
      </c>
      <c r="N643" s="56">
        <f t="shared" si="157"/>
        <v>0</v>
      </c>
      <c r="O643" s="56">
        <f t="shared" si="157"/>
        <v>0</v>
      </c>
      <c r="P643" s="56">
        <f t="shared" si="157"/>
        <v>0</v>
      </c>
      <c r="Q643" s="56">
        <f t="shared" si="157"/>
        <v>0</v>
      </c>
      <c r="R643" s="56">
        <f t="shared" si="157"/>
        <v>0</v>
      </c>
      <c r="S643" s="56">
        <f t="shared" si="157"/>
        <v>0</v>
      </c>
      <c r="T643" s="56">
        <f t="shared" si="157"/>
        <v>0</v>
      </c>
      <c r="U643" s="56">
        <f t="shared" si="157"/>
        <v>0</v>
      </c>
      <c r="V643" s="56">
        <f t="shared" si="157"/>
        <v>0</v>
      </c>
      <c r="W643" s="56">
        <f t="shared" si="157"/>
        <v>0</v>
      </c>
      <c r="X643" s="56">
        <f t="shared" si="157"/>
        <v>0</v>
      </c>
      <c r="Y643" s="56">
        <f t="shared" si="157"/>
        <v>0</v>
      </c>
      <c r="Z643" s="56">
        <f t="shared" si="157"/>
        <v>0</v>
      </c>
      <c r="AA643" s="56">
        <f t="shared" si="157"/>
        <v>0</v>
      </c>
      <c r="AB643" s="56">
        <f t="shared" si="157"/>
        <v>0</v>
      </c>
      <c r="AC643" s="56">
        <f t="shared" si="157"/>
        <v>0</v>
      </c>
      <c r="AD643" s="56">
        <f t="shared" si="157"/>
        <v>0</v>
      </c>
      <c r="AE643" s="56">
        <f t="shared" si="157"/>
        <v>0</v>
      </c>
      <c r="AF643" s="56">
        <f t="shared" si="157"/>
        <v>0</v>
      </c>
      <c r="AG643" s="56">
        <f t="shared" si="157"/>
        <v>0</v>
      </c>
      <c r="AH643" s="56">
        <f t="shared" si="157"/>
        <v>0</v>
      </c>
      <c r="AI643" s="56">
        <f t="shared" si="157"/>
        <v>0</v>
      </c>
      <c r="AJ643" s="56">
        <f t="shared" si="157"/>
        <v>0</v>
      </c>
      <c r="AK643" s="56">
        <f t="shared" si="157"/>
        <v>0</v>
      </c>
      <c r="AL643" s="56">
        <f t="shared" si="157"/>
        <v>0</v>
      </c>
      <c r="AM643" s="56">
        <f t="shared" si="157"/>
        <v>0</v>
      </c>
      <c r="AN643" s="56">
        <f t="shared" si="157"/>
        <v>0</v>
      </c>
      <c r="AO643" s="56">
        <f t="shared" si="157"/>
        <v>0</v>
      </c>
      <c r="AP643" s="29"/>
    </row>
    <row r="644" spans="1:42" hidden="1" outlineLevel="1" x14ac:dyDescent="0.25">
      <c r="A644" s="54"/>
      <c r="B644" s="13"/>
      <c r="C644" s="45" t="s">
        <v>214</v>
      </c>
      <c r="D644" s="14"/>
      <c r="E644" s="70" t="s">
        <v>352</v>
      </c>
      <c r="F644" s="201">
        <f>Data!E612/1000</f>
        <v>0</v>
      </c>
      <c r="G644" s="56"/>
      <c r="H644" s="56"/>
      <c r="I644" s="56">
        <f t="shared" si="158"/>
        <v>0</v>
      </c>
      <c r="J644" s="56">
        <f t="shared" si="157"/>
        <v>0</v>
      </c>
      <c r="K644" s="56">
        <f t="shared" si="157"/>
        <v>0</v>
      </c>
      <c r="L644" s="56">
        <f t="shared" si="157"/>
        <v>0</v>
      </c>
      <c r="M644" s="56">
        <f t="shared" si="157"/>
        <v>0</v>
      </c>
      <c r="N644" s="56">
        <f t="shared" si="157"/>
        <v>0</v>
      </c>
      <c r="O644" s="56">
        <f t="shared" si="157"/>
        <v>0</v>
      </c>
      <c r="P644" s="56">
        <f t="shared" si="157"/>
        <v>0</v>
      </c>
      <c r="Q644" s="56">
        <f t="shared" si="157"/>
        <v>0</v>
      </c>
      <c r="R644" s="56">
        <f t="shared" si="157"/>
        <v>0</v>
      </c>
      <c r="S644" s="56">
        <f t="shared" si="157"/>
        <v>0</v>
      </c>
      <c r="T644" s="56">
        <f t="shared" si="157"/>
        <v>0</v>
      </c>
      <c r="U644" s="56">
        <f t="shared" si="157"/>
        <v>0</v>
      </c>
      <c r="V644" s="56">
        <f t="shared" si="157"/>
        <v>0</v>
      </c>
      <c r="W644" s="56">
        <f t="shared" si="157"/>
        <v>0</v>
      </c>
      <c r="X644" s="56">
        <f t="shared" si="157"/>
        <v>0</v>
      </c>
      <c r="Y644" s="56">
        <f t="shared" si="157"/>
        <v>0</v>
      </c>
      <c r="Z644" s="56">
        <f t="shared" si="157"/>
        <v>0</v>
      </c>
      <c r="AA644" s="56">
        <f t="shared" si="157"/>
        <v>0</v>
      </c>
      <c r="AB644" s="56">
        <f t="shared" si="157"/>
        <v>0</v>
      </c>
      <c r="AC644" s="56">
        <f t="shared" si="157"/>
        <v>0</v>
      </c>
      <c r="AD644" s="56">
        <f t="shared" si="157"/>
        <v>0</v>
      </c>
      <c r="AE644" s="56">
        <f t="shared" si="157"/>
        <v>0</v>
      </c>
      <c r="AF644" s="56">
        <f t="shared" si="157"/>
        <v>0</v>
      </c>
      <c r="AG644" s="56">
        <f t="shared" si="157"/>
        <v>0</v>
      </c>
      <c r="AH644" s="56">
        <f t="shared" si="157"/>
        <v>0</v>
      </c>
      <c r="AI644" s="56">
        <f t="shared" si="157"/>
        <v>0</v>
      </c>
      <c r="AJ644" s="56">
        <f t="shared" si="157"/>
        <v>0</v>
      </c>
      <c r="AK644" s="56">
        <f t="shared" si="157"/>
        <v>0</v>
      </c>
      <c r="AL644" s="56">
        <f t="shared" si="157"/>
        <v>0</v>
      </c>
      <c r="AM644" s="56">
        <f t="shared" si="157"/>
        <v>0</v>
      </c>
      <c r="AN644" s="56">
        <f t="shared" si="157"/>
        <v>0</v>
      </c>
      <c r="AO644" s="56">
        <f t="shared" si="157"/>
        <v>0</v>
      </c>
      <c r="AP644" s="29"/>
    </row>
    <row r="645" spans="1:42" hidden="1" outlineLevel="1" x14ac:dyDescent="0.25">
      <c r="A645" s="12"/>
      <c r="B645" s="13"/>
      <c r="C645" s="14"/>
      <c r="D645" s="14"/>
      <c r="E645" s="15"/>
      <c r="F645" s="16"/>
      <c r="G645" s="159"/>
      <c r="H645" s="159"/>
      <c r="I645" s="56"/>
      <c r="J645" s="56"/>
      <c r="K645" s="56"/>
      <c r="L645" s="56"/>
      <c r="M645" s="56"/>
      <c r="N645" s="56"/>
      <c r="O645" s="56"/>
      <c r="P645" s="56"/>
      <c r="Q645" s="56"/>
      <c r="R645" s="56"/>
      <c r="S645" s="56"/>
      <c r="T645" s="56"/>
      <c r="U645" s="56"/>
      <c r="V645" s="56"/>
      <c r="W645" s="56"/>
      <c r="X645" s="56"/>
      <c r="Y645" s="56"/>
      <c r="Z645" s="56"/>
      <c r="AA645" s="56"/>
      <c r="AB645" s="56"/>
      <c r="AC645" s="14"/>
      <c r="AD645" s="14"/>
      <c r="AE645" s="14"/>
      <c r="AF645" s="14"/>
      <c r="AG645" s="14"/>
      <c r="AH645" s="14"/>
      <c r="AI645" s="14"/>
      <c r="AJ645" s="14"/>
      <c r="AK645" s="14"/>
      <c r="AL645" s="14"/>
      <c r="AM645" s="14"/>
      <c r="AN645" s="14"/>
      <c r="AO645" s="14"/>
      <c r="AP645" s="14"/>
    </row>
    <row r="646" spans="1:42" hidden="1" outlineLevel="1" x14ac:dyDescent="0.25">
      <c r="A646" s="54"/>
      <c r="B646" s="13"/>
      <c r="C646" s="45" t="s">
        <v>205</v>
      </c>
      <c r="D646" s="14"/>
      <c r="E646" s="70" t="s">
        <v>474</v>
      </c>
      <c r="F646" s="200">
        <f>Data!$E$35/1000</f>
        <v>3.4099438202247192E-3</v>
      </c>
      <c r="G646" s="56"/>
      <c r="H646" s="56"/>
      <c r="I646" s="56">
        <f>I638*$F646</f>
        <v>0</v>
      </c>
      <c r="J646" s="56">
        <f t="shared" ref="J646:AO646" si="159">J638*$F646</f>
        <v>0</v>
      </c>
      <c r="K646" s="56">
        <f t="shared" si="159"/>
        <v>0</v>
      </c>
      <c r="L646" s="56">
        <f t="shared" si="159"/>
        <v>0</v>
      </c>
      <c r="M646" s="56">
        <f t="shared" si="159"/>
        <v>0</v>
      </c>
      <c r="N646" s="56">
        <f t="shared" si="159"/>
        <v>0</v>
      </c>
      <c r="O646" s="56">
        <f t="shared" si="159"/>
        <v>0</v>
      </c>
      <c r="P646" s="56">
        <f t="shared" si="159"/>
        <v>0</v>
      </c>
      <c r="Q646" s="56">
        <f t="shared" si="159"/>
        <v>0</v>
      </c>
      <c r="R646" s="56">
        <f t="shared" si="159"/>
        <v>0</v>
      </c>
      <c r="S646" s="56">
        <f t="shared" si="159"/>
        <v>0</v>
      </c>
      <c r="T646" s="56">
        <f t="shared" si="159"/>
        <v>0</v>
      </c>
      <c r="U646" s="56">
        <f t="shared" si="159"/>
        <v>0</v>
      </c>
      <c r="V646" s="56">
        <f t="shared" si="159"/>
        <v>0</v>
      </c>
      <c r="W646" s="56">
        <f t="shared" si="159"/>
        <v>0</v>
      </c>
      <c r="X646" s="56">
        <f t="shared" si="159"/>
        <v>0</v>
      </c>
      <c r="Y646" s="56">
        <f t="shared" si="159"/>
        <v>0</v>
      </c>
      <c r="Z646" s="56">
        <f t="shared" si="159"/>
        <v>0</v>
      </c>
      <c r="AA646" s="56">
        <f t="shared" si="159"/>
        <v>0</v>
      </c>
      <c r="AB646" s="56">
        <f t="shared" si="159"/>
        <v>0</v>
      </c>
      <c r="AC646" s="56">
        <f t="shared" si="159"/>
        <v>0</v>
      </c>
      <c r="AD646" s="56">
        <f t="shared" si="159"/>
        <v>0</v>
      </c>
      <c r="AE646" s="56">
        <f t="shared" si="159"/>
        <v>0</v>
      </c>
      <c r="AF646" s="56">
        <f t="shared" si="159"/>
        <v>0</v>
      </c>
      <c r="AG646" s="56">
        <f t="shared" si="159"/>
        <v>0</v>
      </c>
      <c r="AH646" s="56">
        <f t="shared" si="159"/>
        <v>0</v>
      </c>
      <c r="AI646" s="56">
        <f t="shared" si="159"/>
        <v>0</v>
      </c>
      <c r="AJ646" s="56">
        <f t="shared" si="159"/>
        <v>0</v>
      </c>
      <c r="AK646" s="56">
        <f t="shared" si="159"/>
        <v>0</v>
      </c>
      <c r="AL646" s="56">
        <f t="shared" si="159"/>
        <v>0</v>
      </c>
      <c r="AM646" s="56">
        <f t="shared" si="159"/>
        <v>0</v>
      </c>
      <c r="AN646" s="56">
        <f t="shared" si="159"/>
        <v>0</v>
      </c>
      <c r="AO646" s="56">
        <f t="shared" si="159"/>
        <v>0</v>
      </c>
      <c r="AP646" s="29"/>
    </row>
    <row r="647" spans="1:42" hidden="1" outlineLevel="1" x14ac:dyDescent="0.25">
      <c r="A647" s="54"/>
      <c r="B647" s="13"/>
      <c r="C647" s="45" t="s">
        <v>484</v>
      </c>
      <c r="D647" s="14"/>
      <c r="E647" s="70" t="s">
        <v>474</v>
      </c>
      <c r="F647" s="200"/>
      <c r="G647" s="56"/>
      <c r="H647" s="56"/>
      <c r="I647" s="56">
        <f>I$373*Data!$H16/1000</f>
        <v>0</v>
      </c>
      <c r="J647" s="56">
        <f>J$373*Data!I$16/1000</f>
        <v>0</v>
      </c>
      <c r="K647" s="56">
        <f>K$373*Data!J$16/1000</f>
        <v>0</v>
      </c>
      <c r="L647" s="56">
        <f>L$373*Data!K$16/1000</f>
        <v>0</v>
      </c>
      <c r="M647" s="56">
        <f>M$373*Data!L$16/1000</f>
        <v>0</v>
      </c>
      <c r="N647" s="56">
        <f>N$373*Data!M$16/1000</f>
        <v>0</v>
      </c>
      <c r="O647" s="56">
        <f>O$373*Data!N$16/1000</f>
        <v>0</v>
      </c>
      <c r="P647" s="56">
        <f>P$373*Data!O$16/1000</f>
        <v>0</v>
      </c>
      <c r="Q647" s="56">
        <f>Q$373*Data!P$16/1000</f>
        <v>0</v>
      </c>
      <c r="R647" s="56">
        <f>R$373*Data!Q$16/1000</f>
        <v>0</v>
      </c>
      <c r="S647" s="56">
        <f>S$373*Data!R$16/1000</f>
        <v>0</v>
      </c>
      <c r="T647" s="56">
        <f>T$373*Data!S$16/1000</f>
        <v>0</v>
      </c>
      <c r="U647" s="56">
        <f>U$373*Data!T$16/1000</f>
        <v>0</v>
      </c>
      <c r="V647" s="56">
        <f>V$373*Data!U$16/1000</f>
        <v>0</v>
      </c>
      <c r="W647" s="56">
        <f>W$373*Data!V$16/1000</f>
        <v>0</v>
      </c>
      <c r="X647" s="56">
        <f>X$373*Data!W$16/1000</f>
        <v>0</v>
      </c>
      <c r="Y647" s="56">
        <f>Y$373*Data!X$16/1000</f>
        <v>0</v>
      </c>
      <c r="Z647" s="56">
        <f>Z$373*Data!Y$16/1000</f>
        <v>0</v>
      </c>
      <c r="AA647" s="56">
        <f>AA$373*Data!Z$16/1000</f>
        <v>0</v>
      </c>
      <c r="AB647" s="56">
        <f>AB$373*Data!AA$16/1000</f>
        <v>0</v>
      </c>
      <c r="AC647" s="56">
        <f>AC$373*Data!AB$16/1000</f>
        <v>0</v>
      </c>
      <c r="AD647" s="56">
        <f>AD$373*Data!AC$16/1000</f>
        <v>0</v>
      </c>
      <c r="AE647" s="56">
        <f>AE$373*Data!AD$16/1000</f>
        <v>0</v>
      </c>
      <c r="AF647" s="56">
        <f>AF$373*Data!AE$16/1000</f>
        <v>0</v>
      </c>
      <c r="AG647" s="56">
        <f>AG$373*Data!AF$16/1000</f>
        <v>0</v>
      </c>
      <c r="AH647" s="56">
        <f>AH$373*Data!AG$16/1000</f>
        <v>0</v>
      </c>
      <c r="AI647" s="56">
        <f>AI$373*Data!AH$16/1000</f>
        <v>0</v>
      </c>
      <c r="AJ647" s="56">
        <f>AJ$373*Data!AI$16/1000</f>
        <v>0</v>
      </c>
      <c r="AK647" s="56">
        <f>AK$373*Data!AJ$16/1000</f>
        <v>0</v>
      </c>
      <c r="AL647" s="56">
        <f>AL$373*Data!AK$16/1000</f>
        <v>0</v>
      </c>
      <c r="AM647" s="56">
        <f>AM$373*Data!AL$16/1000</f>
        <v>0</v>
      </c>
      <c r="AN647" s="56">
        <f>AN$373*Data!AM$16/1000</f>
        <v>0</v>
      </c>
      <c r="AO647" s="56">
        <f>AO$373*Data!AN$16/1000</f>
        <v>0</v>
      </c>
      <c r="AP647" s="29"/>
    </row>
    <row r="648" spans="1:42" hidden="1" outlineLevel="1" x14ac:dyDescent="0.25">
      <c r="A648" s="54"/>
      <c r="B648" s="13"/>
      <c r="C648" s="45" t="s">
        <v>285</v>
      </c>
      <c r="D648" s="14"/>
      <c r="E648" s="70" t="s">
        <v>474</v>
      </c>
      <c r="F648" s="200">
        <f>Data!$E$36/1000</f>
        <v>1.0822865168539326</v>
      </c>
      <c r="G648" s="56"/>
      <c r="H648" s="56"/>
      <c r="I648" s="56">
        <f>I640*$F648</f>
        <v>0</v>
      </c>
      <c r="J648" s="56">
        <f t="shared" ref="J648:AO652" si="160">J640*$F648</f>
        <v>0</v>
      </c>
      <c r="K648" s="56">
        <f t="shared" si="160"/>
        <v>0</v>
      </c>
      <c r="L648" s="56">
        <f t="shared" si="160"/>
        <v>0</v>
      </c>
      <c r="M648" s="56">
        <f t="shared" si="160"/>
        <v>0</v>
      </c>
      <c r="N648" s="56">
        <f t="shared" si="160"/>
        <v>0</v>
      </c>
      <c r="O648" s="56">
        <f t="shared" si="160"/>
        <v>0</v>
      </c>
      <c r="P648" s="56">
        <f t="shared" si="160"/>
        <v>0</v>
      </c>
      <c r="Q648" s="56">
        <f t="shared" si="160"/>
        <v>0</v>
      </c>
      <c r="R648" s="56">
        <f t="shared" si="160"/>
        <v>0</v>
      </c>
      <c r="S648" s="56">
        <f t="shared" si="160"/>
        <v>0</v>
      </c>
      <c r="T648" s="56">
        <f t="shared" si="160"/>
        <v>0</v>
      </c>
      <c r="U648" s="56">
        <f t="shared" si="160"/>
        <v>0</v>
      </c>
      <c r="V648" s="56">
        <f t="shared" si="160"/>
        <v>0</v>
      </c>
      <c r="W648" s="56">
        <f t="shared" si="160"/>
        <v>0</v>
      </c>
      <c r="X648" s="56">
        <f t="shared" si="160"/>
        <v>0</v>
      </c>
      <c r="Y648" s="56">
        <f t="shared" si="160"/>
        <v>0</v>
      </c>
      <c r="Z648" s="56">
        <f t="shared" si="160"/>
        <v>0</v>
      </c>
      <c r="AA648" s="56">
        <f t="shared" si="160"/>
        <v>0</v>
      </c>
      <c r="AB648" s="56">
        <f t="shared" si="160"/>
        <v>0</v>
      </c>
      <c r="AC648" s="56">
        <f t="shared" si="160"/>
        <v>0</v>
      </c>
      <c r="AD648" s="56">
        <f t="shared" si="160"/>
        <v>0</v>
      </c>
      <c r="AE648" s="56">
        <f t="shared" si="160"/>
        <v>0</v>
      </c>
      <c r="AF648" s="56">
        <f t="shared" si="160"/>
        <v>0</v>
      </c>
      <c r="AG648" s="56">
        <f t="shared" si="160"/>
        <v>0</v>
      </c>
      <c r="AH648" s="56">
        <f t="shared" si="160"/>
        <v>0</v>
      </c>
      <c r="AI648" s="56">
        <f t="shared" si="160"/>
        <v>0</v>
      </c>
      <c r="AJ648" s="56">
        <f t="shared" si="160"/>
        <v>0</v>
      </c>
      <c r="AK648" s="56">
        <f t="shared" si="160"/>
        <v>0</v>
      </c>
      <c r="AL648" s="56">
        <f t="shared" si="160"/>
        <v>0</v>
      </c>
      <c r="AM648" s="56">
        <f t="shared" si="160"/>
        <v>0</v>
      </c>
      <c r="AN648" s="56">
        <f t="shared" si="160"/>
        <v>0</v>
      </c>
      <c r="AO648" s="56">
        <f t="shared" si="160"/>
        <v>0</v>
      </c>
      <c r="AP648" s="29"/>
    </row>
    <row r="649" spans="1:42" hidden="1" outlineLevel="1" x14ac:dyDescent="0.25">
      <c r="A649" s="54"/>
      <c r="B649" s="13"/>
      <c r="C649" s="45" t="s">
        <v>220</v>
      </c>
      <c r="D649" s="14"/>
      <c r="E649" s="70" t="s">
        <v>474</v>
      </c>
      <c r="F649" s="200">
        <f>Data!$E$37/1000</f>
        <v>371.00188764044947</v>
      </c>
      <c r="G649" s="56"/>
      <c r="H649" s="56"/>
      <c r="I649" s="56">
        <f t="shared" ref="I649:X652" si="161">I641*$F649</f>
        <v>0</v>
      </c>
      <c r="J649" s="56">
        <f t="shared" si="161"/>
        <v>0</v>
      </c>
      <c r="K649" s="56">
        <f t="shared" si="161"/>
        <v>0</v>
      </c>
      <c r="L649" s="56">
        <f t="shared" si="161"/>
        <v>0</v>
      </c>
      <c r="M649" s="56">
        <f t="shared" si="161"/>
        <v>0</v>
      </c>
      <c r="N649" s="56">
        <f t="shared" si="161"/>
        <v>0</v>
      </c>
      <c r="O649" s="56">
        <f t="shared" si="161"/>
        <v>0</v>
      </c>
      <c r="P649" s="56">
        <f t="shared" si="161"/>
        <v>0</v>
      </c>
      <c r="Q649" s="56">
        <f t="shared" si="161"/>
        <v>0</v>
      </c>
      <c r="R649" s="56">
        <f t="shared" si="161"/>
        <v>0</v>
      </c>
      <c r="S649" s="56">
        <f t="shared" si="161"/>
        <v>0</v>
      </c>
      <c r="T649" s="56">
        <f t="shared" si="161"/>
        <v>0</v>
      </c>
      <c r="U649" s="56">
        <f t="shared" si="161"/>
        <v>0</v>
      </c>
      <c r="V649" s="56">
        <f t="shared" si="161"/>
        <v>0</v>
      </c>
      <c r="W649" s="56">
        <f t="shared" si="161"/>
        <v>0</v>
      </c>
      <c r="X649" s="56">
        <f t="shared" si="161"/>
        <v>0</v>
      </c>
      <c r="Y649" s="56">
        <f t="shared" si="160"/>
        <v>0</v>
      </c>
      <c r="Z649" s="56">
        <f t="shared" si="160"/>
        <v>0</v>
      </c>
      <c r="AA649" s="56">
        <f t="shared" si="160"/>
        <v>0</v>
      </c>
      <c r="AB649" s="56">
        <f t="shared" si="160"/>
        <v>0</v>
      </c>
      <c r="AC649" s="56">
        <f t="shared" si="160"/>
        <v>0</v>
      </c>
      <c r="AD649" s="56">
        <f t="shared" si="160"/>
        <v>0</v>
      </c>
      <c r="AE649" s="56">
        <f t="shared" si="160"/>
        <v>0</v>
      </c>
      <c r="AF649" s="56">
        <f t="shared" si="160"/>
        <v>0</v>
      </c>
      <c r="AG649" s="56">
        <f t="shared" si="160"/>
        <v>0</v>
      </c>
      <c r="AH649" s="56">
        <f t="shared" si="160"/>
        <v>0</v>
      </c>
      <c r="AI649" s="56">
        <f t="shared" si="160"/>
        <v>0</v>
      </c>
      <c r="AJ649" s="56">
        <f t="shared" si="160"/>
        <v>0</v>
      </c>
      <c r="AK649" s="56">
        <f t="shared" si="160"/>
        <v>0</v>
      </c>
      <c r="AL649" s="56">
        <f t="shared" si="160"/>
        <v>0</v>
      </c>
      <c r="AM649" s="56">
        <f t="shared" si="160"/>
        <v>0</v>
      </c>
      <c r="AN649" s="56">
        <f t="shared" si="160"/>
        <v>0</v>
      </c>
      <c r="AO649" s="56">
        <f t="shared" si="160"/>
        <v>0</v>
      </c>
      <c r="AP649" s="29"/>
    </row>
    <row r="650" spans="1:42" hidden="1" outlineLevel="1" x14ac:dyDescent="0.25">
      <c r="A650" s="54"/>
      <c r="B650" s="13"/>
      <c r="C650" s="45" t="s">
        <v>212</v>
      </c>
      <c r="D650" s="14"/>
      <c r="E650" s="70" t="s">
        <v>474</v>
      </c>
      <c r="F650" s="200">
        <f>Data!$E$39/1000</f>
        <v>0</v>
      </c>
      <c r="G650" s="56"/>
      <c r="H650" s="56"/>
      <c r="I650" s="56">
        <f t="shared" si="161"/>
        <v>0</v>
      </c>
      <c r="J650" s="56">
        <f t="shared" si="160"/>
        <v>0</v>
      </c>
      <c r="K650" s="56">
        <f t="shared" si="160"/>
        <v>0</v>
      </c>
      <c r="L650" s="56">
        <f t="shared" si="160"/>
        <v>0</v>
      </c>
      <c r="M650" s="56">
        <f t="shared" si="160"/>
        <v>0</v>
      </c>
      <c r="N650" s="56">
        <f t="shared" si="160"/>
        <v>0</v>
      </c>
      <c r="O650" s="56">
        <f t="shared" si="160"/>
        <v>0</v>
      </c>
      <c r="P650" s="56">
        <f t="shared" si="160"/>
        <v>0</v>
      </c>
      <c r="Q650" s="56">
        <f t="shared" si="160"/>
        <v>0</v>
      </c>
      <c r="R650" s="56">
        <f t="shared" si="160"/>
        <v>0</v>
      </c>
      <c r="S650" s="56">
        <f t="shared" si="160"/>
        <v>0</v>
      </c>
      <c r="T650" s="56">
        <f t="shared" si="160"/>
        <v>0</v>
      </c>
      <c r="U650" s="56">
        <f t="shared" si="160"/>
        <v>0</v>
      </c>
      <c r="V650" s="56">
        <f t="shared" si="160"/>
        <v>0</v>
      </c>
      <c r="W650" s="56">
        <f t="shared" si="160"/>
        <v>0</v>
      </c>
      <c r="X650" s="56">
        <f t="shared" si="160"/>
        <v>0</v>
      </c>
      <c r="Y650" s="56">
        <f t="shared" si="160"/>
        <v>0</v>
      </c>
      <c r="Z650" s="56">
        <f t="shared" si="160"/>
        <v>0</v>
      </c>
      <c r="AA650" s="56">
        <f t="shared" si="160"/>
        <v>0</v>
      </c>
      <c r="AB650" s="56">
        <f t="shared" si="160"/>
        <v>0</v>
      </c>
      <c r="AC650" s="56">
        <f t="shared" si="160"/>
        <v>0</v>
      </c>
      <c r="AD650" s="56">
        <f t="shared" si="160"/>
        <v>0</v>
      </c>
      <c r="AE650" s="56">
        <f t="shared" si="160"/>
        <v>0</v>
      </c>
      <c r="AF650" s="56">
        <f t="shared" si="160"/>
        <v>0</v>
      </c>
      <c r="AG650" s="56">
        <f t="shared" si="160"/>
        <v>0</v>
      </c>
      <c r="AH650" s="56">
        <f t="shared" si="160"/>
        <v>0</v>
      </c>
      <c r="AI650" s="56">
        <f t="shared" si="160"/>
        <v>0</v>
      </c>
      <c r="AJ650" s="56">
        <f t="shared" si="160"/>
        <v>0</v>
      </c>
      <c r="AK650" s="56">
        <f t="shared" si="160"/>
        <v>0</v>
      </c>
      <c r="AL650" s="56">
        <f t="shared" si="160"/>
        <v>0</v>
      </c>
      <c r="AM650" s="56">
        <f t="shared" si="160"/>
        <v>0</v>
      </c>
      <c r="AN650" s="56">
        <f t="shared" si="160"/>
        <v>0</v>
      </c>
      <c r="AO650" s="56">
        <f t="shared" si="160"/>
        <v>0</v>
      </c>
      <c r="AP650" s="29"/>
    </row>
    <row r="651" spans="1:42" hidden="1" outlineLevel="1" x14ac:dyDescent="0.25">
      <c r="A651" s="54"/>
      <c r="B651" s="13"/>
      <c r="C651" s="45" t="s">
        <v>485</v>
      </c>
      <c r="D651" s="14"/>
      <c r="E651" s="70" t="s">
        <v>474</v>
      </c>
      <c r="F651" s="200">
        <f>Data!$E$40/1000</f>
        <v>605.20914606741576</v>
      </c>
      <c r="G651" s="56"/>
      <c r="H651" s="56"/>
      <c r="I651" s="56">
        <f t="shared" si="161"/>
        <v>0</v>
      </c>
      <c r="J651" s="56">
        <f t="shared" si="160"/>
        <v>0</v>
      </c>
      <c r="K651" s="56">
        <f t="shared" si="160"/>
        <v>0</v>
      </c>
      <c r="L651" s="56">
        <f t="shared" si="160"/>
        <v>0</v>
      </c>
      <c r="M651" s="56">
        <f t="shared" si="160"/>
        <v>0</v>
      </c>
      <c r="N651" s="56">
        <f t="shared" si="160"/>
        <v>0</v>
      </c>
      <c r="O651" s="56">
        <f t="shared" si="160"/>
        <v>0</v>
      </c>
      <c r="P651" s="56">
        <f t="shared" si="160"/>
        <v>0</v>
      </c>
      <c r="Q651" s="56">
        <f t="shared" si="160"/>
        <v>0</v>
      </c>
      <c r="R651" s="56">
        <f t="shared" si="160"/>
        <v>0</v>
      </c>
      <c r="S651" s="56">
        <f t="shared" si="160"/>
        <v>0</v>
      </c>
      <c r="T651" s="56">
        <f t="shared" si="160"/>
        <v>0</v>
      </c>
      <c r="U651" s="56">
        <f t="shared" si="160"/>
        <v>0</v>
      </c>
      <c r="V651" s="56">
        <f t="shared" si="160"/>
        <v>0</v>
      </c>
      <c r="W651" s="56">
        <f t="shared" si="160"/>
        <v>0</v>
      </c>
      <c r="X651" s="56">
        <f t="shared" si="160"/>
        <v>0</v>
      </c>
      <c r="Y651" s="56">
        <f t="shared" si="160"/>
        <v>0</v>
      </c>
      <c r="Z651" s="56">
        <f t="shared" si="160"/>
        <v>0</v>
      </c>
      <c r="AA651" s="56">
        <f t="shared" si="160"/>
        <v>0</v>
      </c>
      <c r="AB651" s="56">
        <f t="shared" si="160"/>
        <v>0</v>
      </c>
      <c r="AC651" s="56">
        <f t="shared" si="160"/>
        <v>0</v>
      </c>
      <c r="AD651" s="56">
        <f t="shared" si="160"/>
        <v>0</v>
      </c>
      <c r="AE651" s="56">
        <f t="shared" si="160"/>
        <v>0</v>
      </c>
      <c r="AF651" s="56">
        <f t="shared" si="160"/>
        <v>0</v>
      </c>
      <c r="AG651" s="56">
        <f t="shared" si="160"/>
        <v>0</v>
      </c>
      <c r="AH651" s="56">
        <f t="shared" si="160"/>
        <v>0</v>
      </c>
      <c r="AI651" s="56">
        <f t="shared" si="160"/>
        <v>0</v>
      </c>
      <c r="AJ651" s="56">
        <f t="shared" si="160"/>
        <v>0</v>
      </c>
      <c r="AK651" s="56">
        <f t="shared" si="160"/>
        <v>0</v>
      </c>
      <c r="AL651" s="56">
        <f t="shared" si="160"/>
        <v>0</v>
      </c>
      <c r="AM651" s="56">
        <f t="shared" si="160"/>
        <v>0</v>
      </c>
      <c r="AN651" s="56">
        <f t="shared" si="160"/>
        <v>0</v>
      </c>
      <c r="AO651" s="56">
        <f t="shared" si="160"/>
        <v>0</v>
      </c>
      <c r="AP651" s="29"/>
    </row>
    <row r="652" spans="1:42" hidden="1" outlineLevel="1" x14ac:dyDescent="0.25">
      <c r="A652" s="54"/>
      <c r="B652" s="13"/>
      <c r="C652" s="45" t="s">
        <v>214</v>
      </c>
      <c r="D652" s="14"/>
      <c r="E652" s="70" t="s">
        <v>474</v>
      </c>
      <c r="F652" s="200">
        <f>Data!$E$41/1000</f>
        <v>0</v>
      </c>
      <c r="G652" s="56"/>
      <c r="H652" s="56"/>
      <c r="I652" s="56">
        <f t="shared" si="161"/>
        <v>0</v>
      </c>
      <c r="J652" s="56">
        <f t="shared" si="160"/>
        <v>0</v>
      </c>
      <c r="K652" s="56">
        <f t="shared" si="160"/>
        <v>0</v>
      </c>
      <c r="L652" s="56">
        <f t="shared" si="160"/>
        <v>0</v>
      </c>
      <c r="M652" s="56">
        <f t="shared" si="160"/>
        <v>0</v>
      </c>
      <c r="N652" s="56">
        <f t="shared" si="160"/>
        <v>0</v>
      </c>
      <c r="O652" s="56">
        <f t="shared" si="160"/>
        <v>0</v>
      </c>
      <c r="P652" s="56">
        <f t="shared" si="160"/>
        <v>0</v>
      </c>
      <c r="Q652" s="56">
        <f t="shared" si="160"/>
        <v>0</v>
      </c>
      <c r="R652" s="56">
        <f t="shared" si="160"/>
        <v>0</v>
      </c>
      <c r="S652" s="56">
        <f t="shared" si="160"/>
        <v>0</v>
      </c>
      <c r="T652" s="56">
        <f t="shared" si="160"/>
        <v>0</v>
      </c>
      <c r="U652" s="56">
        <f t="shared" si="160"/>
        <v>0</v>
      </c>
      <c r="V652" s="56">
        <f t="shared" si="160"/>
        <v>0</v>
      </c>
      <c r="W652" s="56">
        <f t="shared" si="160"/>
        <v>0</v>
      </c>
      <c r="X652" s="56">
        <f t="shared" si="160"/>
        <v>0</v>
      </c>
      <c r="Y652" s="56">
        <f t="shared" si="160"/>
        <v>0</v>
      </c>
      <c r="Z652" s="56">
        <f t="shared" si="160"/>
        <v>0</v>
      </c>
      <c r="AA652" s="56">
        <f t="shared" si="160"/>
        <v>0</v>
      </c>
      <c r="AB652" s="56">
        <f t="shared" si="160"/>
        <v>0</v>
      </c>
      <c r="AC652" s="56">
        <f t="shared" si="160"/>
        <v>0</v>
      </c>
      <c r="AD652" s="56">
        <f t="shared" si="160"/>
        <v>0</v>
      </c>
      <c r="AE652" s="56">
        <f t="shared" si="160"/>
        <v>0</v>
      </c>
      <c r="AF652" s="56">
        <f t="shared" si="160"/>
        <v>0</v>
      </c>
      <c r="AG652" s="56">
        <f t="shared" si="160"/>
        <v>0</v>
      </c>
      <c r="AH652" s="56">
        <f t="shared" si="160"/>
        <v>0</v>
      </c>
      <c r="AI652" s="56">
        <f t="shared" si="160"/>
        <v>0</v>
      </c>
      <c r="AJ652" s="56">
        <f t="shared" si="160"/>
        <v>0</v>
      </c>
      <c r="AK652" s="56">
        <f t="shared" si="160"/>
        <v>0</v>
      </c>
      <c r="AL652" s="56">
        <f t="shared" si="160"/>
        <v>0</v>
      </c>
      <c r="AM652" s="56">
        <f t="shared" si="160"/>
        <v>0</v>
      </c>
      <c r="AN652" s="56">
        <f t="shared" si="160"/>
        <v>0</v>
      </c>
      <c r="AO652" s="56">
        <f t="shared" si="160"/>
        <v>0</v>
      </c>
      <c r="AP652" s="29"/>
    </row>
    <row r="653" spans="1:42" hidden="1" outlineLevel="1" x14ac:dyDescent="0.25">
      <c r="A653" s="12"/>
      <c r="B653" s="13"/>
      <c r="C653" s="20" t="s">
        <v>486</v>
      </c>
      <c r="D653" s="14"/>
      <c r="E653" s="70" t="s">
        <v>474</v>
      </c>
      <c r="F653" s="16"/>
      <c r="G653" s="159"/>
      <c r="H653" s="185"/>
      <c r="I653" s="185">
        <f>SUM(I646:I652)</f>
        <v>0</v>
      </c>
      <c r="J653" s="185">
        <f t="shared" ref="J653" si="162">SUM(J646:J652)</f>
        <v>0</v>
      </c>
      <c r="K653" s="185">
        <f t="shared" ref="K653" si="163">SUM(K646:K652)</f>
        <v>0</v>
      </c>
      <c r="L653" s="185">
        <f t="shared" ref="L653" si="164">SUM(L646:L652)</f>
        <v>0</v>
      </c>
      <c r="M653" s="185">
        <f t="shared" ref="M653" si="165">SUM(M646:M652)</f>
        <v>0</v>
      </c>
      <c r="N653" s="185">
        <f t="shared" ref="N653" si="166">SUM(N646:N652)</f>
        <v>0</v>
      </c>
      <c r="O653" s="185">
        <f t="shared" ref="O653" si="167">SUM(O646:O652)</f>
        <v>0</v>
      </c>
      <c r="P653" s="185">
        <f t="shared" ref="P653" si="168">SUM(P646:P652)</f>
        <v>0</v>
      </c>
      <c r="Q653" s="185">
        <f t="shared" ref="Q653" si="169">SUM(Q646:Q652)</f>
        <v>0</v>
      </c>
      <c r="R653" s="185">
        <f t="shared" ref="R653" si="170">SUM(R646:R652)</f>
        <v>0</v>
      </c>
      <c r="S653" s="185">
        <f t="shared" ref="S653" si="171">SUM(S646:S652)</f>
        <v>0</v>
      </c>
      <c r="T653" s="185">
        <f t="shared" ref="T653" si="172">SUM(T646:T652)</f>
        <v>0</v>
      </c>
      <c r="U653" s="185">
        <f t="shared" ref="U653" si="173">SUM(U646:U652)</f>
        <v>0</v>
      </c>
      <c r="V653" s="185">
        <f t="shared" ref="V653" si="174">SUM(V646:V652)</f>
        <v>0</v>
      </c>
      <c r="W653" s="185">
        <f t="shared" ref="W653" si="175">SUM(W646:W652)</f>
        <v>0</v>
      </c>
      <c r="X653" s="185">
        <f t="shared" ref="X653" si="176">SUM(X646:X652)</f>
        <v>0</v>
      </c>
      <c r="Y653" s="185">
        <f t="shared" ref="Y653" si="177">SUM(Y646:Y652)</f>
        <v>0</v>
      </c>
      <c r="Z653" s="185">
        <f t="shared" ref="Z653" si="178">SUM(Z646:Z652)</f>
        <v>0</v>
      </c>
      <c r="AA653" s="185">
        <f t="shared" ref="AA653" si="179">SUM(AA646:AA652)</f>
        <v>0</v>
      </c>
      <c r="AB653" s="185">
        <f t="shared" ref="AB653" si="180">SUM(AB646:AB652)</f>
        <v>0</v>
      </c>
      <c r="AC653" s="185">
        <f t="shared" ref="AC653" si="181">SUM(AC646:AC652)</f>
        <v>0</v>
      </c>
      <c r="AD653" s="185">
        <f t="shared" ref="AD653" si="182">SUM(AD646:AD652)</f>
        <v>0</v>
      </c>
      <c r="AE653" s="185">
        <f t="shared" ref="AE653" si="183">SUM(AE646:AE652)</f>
        <v>0</v>
      </c>
      <c r="AF653" s="185">
        <f t="shared" ref="AF653" si="184">SUM(AF646:AF652)</f>
        <v>0</v>
      </c>
      <c r="AG653" s="185">
        <f t="shared" ref="AG653" si="185">SUM(AG646:AG652)</f>
        <v>0</v>
      </c>
      <c r="AH653" s="185">
        <f t="shared" ref="AH653" si="186">SUM(AH646:AH652)</f>
        <v>0</v>
      </c>
      <c r="AI653" s="185">
        <f t="shared" ref="AI653" si="187">SUM(AI646:AI652)</f>
        <v>0</v>
      </c>
      <c r="AJ653" s="185">
        <f t="shared" ref="AJ653" si="188">SUM(AJ646:AJ652)</f>
        <v>0</v>
      </c>
      <c r="AK653" s="185">
        <f t="shared" ref="AK653" si="189">SUM(AK646:AK652)</f>
        <v>0</v>
      </c>
      <c r="AL653" s="185">
        <f t="shared" ref="AL653" si="190">SUM(AL646:AL652)</f>
        <v>0</v>
      </c>
      <c r="AM653" s="185">
        <f t="shared" ref="AM653" si="191">SUM(AM646:AM652)</f>
        <v>0</v>
      </c>
      <c r="AN653" s="185">
        <f t="shared" ref="AN653" si="192">SUM(AN646:AN652)</f>
        <v>0</v>
      </c>
      <c r="AO653" s="185">
        <f t="shared" ref="AO653" si="193">SUM(AO646:AO652)</f>
        <v>0</v>
      </c>
      <c r="AP653" s="14"/>
    </row>
    <row r="654" spans="1:42" hidden="1" outlineLevel="1" x14ac:dyDescent="0.25">
      <c r="A654" s="12"/>
      <c r="B654" s="13"/>
      <c r="C654" s="14" t="s">
        <v>523</v>
      </c>
      <c r="D654" s="14"/>
      <c r="E654" s="15" t="s">
        <v>474</v>
      </c>
      <c r="F654" s="48"/>
      <c r="G654" s="185"/>
      <c r="H654" s="185"/>
      <c r="I654" s="185">
        <f>I653*Data!H$9</f>
        <v>0</v>
      </c>
      <c r="J654" s="185">
        <f>J653*Data!I$9</f>
        <v>0</v>
      </c>
      <c r="K654" s="185">
        <f>K653*Data!J$9</f>
        <v>0</v>
      </c>
      <c r="L654" s="185">
        <f>L653*Data!K$9</f>
        <v>0</v>
      </c>
      <c r="M654" s="185">
        <f>M653*Data!L$9</f>
        <v>0</v>
      </c>
      <c r="N654" s="185">
        <f>N653*Data!M$9</f>
        <v>0</v>
      </c>
      <c r="O654" s="185">
        <f>O653*Data!N$9</f>
        <v>0</v>
      </c>
      <c r="P654" s="185">
        <f>P653*Data!O$9</f>
        <v>0</v>
      </c>
      <c r="Q654" s="185">
        <f>Q653*Data!P$9</f>
        <v>0</v>
      </c>
      <c r="R654" s="185">
        <f>R653*Data!Q$9</f>
        <v>0</v>
      </c>
      <c r="S654" s="185">
        <f>S653*Data!R$9</f>
        <v>0</v>
      </c>
      <c r="T654" s="185">
        <f>T653*Data!S$9</f>
        <v>0</v>
      </c>
      <c r="U654" s="185">
        <f>U653*Data!T$9</f>
        <v>0</v>
      </c>
      <c r="V654" s="185">
        <f>V653*Data!U$9</f>
        <v>0</v>
      </c>
      <c r="W654" s="185">
        <f>W653*Data!V$9</f>
        <v>0</v>
      </c>
      <c r="X654" s="185">
        <f>X653*Data!W$9</f>
        <v>0</v>
      </c>
      <c r="Y654" s="185">
        <f>Y653*Data!X$9</f>
        <v>0</v>
      </c>
      <c r="Z654" s="185">
        <f>Z653*Data!Y$9</f>
        <v>0</v>
      </c>
      <c r="AA654" s="185">
        <f>AA653*Data!Z$9</f>
        <v>0</v>
      </c>
      <c r="AB654" s="185">
        <f>AB653*Data!AA$9</f>
        <v>0</v>
      </c>
      <c r="AC654" s="185">
        <f>AC653*Data!AB$9</f>
        <v>0</v>
      </c>
      <c r="AD654" s="185">
        <f>AD653*Data!AC$9</f>
        <v>0</v>
      </c>
      <c r="AE654" s="185">
        <f>AE653*Data!AD$9</f>
        <v>0</v>
      </c>
      <c r="AF654" s="185">
        <f>AF653*Data!AE$9</f>
        <v>0</v>
      </c>
      <c r="AG654" s="185">
        <f>AG653*Data!AF$9</f>
        <v>0</v>
      </c>
      <c r="AH654" s="185">
        <f>AH653*Data!AG$9</f>
        <v>0</v>
      </c>
      <c r="AI654" s="185">
        <f>AI653*Data!AH$9</f>
        <v>0</v>
      </c>
      <c r="AJ654" s="185">
        <f>AJ653*Data!AI$9</f>
        <v>0</v>
      </c>
      <c r="AK654" s="185">
        <f>AK653*Data!AJ$9</f>
        <v>0</v>
      </c>
      <c r="AL654" s="185">
        <f>AL653*Data!AK$9</f>
        <v>0</v>
      </c>
      <c r="AM654" s="185">
        <f>AM653*Data!AL$9</f>
        <v>0</v>
      </c>
      <c r="AN654" s="185">
        <f>AN653*Data!AM$9</f>
        <v>0</v>
      </c>
      <c r="AO654" s="185">
        <f>AO653*Data!AN$9</f>
        <v>0</v>
      </c>
      <c r="AP654" s="14"/>
    </row>
    <row r="655" spans="1:42" hidden="1" outlineLevel="1" x14ac:dyDescent="0.25">
      <c r="A655" s="12"/>
      <c r="B655" s="13"/>
      <c r="C655" s="14" t="s">
        <v>489</v>
      </c>
      <c r="D655" s="13"/>
      <c r="E655" s="15" t="s">
        <v>142</v>
      </c>
      <c r="F655" s="16"/>
      <c r="G655" s="159">
        <f>SUM(H654:AO654)</f>
        <v>0</v>
      </c>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row>
    <row r="656" spans="1:42" hidden="1" outlineLevel="1" x14ac:dyDescent="0.25">
      <c r="A656" s="12"/>
      <c r="B656" s="13"/>
      <c r="C656" s="41" t="s">
        <v>62</v>
      </c>
      <c r="D656" s="41"/>
      <c r="E656" s="15" t="s">
        <v>261</v>
      </c>
      <c r="F656" s="16"/>
      <c r="G656" s="184">
        <f>G655/(SUM(H636:AO636))</f>
        <v>0</v>
      </c>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7"/>
    </row>
    <row r="657" spans="1:42" hidden="1" outlineLevel="1" x14ac:dyDescent="0.25">
      <c r="A657" s="12"/>
      <c r="B657" s="13"/>
      <c r="C657" s="41"/>
      <c r="D657" s="41"/>
      <c r="E657" s="15"/>
      <c r="F657" s="16"/>
      <c r="G657" s="14"/>
      <c r="H657" s="141"/>
      <c r="I657" s="141"/>
      <c r="J657" s="141"/>
      <c r="K657" s="141"/>
      <c r="L657" s="141"/>
      <c r="M657" s="141"/>
      <c r="N657" s="141"/>
      <c r="O657" s="141"/>
      <c r="P657" s="141"/>
      <c r="Q657" s="141"/>
      <c r="R657" s="141"/>
      <c r="S657" s="141"/>
      <c r="T657" s="141"/>
      <c r="U657" s="141"/>
      <c r="V657" s="141"/>
      <c r="W657" s="141"/>
      <c r="X657" s="141"/>
      <c r="Y657" s="141"/>
      <c r="Z657" s="141"/>
      <c r="AA657" s="141"/>
      <c r="AB657" s="141"/>
      <c r="AC657" s="14"/>
      <c r="AD657" s="14"/>
      <c r="AE657" s="14"/>
      <c r="AF657" s="14"/>
      <c r="AG657" s="14"/>
      <c r="AH657" s="14"/>
      <c r="AI657" s="14"/>
      <c r="AJ657" s="14"/>
      <c r="AK657" s="14"/>
      <c r="AL657" s="14"/>
      <c r="AM657" s="14"/>
      <c r="AN657" s="14"/>
      <c r="AO657" s="14"/>
      <c r="AP657" s="17"/>
    </row>
    <row r="658" spans="1:42" hidden="1" outlineLevel="1" x14ac:dyDescent="0.25">
      <c r="A658" s="12"/>
      <c r="B658" s="13"/>
      <c r="C658" s="19" t="s">
        <v>252</v>
      </c>
      <c r="D658" s="14"/>
      <c r="E658" s="15"/>
      <c r="F658" s="16"/>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row>
    <row r="659" spans="1:42" hidden="1" outlineLevel="1" x14ac:dyDescent="0.25">
      <c r="A659" s="12"/>
      <c r="B659" s="13"/>
      <c r="C659" s="45" t="s">
        <v>520</v>
      </c>
      <c r="D659" s="14"/>
      <c r="E659" s="15" t="s">
        <v>521</v>
      </c>
      <c r="F659" s="16"/>
      <c r="G659" s="14"/>
      <c r="H659" s="141"/>
      <c r="I659" s="141">
        <f t="shared" ref="I659:AN659" si="194">I556</f>
        <v>93600</v>
      </c>
      <c r="J659" s="141">
        <f t="shared" si="194"/>
        <v>93600</v>
      </c>
      <c r="K659" s="141">
        <f t="shared" si="194"/>
        <v>93600</v>
      </c>
      <c r="L659" s="141">
        <f t="shared" si="194"/>
        <v>93600</v>
      </c>
      <c r="M659" s="141">
        <f t="shared" si="194"/>
        <v>93600</v>
      </c>
      <c r="N659" s="141">
        <f t="shared" si="194"/>
        <v>93600</v>
      </c>
      <c r="O659" s="141">
        <f t="shared" si="194"/>
        <v>93600</v>
      </c>
      <c r="P659" s="141">
        <f t="shared" si="194"/>
        <v>93600</v>
      </c>
      <c r="Q659" s="141">
        <f t="shared" si="194"/>
        <v>93600</v>
      </c>
      <c r="R659" s="141">
        <f t="shared" si="194"/>
        <v>93600</v>
      </c>
      <c r="S659" s="141">
        <f t="shared" si="194"/>
        <v>93600</v>
      </c>
      <c r="T659" s="141">
        <f t="shared" si="194"/>
        <v>93600</v>
      </c>
      <c r="U659" s="141">
        <f t="shared" si="194"/>
        <v>0</v>
      </c>
      <c r="V659" s="141">
        <f t="shared" si="194"/>
        <v>0</v>
      </c>
      <c r="W659" s="141">
        <f t="shared" si="194"/>
        <v>0</v>
      </c>
      <c r="X659" s="141">
        <f t="shared" si="194"/>
        <v>0</v>
      </c>
      <c r="Y659" s="141">
        <f t="shared" si="194"/>
        <v>0</v>
      </c>
      <c r="Z659" s="141">
        <f t="shared" si="194"/>
        <v>0</v>
      </c>
      <c r="AA659" s="141">
        <f t="shared" si="194"/>
        <v>0</v>
      </c>
      <c r="AB659" s="141">
        <f t="shared" si="194"/>
        <v>0</v>
      </c>
      <c r="AC659" s="141">
        <f t="shared" si="194"/>
        <v>0</v>
      </c>
      <c r="AD659" s="141">
        <f t="shared" si="194"/>
        <v>0</v>
      </c>
      <c r="AE659" s="141">
        <f t="shared" si="194"/>
        <v>0</v>
      </c>
      <c r="AF659" s="141">
        <f t="shared" si="194"/>
        <v>0</v>
      </c>
      <c r="AG659" s="141">
        <f t="shared" si="194"/>
        <v>0</v>
      </c>
      <c r="AH659" s="141">
        <f t="shared" si="194"/>
        <v>0</v>
      </c>
      <c r="AI659" s="141">
        <f t="shared" si="194"/>
        <v>0</v>
      </c>
      <c r="AJ659" s="141">
        <f t="shared" si="194"/>
        <v>0</v>
      </c>
      <c r="AK659" s="141">
        <f t="shared" si="194"/>
        <v>0</v>
      </c>
      <c r="AL659" s="141">
        <f t="shared" si="194"/>
        <v>0</v>
      </c>
      <c r="AM659" s="141">
        <f t="shared" si="194"/>
        <v>0</v>
      </c>
      <c r="AN659" s="141">
        <f t="shared" si="194"/>
        <v>0</v>
      </c>
      <c r="AO659" s="141"/>
      <c r="AP659" s="14"/>
    </row>
    <row r="660" spans="1:42" hidden="1" outlineLevel="1" x14ac:dyDescent="0.25">
      <c r="A660" s="12"/>
      <c r="B660" s="13"/>
      <c r="C660" s="44" t="s">
        <v>483</v>
      </c>
      <c r="D660" s="14"/>
      <c r="E660" s="15"/>
      <c r="F660" s="16"/>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159"/>
      <c r="AG660" s="14"/>
      <c r="AH660" s="14"/>
      <c r="AI660" s="14"/>
      <c r="AJ660" s="14"/>
      <c r="AK660" s="14"/>
      <c r="AL660" s="14"/>
      <c r="AM660" s="14"/>
      <c r="AN660" s="14"/>
      <c r="AO660" s="14"/>
      <c r="AP660" s="14"/>
    </row>
    <row r="661" spans="1:42" ht="14.25" hidden="1" customHeight="1" outlineLevel="1" x14ac:dyDescent="0.25">
      <c r="A661" s="54"/>
      <c r="B661" s="13"/>
      <c r="C661" s="45" t="s">
        <v>205</v>
      </c>
      <c r="D661" s="14"/>
      <c r="E661" s="70" t="s">
        <v>352</v>
      </c>
      <c r="F661" s="201">
        <f>Data!E556/1000</f>
        <v>3.0107355222942197E-3</v>
      </c>
      <c r="G661" s="56"/>
      <c r="H661" s="56"/>
      <c r="I661" s="56">
        <f>I$659*$F$661</f>
        <v>281.80484488673898</v>
      </c>
      <c r="J661" s="56">
        <f>J$659*$F$661</f>
        <v>281.80484488673898</v>
      </c>
      <c r="K661" s="56">
        <f t="shared" ref="K661:AO661" si="195">K$659*$F$661</f>
        <v>281.80484488673898</v>
      </c>
      <c r="L661" s="56">
        <f t="shared" si="195"/>
        <v>281.80484488673898</v>
      </c>
      <c r="M661" s="56">
        <f t="shared" si="195"/>
        <v>281.80484488673898</v>
      </c>
      <c r="N661" s="56">
        <f t="shared" si="195"/>
        <v>281.80484488673898</v>
      </c>
      <c r="O661" s="56">
        <f t="shared" si="195"/>
        <v>281.80484488673898</v>
      </c>
      <c r="P661" s="56">
        <f t="shared" si="195"/>
        <v>281.80484488673898</v>
      </c>
      <c r="Q661" s="56">
        <f t="shared" si="195"/>
        <v>281.80484488673898</v>
      </c>
      <c r="R661" s="56">
        <f t="shared" si="195"/>
        <v>281.80484488673898</v>
      </c>
      <c r="S661" s="56">
        <f t="shared" si="195"/>
        <v>281.80484488673898</v>
      </c>
      <c r="T661" s="56">
        <f t="shared" si="195"/>
        <v>281.80484488673898</v>
      </c>
      <c r="U661" s="56">
        <f t="shared" si="195"/>
        <v>0</v>
      </c>
      <c r="V661" s="56">
        <f t="shared" si="195"/>
        <v>0</v>
      </c>
      <c r="W661" s="56">
        <f t="shared" si="195"/>
        <v>0</v>
      </c>
      <c r="X661" s="56">
        <f t="shared" si="195"/>
        <v>0</v>
      </c>
      <c r="Y661" s="56">
        <f t="shared" si="195"/>
        <v>0</v>
      </c>
      <c r="Z661" s="56">
        <f t="shared" si="195"/>
        <v>0</v>
      </c>
      <c r="AA661" s="56">
        <f t="shared" si="195"/>
        <v>0</v>
      </c>
      <c r="AB661" s="56">
        <f t="shared" si="195"/>
        <v>0</v>
      </c>
      <c r="AC661" s="56">
        <f t="shared" si="195"/>
        <v>0</v>
      </c>
      <c r="AD661" s="56">
        <f t="shared" si="195"/>
        <v>0</v>
      </c>
      <c r="AE661" s="56">
        <f t="shared" si="195"/>
        <v>0</v>
      </c>
      <c r="AF661" s="56">
        <f t="shared" si="195"/>
        <v>0</v>
      </c>
      <c r="AG661" s="56">
        <f t="shared" si="195"/>
        <v>0</v>
      </c>
      <c r="AH661" s="56">
        <f t="shared" si="195"/>
        <v>0</v>
      </c>
      <c r="AI661" s="56">
        <f t="shared" si="195"/>
        <v>0</v>
      </c>
      <c r="AJ661" s="56">
        <f t="shared" si="195"/>
        <v>0</v>
      </c>
      <c r="AK661" s="56">
        <f t="shared" si="195"/>
        <v>0</v>
      </c>
      <c r="AL661" s="56">
        <f t="shared" si="195"/>
        <v>0</v>
      </c>
      <c r="AM661" s="56">
        <f t="shared" si="195"/>
        <v>0</v>
      </c>
      <c r="AN661" s="56">
        <f t="shared" si="195"/>
        <v>0</v>
      </c>
      <c r="AO661" s="56">
        <f t="shared" si="195"/>
        <v>0</v>
      </c>
      <c r="AP661" s="29"/>
    </row>
    <row r="662" spans="1:42" hidden="1" outlineLevel="1" x14ac:dyDescent="0.25">
      <c r="A662" s="54"/>
      <c r="B662" s="13"/>
      <c r="C662" s="45" t="s">
        <v>484</v>
      </c>
      <c r="D662" s="14"/>
      <c r="E662" s="70" t="s">
        <v>352</v>
      </c>
      <c r="F662" s="201">
        <f>Data!E557/1000</f>
        <v>2.2565026878869472</v>
      </c>
      <c r="G662" s="56"/>
      <c r="H662" s="56"/>
      <c r="I662" s="56">
        <f>I$659*$F$662</f>
        <v>211208.65158621827</v>
      </c>
      <c r="J662" s="56">
        <f t="shared" ref="J662:AO662" si="196">J$659*$F$662</f>
        <v>211208.65158621827</v>
      </c>
      <c r="K662" s="56">
        <f t="shared" si="196"/>
        <v>211208.65158621827</v>
      </c>
      <c r="L662" s="56">
        <f t="shared" si="196"/>
        <v>211208.65158621827</v>
      </c>
      <c r="M662" s="56">
        <f t="shared" si="196"/>
        <v>211208.65158621827</v>
      </c>
      <c r="N662" s="56">
        <f t="shared" si="196"/>
        <v>211208.65158621827</v>
      </c>
      <c r="O662" s="56">
        <f t="shared" si="196"/>
        <v>211208.65158621827</v>
      </c>
      <c r="P662" s="56">
        <f t="shared" si="196"/>
        <v>211208.65158621827</v>
      </c>
      <c r="Q662" s="56">
        <f t="shared" si="196"/>
        <v>211208.65158621827</v>
      </c>
      <c r="R662" s="56">
        <f t="shared" si="196"/>
        <v>211208.65158621827</v>
      </c>
      <c r="S662" s="56">
        <f t="shared" si="196"/>
        <v>211208.65158621827</v>
      </c>
      <c r="T662" s="56">
        <f t="shared" si="196"/>
        <v>211208.65158621827</v>
      </c>
      <c r="U662" s="56">
        <f t="shared" si="196"/>
        <v>0</v>
      </c>
      <c r="V662" s="56">
        <f t="shared" si="196"/>
        <v>0</v>
      </c>
      <c r="W662" s="56">
        <f t="shared" si="196"/>
        <v>0</v>
      </c>
      <c r="X662" s="56">
        <f t="shared" si="196"/>
        <v>0</v>
      </c>
      <c r="Y662" s="56">
        <f t="shared" si="196"/>
        <v>0</v>
      </c>
      <c r="Z662" s="56">
        <f t="shared" si="196"/>
        <v>0</v>
      </c>
      <c r="AA662" s="56">
        <f t="shared" si="196"/>
        <v>0</v>
      </c>
      <c r="AB662" s="56">
        <f t="shared" si="196"/>
        <v>0</v>
      </c>
      <c r="AC662" s="56">
        <f t="shared" si="196"/>
        <v>0</v>
      </c>
      <c r="AD662" s="56">
        <f t="shared" si="196"/>
        <v>0</v>
      </c>
      <c r="AE662" s="56">
        <f t="shared" si="196"/>
        <v>0</v>
      </c>
      <c r="AF662" s="56">
        <f t="shared" si="196"/>
        <v>0</v>
      </c>
      <c r="AG662" s="56">
        <f t="shared" si="196"/>
        <v>0</v>
      </c>
      <c r="AH662" s="56">
        <f t="shared" si="196"/>
        <v>0</v>
      </c>
      <c r="AI662" s="56">
        <f t="shared" si="196"/>
        <v>0</v>
      </c>
      <c r="AJ662" s="56">
        <f t="shared" si="196"/>
        <v>0</v>
      </c>
      <c r="AK662" s="56">
        <f t="shared" si="196"/>
        <v>0</v>
      </c>
      <c r="AL662" s="56">
        <f t="shared" si="196"/>
        <v>0</v>
      </c>
      <c r="AM662" s="56">
        <f t="shared" si="196"/>
        <v>0</v>
      </c>
      <c r="AN662" s="56">
        <f t="shared" si="196"/>
        <v>0</v>
      </c>
      <c r="AO662" s="56">
        <f t="shared" si="196"/>
        <v>0</v>
      </c>
      <c r="AP662" s="29"/>
    </row>
    <row r="663" spans="1:42" hidden="1" outlineLevel="1" x14ac:dyDescent="0.25">
      <c r="A663" s="54"/>
      <c r="B663" s="13"/>
      <c r="C663" s="45" t="s">
        <v>285</v>
      </c>
      <c r="D663" s="14"/>
      <c r="E663" s="70" t="s">
        <v>352</v>
      </c>
      <c r="F663" s="201">
        <f>Data!E558/1000</f>
        <v>2.4674863588574204E-4</v>
      </c>
      <c r="G663" s="56"/>
      <c r="H663" s="56"/>
      <c r="I663" s="56">
        <f>I$659*$F$663</f>
        <v>23.095672318905454</v>
      </c>
      <c r="J663" s="56">
        <f t="shared" ref="J663:AO663" si="197">J$659*$F$663</f>
        <v>23.095672318905454</v>
      </c>
      <c r="K663" s="56">
        <f t="shared" si="197"/>
        <v>23.095672318905454</v>
      </c>
      <c r="L663" s="56">
        <f t="shared" si="197"/>
        <v>23.095672318905454</v>
      </c>
      <c r="M663" s="56">
        <f t="shared" si="197"/>
        <v>23.095672318905454</v>
      </c>
      <c r="N663" s="56">
        <f t="shared" si="197"/>
        <v>23.095672318905454</v>
      </c>
      <c r="O663" s="56">
        <f t="shared" si="197"/>
        <v>23.095672318905454</v>
      </c>
      <c r="P663" s="56">
        <f t="shared" si="197"/>
        <v>23.095672318905454</v>
      </c>
      <c r="Q663" s="56">
        <f t="shared" si="197"/>
        <v>23.095672318905454</v>
      </c>
      <c r="R663" s="56">
        <f t="shared" si="197"/>
        <v>23.095672318905454</v>
      </c>
      <c r="S663" s="56">
        <f t="shared" si="197"/>
        <v>23.095672318905454</v>
      </c>
      <c r="T663" s="56">
        <f t="shared" si="197"/>
        <v>23.095672318905454</v>
      </c>
      <c r="U663" s="56">
        <f t="shared" si="197"/>
        <v>0</v>
      </c>
      <c r="V663" s="56">
        <f t="shared" si="197"/>
        <v>0</v>
      </c>
      <c r="W663" s="56">
        <f t="shared" si="197"/>
        <v>0</v>
      </c>
      <c r="X663" s="56">
        <f t="shared" si="197"/>
        <v>0</v>
      </c>
      <c r="Y663" s="56">
        <f t="shared" si="197"/>
        <v>0</v>
      </c>
      <c r="Z663" s="56">
        <f t="shared" si="197"/>
        <v>0</v>
      </c>
      <c r="AA663" s="56">
        <f t="shared" si="197"/>
        <v>0</v>
      </c>
      <c r="AB663" s="56">
        <f t="shared" si="197"/>
        <v>0</v>
      </c>
      <c r="AC663" s="56">
        <f t="shared" si="197"/>
        <v>0</v>
      </c>
      <c r="AD663" s="56">
        <f t="shared" si="197"/>
        <v>0</v>
      </c>
      <c r="AE663" s="56">
        <f t="shared" si="197"/>
        <v>0</v>
      </c>
      <c r="AF663" s="56">
        <f t="shared" si="197"/>
        <v>0</v>
      </c>
      <c r="AG663" s="56">
        <f t="shared" si="197"/>
        <v>0</v>
      </c>
      <c r="AH663" s="56">
        <f t="shared" si="197"/>
        <v>0</v>
      </c>
      <c r="AI663" s="56">
        <f t="shared" si="197"/>
        <v>0</v>
      </c>
      <c r="AJ663" s="56">
        <f t="shared" si="197"/>
        <v>0</v>
      </c>
      <c r="AK663" s="56">
        <f t="shared" si="197"/>
        <v>0</v>
      </c>
      <c r="AL663" s="56">
        <f t="shared" si="197"/>
        <v>0</v>
      </c>
      <c r="AM663" s="56">
        <f t="shared" si="197"/>
        <v>0</v>
      </c>
      <c r="AN663" s="56">
        <f t="shared" si="197"/>
        <v>0</v>
      </c>
      <c r="AO663" s="56">
        <f t="shared" si="197"/>
        <v>0</v>
      </c>
      <c r="AP663" s="29"/>
    </row>
    <row r="664" spans="1:42" hidden="1" outlineLevel="1" x14ac:dyDescent="0.25">
      <c r="A664" s="54"/>
      <c r="B664" s="13"/>
      <c r="C664" s="45" t="s">
        <v>220</v>
      </c>
      <c r="D664" s="14"/>
      <c r="E664" s="70" t="s">
        <v>352</v>
      </c>
      <c r="F664" s="201">
        <f>Data!E559/1000</f>
        <v>1.0386979165916608E-2</v>
      </c>
      <c r="G664" s="56"/>
      <c r="H664" s="56"/>
      <c r="I664" s="56">
        <f>I$659*$F$664</f>
        <v>972.22124992979445</v>
      </c>
      <c r="J664" s="56">
        <f t="shared" ref="J664:AO664" si="198">J$659*$F$664</f>
        <v>972.22124992979445</v>
      </c>
      <c r="K664" s="56">
        <f t="shared" si="198"/>
        <v>972.22124992979445</v>
      </c>
      <c r="L664" s="56">
        <f t="shared" si="198"/>
        <v>972.22124992979445</v>
      </c>
      <c r="M664" s="56">
        <f t="shared" si="198"/>
        <v>972.22124992979445</v>
      </c>
      <c r="N664" s="56">
        <f t="shared" si="198"/>
        <v>972.22124992979445</v>
      </c>
      <c r="O664" s="56">
        <f t="shared" si="198"/>
        <v>972.22124992979445</v>
      </c>
      <c r="P664" s="56">
        <f t="shared" si="198"/>
        <v>972.22124992979445</v>
      </c>
      <c r="Q664" s="56">
        <f t="shared" si="198"/>
        <v>972.22124992979445</v>
      </c>
      <c r="R664" s="56">
        <f t="shared" si="198"/>
        <v>972.22124992979445</v>
      </c>
      <c r="S664" s="56">
        <f t="shared" si="198"/>
        <v>972.22124992979445</v>
      </c>
      <c r="T664" s="56">
        <f t="shared" si="198"/>
        <v>972.22124992979445</v>
      </c>
      <c r="U664" s="56">
        <f t="shared" si="198"/>
        <v>0</v>
      </c>
      <c r="V664" s="56">
        <f t="shared" si="198"/>
        <v>0</v>
      </c>
      <c r="W664" s="56">
        <f t="shared" si="198"/>
        <v>0</v>
      </c>
      <c r="X664" s="56">
        <f t="shared" si="198"/>
        <v>0</v>
      </c>
      <c r="Y664" s="56">
        <f t="shared" si="198"/>
        <v>0</v>
      </c>
      <c r="Z664" s="56">
        <f t="shared" si="198"/>
        <v>0</v>
      </c>
      <c r="AA664" s="56">
        <f t="shared" si="198"/>
        <v>0</v>
      </c>
      <c r="AB664" s="56">
        <f t="shared" si="198"/>
        <v>0</v>
      </c>
      <c r="AC664" s="56">
        <f t="shared" si="198"/>
        <v>0</v>
      </c>
      <c r="AD664" s="56">
        <f t="shared" si="198"/>
        <v>0</v>
      </c>
      <c r="AE664" s="56">
        <f t="shared" si="198"/>
        <v>0</v>
      </c>
      <c r="AF664" s="56">
        <f t="shared" si="198"/>
        <v>0</v>
      </c>
      <c r="AG664" s="56">
        <f t="shared" si="198"/>
        <v>0</v>
      </c>
      <c r="AH664" s="56">
        <f t="shared" si="198"/>
        <v>0</v>
      </c>
      <c r="AI664" s="56">
        <f t="shared" si="198"/>
        <v>0</v>
      </c>
      <c r="AJ664" s="56">
        <f t="shared" si="198"/>
        <v>0</v>
      </c>
      <c r="AK664" s="56">
        <f t="shared" si="198"/>
        <v>0</v>
      </c>
      <c r="AL664" s="56">
        <f t="shared" si="198"/>
        <v>0</v>
      </c>
      <c r="AM664" s="56">
        <f t="shared" si="198"/>
        <v>0</v>
      </c>
      <c r="AN664" s="56">
        <f t="shared" si="198"/>
        <v>0</v>
      </c>
      <c r="AO664" s="56">
        <f t="shared" si="198"/>
        <v>0</v>
      </c>
      <c r="AP664" s="29"/>
    </row>
    <row r="665" spans="1:42" hidden="1" outlineLevel="1" x14ac:dyDescent="0.25">
      <c r="A665" s="54"/>
      <c r="B665" s="13"/>
      <c r="C665" s="45" t="s">
        <v>212</v>
      </c>
      <c r="D665" s="14"/>
      <c r="E665" s="70" t="s">
        <v>352</v>
      </c>
      <c r="F665" s="201">
        <f>Data!E560/1000</f>
        <v>1.200162949787418E-3</v>
      </c>
      <c r="G665" s="56"/>
      <c r="H665" s="56"/>
      <c r="I665" s="56">
        <f>I$659*$F$665</f>
        <v>112.33525210010232</v>
      </c>
      <c r="J665" s="56">
        <f t="shared" ref="J665:AO665" si="199">J$659*$F$665</f>
        <v>112.33525210010232</v>
      </c>
      <c r="K665" s="56">
        <f t="shared" si="199"/>
        <v>112.33525210010232</v>
      </c>
      <c r="L665" s="56">
        <f t="shared" si="199"/>
        <v>112.33525210010232</v>
      </c>
      <c r="M665" s="56">
        <f t="shared" si="199"/>
        <v>112.33525210010232</v>
      </c>
      <c r="N665" s="56">
        <f t="shared" si="199"/>
        <v>112.33525210010232</v>
      </c>
      <c r="O665" s="56">
        <f t="shared" si="199"/>
        <v>112.33525210010232</v>
      </c>
      <c r="P665" s="56">
        <f t="shared" si="199"/>
        <v>112.33525210010232</v>
      </c>
      <c r="Q665" s="56">
        <f t="shared" si="199"/>
        <v>112.33525210010232</v>
      </c>
      <c r="R665" s="56">
        <f t="shared" si="199"/>
        <v>112.33525210010232</v>
      </c>
      <c r="S665" s="56">
        <f t="shared" si="199"/>
        <v>112.33525210010232</v>
      </c>
      <c r="T665" s="56">
        <f t="shared" si="199"/>
        <v>112.33525210010232</v>
      </c>
      <c r="U665" s="56">
        <f t="shared" si="199"/>
        <v>0</v>
      </c>
      <c r="V665" s="56">
        <f t="shared" si="199"/>
        <v>0</v>
      </c>
      <c r="W665" s="56">
        <f t="shared" si="199"/>
        <v>0</v>
      </c>
      <c r="X665" s="56">
        <f t="shared" si="199"/>
        <v>0</v>
      </c>
      <c r="Y665" s="56">
        <f t="shared" si="199"/>
        <v>0</v>
      </c>
      <c r="Z665" s="56">
        <f t="shared" si="199"/>
        <v>0</v>
      </c>
      <c r="AA665" s="56">
        <f t="shared" si="199"/>
        <v>0</v>
      </c>
      <c r="AB665" s="56">
        <f t="shared" si="199"/>
        <v>0</v>
      </c>
      <c r="AC665" s="56">
        <f t="shared" si="199"/>
        <v>0</v>
      </c>
      <c r="AD665" s="56">
        <f t="shared" si="199"/>
        <v>0</v>
      </c>
      <c r="AE665" s="56">
        <f t="shared" si="199"/>
        <v>0</v>
      </c>
      <c r="AF665" s="56">
        <f t="shared" si="199"/>
        <v>0</v>
      </c>
      <c r="AG665" s="56">
        <f t="shared" si="199"/>
        <v>0</v>
      </c>
      <c r="AH665" s="56">
        <f t="shared" si="199"/>
        <v>0</v>
      </c>
      <c r="AI665" s="56">
        <f t="shared" si="199"/>
        <v>0</v>
      </c>
      <c r="AJ665" s="56">
        <f t="shared" si="199"/>
        <v>0</v>
      </c>
      <c r="AK665" s="56">
        <f t="shared" si="199"/>
        <v>0</v>
      </c>
      <c r="AL665" s="56">
        <f t="shared" si="199"/>
        <v>0</v>
      </c>
      <c r="AM665" s="56">
        <f t="shared" si="199"/>
        <v>0</v>
      </c>
      <c r="AN665" s="56">
        <f t="shared" si="199"/>
        <v>0</v>
      </c>
      <c r="AO665" s="56">
        <f t="shared" si="199"/>
        <v>0</v>
      </c>
      <c r="AP665" s="29"/>
    </row>
    <row r="666" spans="1:42" hidden="1" outlineLevel="1" x14ac:dyDescent="0.25">
      <c r="A666" s="54"/>
      <c r="B666" s="13"/>
      <c r="C666" s="45" t="s">
        <v>485</v>
      </c>
      <c r="D666" s="14"/>
      <c r="E666" s="70" t="s">
        <v>352</v>
      </c>
      <c r="F666" s="201">
        <f>Data!E561/1000</f>
        <v>2.8863348804976244E-4</v>
      </c>
      <c r="G666" s="56"/>
      <c r="H666" s="56"/>
      <c r="I666" s="56">
        <f>I$659*$F$666</f>
        <v>27.016094481457763</v>
      </c>
      <c r="J666" s="56">
        <f t="shared" ref="J666:AO666" si="200">J$659*$F$666</f>
        <v>27.016094481457763</v>
      </c>
      <c r="K666" s="56">
        <f t="shared" si="200"/>
        <v>27.016094481457763</v>
      </c>
      <c r="L666" s="56">
        <f t="shared" si="200"/>
        <v>27.016094481457763</v>
      </c>
      <c r="M666" s="56">
        <f t="shared" si="200"/>
        <v>27.016094481457763</v>
      </c>
      <c r="N666" s="56">
        <f t="shared" si="200"/>
        <v>27.016094481457763</v>
      </c>
      <c r="O666" s="56">
        <f t="shared" si="200"/>
        <v>27.016094481457763</v>
      </c>
      <c r="P666" s="56">
        <f t="shared" si="200"/>
        <v>27.016094481457763</v>
      </c>
      <c r="Q666" s="56">
        <f t="shared" si="200"/>
        <v>27.016094481457763</v>
      </c>
      <c r="R666" s="56">
        <f t="shared" si="200"/>
        <v>27.016094481457763</v>
      </c>
      <c r="S666" s="56">
        <f t="shared" si="200"/>
        <v>27.016094481457763</v>
      </c>
      <c r="T666" s="56">
        <f t="shared" si="200"/>
        <v>27.016094481457763</v>
      </c>
      <c r="U666" s="56">
        <f t="shared" si="200"/>
        <v>0</v>
      </c>
      <c r="V666" s="56">
        <f t="shared" si="200"/>
        <v>0</v>
      </c>
      <c r="W666" s="56">
        <f t="shared" si="200"/>
        <v>0</v>
      </c>
      <c r="X666" s="56">
        <f t="shared" si="200"/>
        <v>0</v>
      </c>
      <c r="Y666" s="56">
        <f t="shared" si="200"/>
        <v>0</v>
      </c>
      <c r="Z666" s="56">
        <f t="shared" si="200"/>
        <v>0</v>
      </c>
      <c r="AA666" s="56">
        <f t="shared" si="200"/>
        <v>0</v>
      </c>
      <c r="AB666" s="56">
        <f t="shared" si="200"/>
        <v>0</v>
      </c>
      <c r="AC666" s="56">
        <f t="shared" si="200"/>
        <v>0</v>
      </c>
      <c r="AD666" s="56">
        <f t="shared" si="200"/>
        <v>0</v>
      </c>
      <c r="AE666" s="56">
        <f t="shared" si="200"/>
        <v>0</v>
      </c>
      <c r="AF666" s="56">
        <f t="shared" si="200"/>
        <v>0</v>
      </c>
      <c r="AG666" s="56">
        <f t="shared" si="200"/>
        <v>0</v>
      </c>
      <c r="AH666" s="56">
        <f t="shared" si="200"/>
        <v>0</v>
      </c>
      <c r="AI666" s="56">
        <f t="shared" si="200"/>
        <v>0</v>
      </c>
      <c r="AJ666" s="56">
        <f t="shared" si="200"/>
        <v>0</v>
      </c>
      <c r="AK666" s="56">
        <f t="shared" si="200"/>
        <v>0</v>
      </c>
      <c r="AL666" s="56">
        <f t="shared" si="200"/>
        <v>0</v>
      </c>
      <c r="AM666" s="56">
        <f t="shared" si="200"/>
        <v>0</v>
      </c>
      <c r="AN666" s="56">
        <f t="shared" si="200"/>
        <v>0</v>
      </c>
      <c r="AO666" s="56">
        <f t="shared" si="200"/>
        <v>0</v>
      </c>
      <c r="AP666" s="29"/>
    </row>
    <row r="667" spans="1:42" hidden="1" outlineLevel="1" x14ac:dyDescent="0.25">
      <c r="A667" s="54"/>
      <c r="B667" s="13"/>
      <c r="C667" s="45" t="s">
        <v>214</v>
      </c>
      <c r="D667" s="14"/>
      <c r="E667" s="70" t="s">
        <v>352</v>
      </c>
      <c r="F667" s="201">
        <f>Data!E562/1000</f>
        <v>4.1011833239969993E-5</v>
      </c>
      <c r="G667" s="56"/>
      <c r="H667" s="56"/>
      <c r="I667" s="56">
        <f>I$659*$F$667</f>
        <v>3.8387075912611914</v>
      </c>
      <c r="J667" s="56">
        <f t="shared" ref="J667:AO667" si="201">J$659*$F$667</f>
        <v>3.8387075912611914</v>
      </c>
      <c r="K667" s="56">
        <f t="shared" si="201"/>
        <v>3.8387075912611914</v>
      </c>
      <c r="L667" s="56">
        <f t="shared" si="201"/>
        <v>3.8387075912611914</v>
      </c>
      <c r="M667" s="56">
        <f t="shared" si="201"/>
        <v>3.8387075912611914</v>
      </c>
      <c r="N667" s="56">
        <f t="shared" si="201"/>
        <v>3.8387075912611914</v>
      </c>
      <c r="O667" s="56">
        <f t="shared" si="201"/>
        <v>3.8387075912611914</v>
      </c>
      <c r="P667" s="56">
        <f t="shared" si="201"/>
        <v>3.8387075912611914</v>
      </c>
      <c r="Q667" s="56">
        <f t="shared" si="201"/>
        <v>3.8387075912611914</v>
      </c>
      <c r="R667" s="56">
        <f t="shared" si="201"/>
        <v>3.8387075912611914</v>
      </c>
      <c r="S667" s="56">
        <f t="shared" si="201"/>
        <v>3.8387075912611914</v>
      </c>
      <c r="T667" s="56">
        <f t="shared" si="201"/>
        <v>3.8387075912611914</v>
      </c>
      <c r="U667" s="56">
        <f t="shared" si="201"/>
        <v>0</v>
      </c>
      <c r="V667" s="56">
        <f t="shared" si="201"/>
        <v>0</v>
      </c>
      <c r="W667" s="56">
        <f t="shared" si="201"/>
        <v>0</v>
      </c>
      <c r="X667" s="56">
        <f t="shared" si="201"/>
        <v>0</v>
      </c>
      <c r="Y667" s="56">
        <f t="shared" si="201"/>
        <v>0</v>
      </c>
      <c r="Z667" s="56">
        <f t="shared" si="201"/>
        <v>0</v>
      </c>
      <c r="AA667" s="56">
        <f t="shared" si="201"/>
        <v>0</v>
      </c>
      <c r="AB667" s="56">
        <f t="shared" si="201"/>
        <v>0</v>
      </c>
      <c r="AC667" s="56">
        <f t="shared" si="201"/>
        <v>0</v>
      </c>
      <c r="AD667" s="56">
        <f t="shared" si="201"/>
        <v>0</v>
      </c>
      <c r="AE667" s="56">
        <f t="shared" si="201"/>
        <v>0</v>
      </c>
      <c r="AF667" s="56">
        <f t="shared" si="201"/>
        <v>0</v>
      </c>
      <c r="AG667" s="56">
        <f t="shared" si="201"/>
        <v>0</v>
      </c>
      <c r="AH667" s="56">
        <f t="shared" si="201"/>
        <v>0</v>
      </c>
      <c r="AI667" s="56">
        <f t="shared" si="201"/>
        <v>0</v>
      </c>
      <c r="AJ667" s="56">
        <f t="shared" si="201"/>
        <v>0</v>
      </c>
      <c r="AK667" s="56">
        <f t="shared" si="201"/>
        <v>0</v>
      </c>
      <c r="AL667" s="56">
        <f t="shared" si="201"/>
        <v>0</v>
      </c>
      <c r="AM667" s="56">
        <f t="shared" si="201"/>
        <v>0</v>
      </c>
      <c r="AN667" s="56">
        <f t="shared" si="201"/>
        <v>0</v>
      </c>
      <c r="AO667" s="56">
        <f t="shared" si="201"/>
        <v>0</v>
      </c>
      <c r="AP667" s="29"/>
    </row>
    <row r="668" spans="1:42" hidden="1" outlineLevel="1" x14ac:dyDescent="0.25">
      <c r="A668" s="12"/>
      <c r="B668" s="13"/>
      <c r="C668" s="14"/>
      <c r="D668" s="14"/>
      <c r="E668" s="15"/>
      <c r="F668" s="16"/>
      <c r="G668" s="159"/>
      <c r="H668" s="159"/>
      <c r="I668" s="159"/>
      <c r="J668" s="159"/>
      <c r="K668" s="159"/>
      <c r="L668" s="159"/>
      <c r="M668" s="159"/>
      <c r="N668" s="159"/>
      <c r="O668" s="159"/>
      <c r="P668" s="159"/>
      <c r="Q668" s="159"/>
      <c r="R668" s="159"/>
      <c r="S668" s="159"/>
      <c r="T668" s="159"/>
      <c r="U668" s="159"/>
      <c r="V668" s="159"/>
      <c r="W668" s="159"/>
      <c r="X668" s="14"/>
      <c r="Y668" s="14"/>
      <c r="Z668" s="14"/>
      <c r="AA668" s="14"/>
      <c r="AB668" s="14"/>
      <c r="AC668" s="14"/>
      <c r="AD668" s="14"/>
      <c r="AE668" s="14"/>
      <c r="AF668" s="14"/>
      <c r="AG668" s="14"/>
      <c r="AH668" s="14"/>
      <c r="AI668" s="14"/>
      <c r="AJ668" s="14"/>
      <c r="AK668" s="14"/>
      <c r="AL668" s="14"/>
      <c r="AM668" s="14"/>
      <c r="AN668" s="14"/>
      <c r="AO668" s="14"/>
      <c r="AP668" s="14"/>
    </row>
    <row r="669" spans="1:42" hidden="1" outlineLevel="1" x14ac:dyDescent="0.25">
      <c r="A669" s="54"/>
      <c r="B669" s="13"/>
      <c r="C669" s="45" t="s">
        <v>205</v>
      </c>
      <c r="D669" s="14"/>
      <c r="E669" s="70" t="s">
        <v>474</v>
      </c>
      <c r="F669" s="200">
        <f>Data!$E$35/1000</f>
        <v>3.4099438202247192E-3</v>
      </c>
      <c r="G669" s="56"/>
      <c r="H669" s="56"/>
      <c r="I669" s="56">
        <f>I661*$F669</f>
        <v>0.96093868933092119</v>
      </c>
      <c r="J669" s="56">
        <f t="shared" ref="J669:AO669" si="202">J661*$F669</f>
        <v>0.96093868933092119</v>
      </c>
      <c r="K669" s="56">
        <f t="shared" si="202"/>
        <v>0.96093868933092119</v>
      </c>
      <c r="L669" s="56">
        <f t="shared" si="202"/>
        <v>0.96093868933092119</v>
      </c>
      <c r="M669" s="56">
        <f t="shared" si="202"/>
        <v>0.96093868933092119</v>
      </c>
      <c r="N669" s="56">
        <f t="shared" si="202"/>
        <v>0.96093868933092119</v>
      </c>
      <c r="O669" s="56">
        <f t="shared" si="202"/>
        <v>0.96093868933092119</v>
      </c>
      <c r="P669" s="56">
        <f t="shared" si="202"/>
        <v>0.96093868933092119</v>
      </c>
      <c r="Q669" s="56">
        <f t="shared" si="202"/>
        <v>0.96093868933092119</v>
      </c>
      <c r="R669" s="56">
        <f t="shared" si="202"/>
        <v>0.96093868933092119</v>
      </c>
      <c r="S669" s="56">
        <f t="shared" si="202"/>
        <v>0.96093868933092119</v>
      </c>
      <c r="T669" s="56">
        <f t="shared" si="202"/>
        <v>0.96093868933092119</v>
      </c>
      <c r="U669" s="56">
        <f t="shared" si="202"/>
        <v>0</v>
      </c>
      <c r="V669" s="56">
        <f t="shared" si="202"/>
        <v>0</v>
      </c>
      <c r="W669" s="56">
        <f t="shared" si="202"/>
        <v>0</v>
      </c>
      <c r="X669" s="56">
        <f t="shared" si="202"/>
        <v>0</v>
      </c>
      <c r="Y669" s="56">
        <f t="shared" si="202"/>
        <v>0</v>
      </c>
      <c r="Z669" s="56">
        <f t="shared" si="202"/>
        <v>0</v>
      </c>
      <c r="AA669" s="56">
        <f t="shared" si="202"/>
        <v>0</v>
      </c>
      <c r="AB669" s="56">
        <f t="shared" si="202"/>
        <v>0</v>
      </c>
      <c r="AC669" s="56">
        <f t="shared" si="202"/>
        <v>0</v>
      </c>
      <c r="AD669" s="56">
        <f t="shared" si="202"/>
        <v>0</v>
      </c>
      <c r="AE669" s="56">
        <f t="shared" si="202"/>
        <v>0</v>
      </c>
      <c r="AF669" s="56">
        <f t="shared" si="202"/>
        <v>0</v>
      </c>
      <c r="AG669" s="56">
        <f t="shared" si="202"/>
        <v>0</v>
      </c>
      <c r="AH669" s="56">
        <f t="shared" si="202"/>
        <v>0</v>
      </c>
      <c r="AI669" s="56">
        <f t="shared" si="202"/>
        <v>0</v>
      </c>
      <c r="AJ669" s="56">
        <f t="shared" si="202"/>
        <v>0</v>
      </c>
      <c r="AK669" s="56">
        <f t="shared" si="202"/>
        <v>0</v>
      </c>
      <c r="AL669" s="56">
        <f t="shared" si="202"/>
        <v>0</v>
      </c>
      <c r="AM669" s="56">
        <f t="shared" si="202"/>
        <v>0</v>
      </c>
      <c r="AN669" s="56">
        <f t="shared" si="202"/>
        <v>0</v>
      </c>
      <c r="AO669" s="56">
        <f t="shared" si="202"/>
        <v>0</v>
      </c>
      <c r="AP669" s="29"/>
    </row>
    <row r="670" spans="1:42" hidden="1" outlineLevel="1" x14ac:dyDescent="0.25">
      <c r="A670" s="54"/>
      <c r="B670" s="13"/>
      <c r="C670" s="45" t="s">
        <v>484</v>
      </c>
      <c r="D670" s="14"/>
      <c r="E670" s="70" t="s">
        <v>474</v>
      </c>
      <c r="F670" s="200"/>
      <c r="G670" s="56"/>
      <c r="H670" s="56"/>
      <c r="I670" s="56">
        <f>I$662*Data!H$16/1000</f>
        <v>20487.239203863173</v>
      </c>
      <c r="J670" s="56">
        <f>J$662*Data!I$16/1000</f>
        <v>22599.325719725355</v>
      </c>
      <c r="K670" s="56">
        <f>K$662*Data!J$16/1000</f>
        <v>24500.203584001316</v>
      </c>
      <c r="L670" s="56">
        <f>L$662*Data!K$16/1000</f>
        <v>26612.290099863501</v>
      </c>
      <c r="M670" s="56">
        <f>M$662*Data!L$16/1000</f>
        <v>28724.376615725683</v>
      </c>
      <c r="N670" s="56">
        <f>N$662*Data!M$16/1000</f>
        <v>30836.463131587865</v>
      </c>
      <c r="O670" s="56">
        <f>O$662*Data!N$16/1000</f>
        <v>32737.340995863833</v>
      </c>
      <c r="P670" s="56">
        <f>P$662*Data!O$16/1000</f>
        <v>34004.592905381141</v>
      </c>
      <c r="Q670" s="56">
        <f>Q$662*Data!P$16/1000</f>
        <v>35271.844814898453</v>
      </c>
      <c r="R670" s="56">
        <f>R$662*Data!Q$16/1000</f>
        <v>36750.305376001976</v>
      </c>
      <c r="S670" s="56">
        <f>S$662*Data!R$16/1000</f>
        <v>38017.557285519288</v>
      </c>
      <c r="T670" s="56">
        <f>T$662*Data!S$16/1000</f>
        <v>39284.8091950366</v>
      </c>
      <c r="U670" s="56">
        <f>U$662*Data!T$16/1000</f>
        <v>0</v>
      </c>
      <c r="V670" s="56">
        <f>V$662*Data!U$16/1000</f>
        <v>0</v>
      </c>
      <c r="W670" s="56">
        <f>W$662*Data!V$16/1000</f>
        <v>0</v>
      </c>
      <c r="X670" s="56">
        <f>X$662*Data!W$16/1000</f>
        <v>0</v>
      </c>
      <c r="Y670" s="56">
        <f>Y$662*Data!X$16/1000</f>
        <v>0</v>
      </c>
      <c r="Z670" s="56">
        <f>Z$662*Data!Y$16/1000</f>
        <v>0</v>
      </c>
      <c r="AA670" s="56">
        <f>AA$662*Data!Z$16/1000</f>
        <v>0</v>
      </c>
      <c r="AB670" s="56">
        <f>AB$662*Data!AA$16/1000</f>
        <v>0</v>
      </c>
      <c r="AC670" s="56">
        <f>AC$662*Data!AB$16/1000</f>
        <v>0</v>
      </c>
      <c r="AD670" s="56">
        <f>AD$662*Data!AC$16/1000</f>
        <v>0</v>
      </c>
      <c r="AE670" s="56">
        <f>AE$662*Data!AD$16/1000</f>
        <v>0</v>
      </c>
      <c r="AF670" s="56">
        <f>AF$662*Data!AE$16/1000</f>
        <v>0</v>
      </c>
      <c r="AG670" s="56">
        <f>AG$662*Data!AF$16/1000</f>
        <v>0</v>
      </c>
      <c r="AH670" s="56">
        <f>AH$662*Data!AG$16/1000</f>
        <v>0</v>
      </c>
      <c r="AI670" s="56">
        <f>AI$662*Data!AH$16/1000</f>
        <v>0</v>
      </c>
      <c r="AJ670" s="56">
        <f>AJ$662*Data!AI$16/1000</f>
        <v>0</v>
      </c>
      <c r="AK670" s="56">
        <f>AK$662*Data!AJ$16/1000</f>
        <v>0</v>
      </c>
      <c r="AL670" s="56">
        <f>AL$662*Data!AK$16/1000</f>
        <v>0</v>
      </c>
      <c r="AM670" s="56">
        <f>AM$662*Data!AL$16/1000</f>
        <v>0</v>
      </c>
      <c r="AN670" s="56">
        <f>AN$662*Data!AM$16/1000</f>
        <v>0</v>
      </c>
      <c r="AO670" s="56">
        <f>AO$662*Data!AN$16/1000</f>
        <v>0</v>
      </c>
      <c r="AP670" s="29"/>
    </row>
    <row r="671" spans="1:42" hidden="1" outlineLevel="1" x14ac:dyDescent="0.25">
      <c r="A671" s="54"/>
      <c r="B671" s="13"/>
      <c r="C671" s="45" t="s">
        <v>285</v>
      </c>
      <c r="D671" s="14"/>
      <c r="E671" s="70" t="s">
        <v>474</v>
      </c>
      <c r="F671" s="200">
        <f>Data!$E$36/1000</f>
        <v>1.0822865168539326</v>
      </c>
      <c r="G671" s="56"/>
      <c r="H671" s="56"/>
      <c r="I671" s="56">
        <f>I663*$F671</f>
        <v>24.996134748427973</v>
      </c>
      <c r="J671" s="56">
        <f t="shared" ref="J671:AO674" si="203">J663*$F671</f>
        <v>24.996134748427973</v>
      </c>
      <c r="K671" s="56">
        <f t="shared" si="203"/>
        <v>24.996134748427973</v>
      </c>
      <c r="L671" s="56">
        <f t="shared" si="203"/>
        <v>24.996134748427973</v>
      </c>
      <c r="M671" s="56">
        <f t="shared" si="203"/>
        <v>24.996134748427973</v>
      </c>
      <c r="N671" s="56">
        <f t="shared" si="203"/>
        <v>24.996134748427973</v>
      </c>
      <c r="O671" s="56">
        <f t="shared" si="203"/>
        <v>24.996134748427973</v>
      </c>
      <c r="P671" s="56">
        <f t="shared" si="203"/>
        <v>24.996134748427973</v>
      </c>
      <c r="Q671" s="56">
        <f t="shared" si="203"/>
        <v>24.996134748427973</v>
      </c>
      <c r="R671" s="56">
        <f t="shared" si="203"/>
        <v>24.996134748427973</v>
      </c>
      <c r="S671" s="56">
        <f t="shared" si="203"/>
        <v>24.996134748427973</v>
      </c>
      <c r="T671" s="56">
        <f t="shared" si="203"/>
        <v>24.996134748427973</v>
      </c>
      <c r="U671" s="56">
        <f t="shared" si="203"/>
        <v>0</v>
      </c>
      <c r="V671" s="56">
        <f t="shared" si="203"/>
        <v>0</v>
      </c>
      <c r="W671" s="56">
        <f t="shared" si="203"/>
        <v>0</v>
      </c>
      <c r="X671" s="56">
        <f t="shared" si="203"/>
        <v>0</v>
      </c>
      <c r="Y671" s="56">
        <f t="shared" si="203"/>
        <v>0</v>
      </c>
      <c r="Z671" s="56">
        <f t="shared" si="203"/>
        <v>0</v>
      </c>
      <c r="AA671" s="56">
        <f t="shared" si="203"/>
        <v>0</v>
      </c>
      <c r="AB671" s="56">
        <f t="shared" si="203"/>
        <v>0</v>
      </c>
      <c r="AC671" s="56">
        <f t="shared" si="203"/>
        <v>0</v>
      </c>
      <c r="AD671" s="56">
        <f t="shared" si="203"/>
        <v>0</v>
      </c>
      <c r="AE671" s="56">
        <f t="shared" si="203"/>
        <v>0</v>
      </c>
      <c r="AF671" s="56">
        <f t="shared" si="203"/>
        <v>0</v>
      </c>
      <c r="AG671" s="56">
        <f t="shared" si="203"/>
        <v>0</v>
      </c>
      <c r="AH671" s="56">
        <f t="shared" si="203"/>
        <v>0</v>
      </c>
      <c r="AI671" s="56">
        <f t="shared" si="203"/>
        <v>0</v>
      </c>
      <c r="AJ671" s="56">
        <f t="shared" si="203"/>
        <v>0</v>
      </c>
      <c r="AK671" s="56">
        <f t="shared" si="203"/>
        <v>0</v>
      </c>
      <c r="AL671" s="56">
        <f t="shared" si="203"/>
        <v>0</v>
      </c>
      <c r="AM671" s="56">
        <f t="shared" si="203"/>
        <v>0</v>
      </c>
      <c r="AN671" s="56">
        <f t="shared" si="203"/>
        <v>0</v>
      </c>
      <c r="AO671" s="56">
        <f t="shared" si="203"/>
        <v>0</v>
      </c>
      <c r="AP671" s="29"/>
    </row>
    <row r="672" spans="1:42" hidden="1" outlineLevel="1" x14ac:dyDescent="0.25">
      <c r="A672" s="54"/>
      <c r="B672" s="13"/>
      <c r="C672" s="45" t="s">
        <v>220</v>
      </c>
      <c r="D672" s="14"/>
      <c r="E672" s="70" t="s">
        <v>474</v>
      </c>
      <c r="F672" s="200">
        <f>Data!$E$37/1000</f>
        <v>371.00188764044947</v>
      </c>
      <c r="G672" s="56"/>
      <c r="H672" s="56"/>
      <c r="I672" s="56">
        <f>I664*$F672</f>
        <v>360695.91892811091</v>
      </c>
      <c r="J672" s="56">
        <f t="shared" ref="I672:X674" si="204">J664*$F672</f>
        <v>360695.91892811091</v>
      </c>
      <c r="K672" s="56">
        <f t="shared" si="204"/>
        <v>360695.91892811091</v>
      </c>
      <c r="L672" s="56">
        <f t="shared" si="204"/>
        <v>360695.91892811091</v>
      </c>
      <c r="M672" s="56">
        <f t="shared" si="204"/>
        <v>360695.91892811091</v>
      </c>
      <c r="N672" s="56">
        <f t="shared" si="204"/>
        <v>360695.91892811091</v>
      </c>
      <c r="O672" s="56">
        <f t="shared" si="204"/>
        <v>360695.91892811091</v>
      </c>
      <c r="P672" s="56">
        <f t="shared" si="204"/>
        <v>360695.91892811091</v>
      </c>
      <c r="Q672" s="56">
        <f t="shared" si="204"/>
        <v>360695.91892811091</v>
      </c>
      <c r="R672" s="56">
        <f t="shared" si="204"/>
        <v>360695.91892811091</v>
      </c>
      <c r="S672" s="56">
        <f t="shared" si="204"/>
        <v>360695.91892811091</v>
      </c>
      <c r="T672" s="56">
        <f t="shared" si="204"/>
        <v>360695.91892811091</v>
      </c>
      <c r="U672" s="56">
        <f t="shared" si="204"/>
        <v>0</v>
      </c>
      <c r="V672" s="56">
        <f t="shared" si="204"/>
        <v>0</v>
      </c>
      <c r="W672" s="56">
        <f t="shared" si="204"/>
        <v>0</v>
      </c>
      <c r="X672" s="56">
        <f t="shared" si="204"/>
        <v>0</v>
      </c>
      <c r="Y672" s="56">
        <f t="shared" si="203"/>
        <v>0</v>
      </c>
      <c r="Z672" s="56">
        <f t="shared" si="203"/>
        <v>0</v>
      </c>
      <c r="AA672" s="56">
        <f t="shared" si="203"/>
        <v>0</v>
      </c>
      <c r="AB672" s="56">
        <f t="shared" si="203"/>
        <v>0</v>
      </c>
      <c r="AC672" s="56">
        <f t="shared" si="203"/>
        <v>0</v>
      </c>
      <c r="AD672" s="56">
        <f t="shared" si="203"/>
        <v>0</v>
      </c>
      <c r="AE672" s="56">
        <f t="shared" si="203"/>
        <v>0</v>
      </c>
      <c r="AF672" s="56">
        <f t="shared" si="203"/>
        <v>0</v>
      </c>
      <c r="AG672" s="56">
        <f t="shared" si="203"/>
        <v>0</v>
      </c>
      <c r="AH672" s="56">
        <f t="shared" si="203"/>
        <v>0</v>
      </c>
      <c r="AI672" s="56">
        <f t="shared" si="203"/>
        <v>0</v>
      </c>
      <c r="AJ672" s="56">
        <f t="shared" si="203"/>
        <v>0</v>
      </c>
      <c r="AK672" s="56">
        <f t="shared" si="203"/>
        <v>0</v>
      </c>
      <c r="AL672" s="56">
        <f t="shared" si="203"/>
        <v>0</v>
      </c>
      <c r="AM672" s="56">
        <f t="shared" si="203"/>
        <v>0</v>
      </c>
      <c r="AN672" s="56">
        <f t="shared" si="203"/>
        <v>0</v>
      </c>
      <c r="AO672" s="56">
        <f t="shared" si="203"/>
        <v>0</v>
      </c>
      <c r="AP672" s="29"/>
    </row>
    <row r="673" spans="1:42" hidden="1" outlineLevel="1" x14ac:dyDescent="0.25">
      <c r="A673" s="54"/>
      <c r="B673" s="13"/>
      <c r="C673" s="45" t="s">
        <v>212</v>
      </c>
      <c r="D673" s="14"/>
      <c r="E673" s="70" t="s">
        <v>474</v>
      </c>
      <c r="F673" s="200">
        <f>Data!$E$39/1000</f>
        <v>0</v>
      </c>
      <c r="G673" s="56"/>
      <c r="H673" s="56"/>
      <c r="I673" s="56">
        <f>I665*$F673</f>
        <v>0</v>
      </c>
      <c r="J673" s="56">
        <f t="shared" si="203"/>
        <v>0</v>
      </c>
      <c r="K673" s="56">
        <f t="shared" si="203"/>
        <v>0</v>
      </c>
      <c r="L673" s="56">
        <f t="shared" si="203"/>
        <v>0</v>
      </c>
      <c r="M673" s="56">
        <f t="shared" si="203"/>
        <v>0</v>
      </c>
      <c r="N673" s="56">
        <f t="shared" si="203"/>
        <v>0</v>
      </c>
      <c r="O673" s="56">
        <f t="shared" si="203"/>
        <v>0</v>
      </c>
      <c r="P673" s="56">
        <f t="shared" si="203"/>
        <v>0</v>
      </c>
      <c r="Q673" s="56">
        <f t="shared" si="203"/>
        <v>0</v>
      </c>
      <c r="R673" s="56">
        <f t="shared" si="203"/>
        <v>0</v>
      </c>
      <c r="S673" s="56">
        <f t="shared" si="203"/>
        <v>0</v>
      </c>
      <c r="T673" s="56">
        <f t="shared" si="203"/>
        <v>0</v>
      </c>
      <c r="U673" s="56">
        <f t="shared" si="203"/>
        <v>0</v>
      </c>
      <c r="V673" s="56">
        <f t="shared" si="203"/>
        <v>0</v>
      </c>
      <c r="W673" s="56">
        <f t="shared" si="203"/>
        <v>0</v>
      </c>
      <c r="X673" s="56">
        <f t="shared" si="203"/>
        <v>0</v>
      </c>
      <c r="Y673" s="56">
        <f t="shared" si="203"/>
        <v>0</v>
      </c>
      <c r="Z673" s="56">
        <f t="shared" si="203"/>
        <v>0</v>
      </c>
      <c r="AA673" s="56">
        <f t="shared" si="203"/>
        <v>0</v>
      </c>
      <c r="AB673" s="56">
        <f t="shared" si="203"/>
        <v>0</v>
      </c>
      <c r="AC673" s="56">
        <f t="shared" si="203"/>
        <v>0</v>
      </c>
      <c r="AD673" s="56">
        <f t="shared" si="203"/>
        <v>0</v>
      </c>
      <c r="AE673" s="56">
        <f t="shared" si="203"/>
        <v>0</v>
      </c>
      <c r="AF673" s="56">
        <f t="shared" si="203"/>
        <v>0</v>
      </c>
      <c r="AG673" s="56">
        <f t="shared" si="203"/>
        <v>0</v>
      </c>
      <c r="AH673" s="56">
        <f t="shared" si="203"/>
        <v>0</v>
      </c>
      <c r="AI673" s="56">
        <f t="shared" si="203"/>
        <v>0</v>
      </c>
      <c r="AJ673" s="56">
        <f t="shared" si="203"/>
        <v>0</v>
      </c>
      <c r="AK673" s="56">
        <f t="shared" si="203"/>
        <v>0</v>
      </c>
      <c r="AL673" s="56">
        <f t="shared" si="203"/>
        <v>0</v>
      </c>
      <c r="AM673" s="56">
        <f t="shared" si="203"/>
        <v>0</v>
      </c>
      <c r="AN673" s="56">
        <f t="shared" si="203"/>
        <v>0</v>
      </c>
      <c r="AO673" s="56">
        <f t="shared" si="203"/>
        <v>0</v>
      </c>
      <c r="AP673" s="29"/>
    </row>
    <row r="674" spans="1:42" hidden="1" outlineLevel="1" x14ac:dyDescent="0.25">
      <c r="A674" s="54"/>
      <c r="B674" s="13"/>
      <c r="C674" s="45" t="s">
        <v>485</v>
      </c>
      <c r="D674" s="14"/>
      <c r="E674" s="70" t="s">
        <v>474</v>
      </c>
      <c r="F674" s="200">
        <f>Data!$E$40/1000</f>
        <v>605.20914606741576</v>
      </c>
      <c r="G674" s="56"/>
      <c r="H674" s="56"/>
      <c r="I674" s="56">
        <f t="shared" si="204"/>
        <v>16350.387471199676</v>
      </c>
      <c r="J674" s="56">
        <f t="shared" si="203"/>
        <v>16350.387471199676</v>
      </c>
      <c r="K674" s="56">
        <f t="shared" si="203"/>
        <v>16350.387471199676</v>
      </c>
      <c r="L674" s="56">
        <f t="shared" si="203"/>
        <v>16350.387471199676</v>
      </c>
      <c r="M674" s="56">
        <f t="shared" si="203"/>
        <v>16350.387471199676</v>
      </c>
      <c r="N674" s="56">
        <f t="shared" si="203"/>
        <v>16350.387471199676</v>
      </c>
      <c r="O674" s="56">
        <f t="shared" si="203"/>
        <v>16350.387471199676</v>
      </c>
      <c r="P674" s="56">
        <f t="shared" si="203"/>
        <v>16350.387471199676</v>
      </c>
      <c r="Q674" s="56">
        <f t="shared" si="203"/>
        <v>16350.387471199676</v>
      </c>
      <c r="R674" s="56">
        <f t="shared" si="203"/>
        <v>16350.387471199676</v>
      </c>
      <c r="S674" s="56">
        <f t="shared" si="203"/>
        <v>16350.387471199676</v>
      </c>
      <c r="T674" s="56">
        <f t="shared" si="203"/>
        <v>16350.387471199676</v>
      </c>
      <c r="U674" s="56">
        <f t="shared" si="203"/>
        <v>0</v>
      </c>
      <c r="V674" s="56">
        <f t="shared" si="203"/>
        <v>0</v>
      </c>
      <c r="W674" s="56">
        <f t="shared" si="203"/>
        <v>0</v>
      </c>
      <c r="X674" s="56">
        <f t="shared" si="203"/>
        <v>0</v>
      </c>
      <c r="Y674" s="56">
        <f t="shared" si="203"/>
        <v>0</v>
      </c>
      <c r="Z674" s="56">
        <f t="shared" si="203"/>
        <v>0</v>
      </c>
      <c r="AA674" s="56">
        <f t="shared" si="203"/>
        <v>0</v>
      </c>
      <c r="AB674" s="56">
        <f t="shared" si="203"/>
        <v>0</v>
      </c>
      <c r="AC674" s="56">
        <f t="shared" si="203"/>
        <v>0</v>
      </c>
      <c r="AD674" s="56">
        <f t="shared" si="203"/>
        <v>0</v>
      </c>
      <c r="AE674" s="56">
        <f t="shared" si="203"/>
        <v>0</v>
      </c>
      <c r="AF674" s="56">
        <f t="shared" si="203"/>
        <v>0</v>
      </c>
      <c r="AG674" s="56">
        <f t="shared" si="203"/>
        <v>0</v>
      </c>
      <c r="AH674" s="56">
        <f t="shared" si="203"/>
        <v>0</v>
      </c>
      <c r="AI674" s="56">
        <f t="shared" si="203"/>
        <v>0</v>
      </c>
      <c r="AJ674" s="56">
        <f t="shared" si="203"/>
        <v>0</v>
      </c>
      <c r="AK674" s="56">
        <f t="shared" si="203"/>
        <v>0</v>
      </c>
      <c r="AL674" s="56">
        <f t="shared" si="203"/>
        <v>0</v>
      </c>
      <c r="AM674" s="56">
        <f t="shared" si="203"/>
        <v>0</v>
      </c>
      <c r="AN674" s="56">
        <f t="shared" si="203"/>
        <v>0</v>
      </c>
      <c r="AO674" s="56">
        <f t="shared" si="203"/>
        <v>0</v>
      </c>
      <c r="AP674" s="29"/>
    </row>
    <row r="675" spans="1:42" hidden="1" outlineLevel="1" x14ac:dyDescent="0.25">
      <c r="A675" s="54"/>
      <c r="B675" s="13"/>
      <c r="C675" s="45" t="s">
        <v>214</v>
      </c>
      <c r="D675" s="14"/>
      <c r="E675" s="70" t="s">
        <v>474</v>
      </c>
      <c r="F675" s="200">
        <f>Data!$E$41/1000</f>
        <v>0</v>
      </c>
      <c r="G675" s="56"/>
      <c r="H675" s="56"/>
      <c r="I675" s="56">
        <f>I667*$F675</f>
        <v>0</v>
      </c>
      <c r="J675" s="56">
        <f t="shared" ref="J675:AO675" si="205">J667*$F675</f>
        <v>0</v>
      </c>
      <c r="K675" s="56">
        <f t="shared" si="205"/>
        <v>0</v>
      </c>
      <c r="L675" s="56">
        <f t="shared" si="205"/>
        <v>0</v>
      </c>
      <c r="M675" s="56">
        <f t="shared" si="205"/>
        <v>0</v>
      </c>
      <c r="N675" s="56">
        <f t="shared" si="205"/>
        <v>0</v>
      </c>
      <c r="O675" s="56">
        <f t="shared" si="205"/>
        <v>0</v>
      </c>
      <c r="P675" s="56">
        <f t="shared" si="205"/>
        <v>0</v>
      </c>
      <c r="Q675" s="56">
        <f t="shared" si="205"/>
        <v>0</v>
      </c>
      <c r="R675" s="56">
        <f t="shared" si="205"/>
        <v>0</v>
      </c>
      <c r="S675" s="56">
        <f t="shared" si="205"/>
        <v>0</v>
      </c>
      <c r="T675" s="56">
        <f t="shared" si="205"/>
        <v>0</v>
      </c>
      <c r="U675" s="56">
        <f t="shared" si="205"/>
        <v>0</v>
      </c>
      <c r="V675" s="56">
        <f t="shared" si="205"/>
        <v>0</v>
      </c>
      <c r="W675" s="56">
        <f t="shared" si="205"/>
        <v>0</v>
      </c>
      <c r="X675" s="56">
        <f t="shared" si="205"/>
        <v>0</v>
      </c>
      <c r="Y675" s="56">
        <f t="shared" si="205"/>
        <v>0</v>
      </c>
      <c r="Z675" s="56">
        <f t="shared" si="205"/>
        <v>0</v>
      </c>
      <c r="AA675" s="56">
        <f t="shared" si="205"/>
        <v>0</v>
      </c>
      <c r="AB675" s="56">
        <f t="shared" si="205"/>
        <v>0</v>
      </c>
      <c r="AC675" s="56">
        <f t="shared" si="205"/>
        <v>0</v>
      </c>
      <c r="AD675" s="56">
        <f t="shared" si="205"/>
        <v>0</v>
      </c>
      <c r="AE675" s="56">
        <f t="shared" si="205"/>
        <v>0</v>
      </c>
      <c r="AF675" s="56">
        <f t="shared" si="205"/>
        <v>0</v>
      </c>
      <c r="AG675" s="56">
        <f t="shared" si="205"/>
        <v>0</v>
      </c>
      <c r="AH675" s="56">
        <f t="shared" si="205"/>
        <v>0</v>
      </c>
      <c r="AI675" s="56">
        <f t="shared" si="205"/>
        <v>0</v>
      </c>
      <c r="AJ675" s="56">
        <f t="shared" si="205"/>
        <v>0</v>
      </c>
      <c r="AK675" s="56">
        <f t="shared" si="205"/>
        <v>0</v>
      </c>
      <c r="AL675" s="56">
        <f t="shared" si="205"/>
        <v>0</v>
      </c>
      <c r="AM675" s="56">
        <f t="shared" si="205"/>
        <v>0</v>
      </c>
      <c r="AN675" s="56">
        <f t="shared" si="205"/>
        <v>0</v>
      </c>
      <c r="AO675" s="56">
        <f t="shared" si="205"/>
        <v>0</v>
      </c>
      <c r="AP675" s="29"/>
    </row>
    <row r="676" spans="1:42" hidden="1" outlineLevel="1" x14ac:dyDescent="0.25">
      <c r="A676" s="12"/>
      <c r="B676" s="13"/>
      <c r="C676" s="20" t="s">
        <v>486</v>
      </c>
      <c r="D676" s="14"/>
      <c r="E676" s="70" t="s">
        <v>474</v>
      </c>
      <c r="F676" s="16"/>
      <c r="G676" s="159"/>
      <c r="H676" s="185"/>
      <c r="I676" s="185">
        <f t="shared" ref="I676:AO676" si="206">SUM(I669:I675)</f>
        <v>397559.50267661153</v>
      </c>
      <c r="J676" s="185">
        <f t="shared" si="206"/>
        <v>399671.58919247368</v>
      </c>
      <c r="K676" s="185">
        <f t="shared" si="206"/>
        <v>401572.46705674968</v>
      </c>
      <c r="L676" s="185">
        <f t="shared" si="206"/>
        <v>403684.55357261183</v>
      </c>
      <c r="M676" s="185">
        <f t="shared" si="206"/>
        <v>405796.64008847403</v>
      </c>
      <c r="N676" s="185">
        <f t="shared" si="206"/>
        <v>407908.72660433623</v>
      </c>
      <c r="O676" s="185">
        <f t="shared" si="206"/>
        <v>409809.60446861217</v>
      </c>
      <c r="P676" s="185">
        <f t="shared" si="206"/>
        <v>411076.85637812951</v>
      </c>
      <c r="Q676" s="185">
        <f t="shared" si="206"/>
        <v>412344.10828764678</v>
      </c>
      <c r="R676" s="185">
        <f t="shared" si="206"/>
        <v>413822.56884875032</v>
      </c>
      <c r="S676" s="185">
        <f t="shared" si="206"/>
        <v>415089.82075826766</v>
      </c>
      <c r="T676" s="185">
        <f t="shared" si="206"/>
        <v>416357.07266778493</v>
      </c>
      <c r="U676" s="185">
        <f t="shared" si="206"/>
        <v>0</v>
      </c>
      <c r="V676" s="185">
        <f t="shared" si="206"/>
        <v>0</v>
      </c>
      <c r="W676" s="185">
        <f t="shared" si="206"/>
        <v>0</v>
      </c>
      <c r="X676" s="185">
        <f t="shared" si="206"/>
        <v>0</v>
      </c>
      <c r="Y676" s="185">
        <f t="shared" si="206"/>
        <v>0</v>
      </c>
      <c r="Z676" s="185">
        <f t="shared" si="206"/>
        <v>0</v>
      </c>
      <c r="AA676" s="185">
        <f t="shared" si="206"/>
        <v>0</v>
      </c>
      <c r="AB676" s="185">
        <f t="shared" si="206"/>
        <v>0</v>
      </c>
      <c r="AC676" s="185">
        <f t="shared" si="206"/>
        <v>0</v>
      </c>
      <c r="AD676" s="185">
        <f t="shared" si="206"/>
        <v>0</v>
      </c>
      <c r="AE676" s="185">
        <f t="shared" si="206"/>
        <v>0</v>
      </c>
      <c r="AF676" s="185">
        <f t="shared" si="206"/>
        <v>0</v>
      </c>
      <c r="AG676" s="185">
        <f t="shared" si="206"/>
        <v>0</v>
      </c>
      <c r="AH676" s="185">
        <f t="shared" si="206"/>
        <v>0</v>
      </c>
      <c r="AI676" s="185">
        <f t="shared" si="206"/>
        <v>0</v>
      </c>
      <c r="AJ676" s="185">
        <f t="shared" si="206"/>
        <v>0</v>
      </c>
      <c r="AK676" s="185">
        <f t="shared" si="206"/>
        <v>0</v>
      </c>
      <c r="AL676" s="185">
        <f t="shared" si="206"/>
        <v>0</v>
      </c>
      <c r="AM676" s="185">
        <f t="shared" si="206"/>
        <v>0</v>
      </c>
      <c r="AN676" s="185">
        <f t="shared" si="206"/>
        <v>0</v>
      </c>
      <c r="AO676" s="185">
        <f t="shared" si="206"/>
        <v>0</v>
      </c>
      <c r="AP676" s="14"/>
    </row>
    <row r="677" spans="1:42" hidden="1" outlineLevel="1" x14ac:dyDescent="0.25">
      <c r="A677" s="12"/>
      <c r="B677" s="13"/>
      <c r="C677" s="14" t="s">
        <v>487</v>
      </c>
      <c r="D677" s="14"/>
      <c r="E677" s="15" t="s">
        <v>474</v>
      </c>
      <c r="F677" s="48"/>
      <c r="G677" s="185"/>
      <c r="H677" s="185"/>
      <c r="I677" s="185">
        <f>I676*Data!H$9</f>
        <v>382268.75257366488</v>
      </c>
      <c r="J677" s="185">
        <f>J676*Data!I$9</f>
        <v>369518.85095457989</v>
      </c>
      <c r="K677" s="185">
        <f>K676*Data!J$9</f>
        <v>356996.46095594636</v>
      </c>
      <c r="L677" s="185">
        <f>L676*Data!K$9</f>
        <v>345071.24824783241</v>
      </c>
      <c r="M677" s="185">
        <f>M676*Data!L$9</f>
        <v>333535.25832058536</v>
      </c>
      <c r="N677" s="185">
        <f>N676*Data!M$9</f>
        <v>322376.19180749368</v>
      </c>
      <c r="O677" s="185">
        <f>O676*Data!N$9</f>
        <v>311421.61845699028</v>
      </c>
      <c r="P677" s="185">
        <f>P676*Data!O$9</f>
        <v>300369.83245850651</v>
      </c>
      <c r="Q677" s="185">
        <f>Q676*Data!P$9</f>
        <v>289707.50097698154</v>
      </c>
      <c r="R677" s="185">
        <f>R676*Data!Q$9</f>
        <v>279563.69976566278</v>
      </c>
      <c r="S677" s="185">
        <f>S676*Data!R$9</f>
        <v>269634.43245058542</v>
      </c>
      <c r="T677" s="185">
        <f>T676*Data!S$9</f>
        <v>260055.39916009124</v>
      </c>
      <c r="U677" s="185">
        <f>U676*Data!T$9</f>
        <v>0</v>
      </c>
      <c r="V677" s="185">
        <f>V676*Data!U$9</f>
        <v>0</v>
      </c>
      <c r="W677" s="185">
        <f>W676*Data!V$9</f>
        <v>0</v>
      </c>
      <c r="X677" s="185">
        <f>X676*Data!W$9</f>
        <v>0</v>
      </c>
      <c r="Y677" s="185">
        <f>Y676*Data!X$9</f>
        <v>0</v>
      </c>
      <c r="Z677" s="185">
        <f>Z676*Data!Y$9</f>
        <v>0</v>
      </c>
      <c r="AA677" s="185">
        <f>AA676*Data!Z$9</f>
        <v>0</v>
      </c>
      <c r="AB677" s="185">
        <f>AB676*Data!AA$9</f>
        <v>0</v>
      </c>
      <c r="AC677" s="185">
        <f>AC676*Data!AB$9</f>
        <v>0</v>
      </c>
      <c r="AD677" s="185">
        <f>AD676*Data!AC$9</f>
        <v>0</v>
      </c>
      <c r="AE677" s="185">
        <f>AE676*Data!AD$9</f>
        <v>0</v>
      </c>
      <c r="AF677" s="185">
        <f>AF676*Data!AE$9</f>
        <v>0</v>
      </c>
      <c r="AG677" s="185">
        <f>AG676*Data!AF$9</f>
        <v>0</v>
      </c>
      <c r="AH677" s="185">
        <f>AH676*Data!AG$9</f>
        <v>0</v>
      </c>
      <c r="AI677" s="185">
        <f>AI676*Data!AH$9</f>
        <v>0</v>
      </c>
      <c r="AJ677" s="185">
        <f>AJ676*Data!AI$9</f>
        <v>0</v>
      </c>
      <c r="AK677" s="185">
        <f>AK676*Data!AJ$9</f>
        <v>0</v>
      </c>
      <c r="AL677" s="185">
        <f>AL676*Data!AK$9</f>
        <v>0</v>
      </c>
      <c r="AM677" s="185">
        <f>AM676*Data!AL$9</f>
        <v>0</v>
      </c>
      <c r="AN677" s="185">
        <f>AN676*Data!AM$9</f>
        <v>0</v>
      </c>
      <c r="AO677" s="185">
        <f>AO676*Data!AN$9</f>
        <v>0</v>
      </c>
      <c r="AP677" s="14"/>
    </row>
    <row r="678" spans="1:42" hidden="1" outlineLevel="1" x14ac:dyDescent="0.25">
      <c r="A678" s="12"/>
      <c r="B678" s="13"/>
      <c r="C678" s="14" t="s">
        <v>489</v>
      </c>
      <c r="D678" s="14"/>
      <c r="E678" s="15"/>
      <c r="F678" s="48"/>
      <c r="G678" s="185">
        <f>SUM(H677:AP677)</f>
        <v>3820519.2461289205</v>
      </c>
      <c r="H678" s="185"/>
      <c r="I678" s="185"/>
      <c r="J678" s="185"/>
      <c r="K678" s="185"/>
      <c r="L678" s="185"/>
      <c r="M678" s="185"/>
      <c r="N678" s="185"/>
      <c r="O678" s="185"/>
      <c r="P678" s="185"/>
      <c r="Q678" s="185"/>
      <c r="R678" s="185"/>
      <c r="S678" s="185"/>
      <c r="T678" s="185"/>
      <c r="U678" s="185"/>
      <c r="V678" s="185"/>
      <c r="W678" s="185"/>
      <c r="X678" s="185"/>
      <c r="Y678" s="185"/>
      <c r="Z678" s="185"/>
      <c r="AA678" s="185"/>
      <c r="AB678" s="185"/>
      <c r="AC678" s="185"/>
      <c r="AD678" s="185"/>
      <c r="AE678" s="185"/>
      <c r="AF678" s="185"/>
      <c r="AG678" s="185"/>
      <c r="AH678" s="185"/>
      <c r="AI678" s="185"/>
      <c r="AJ678" s="185"/>
      <c r="AK678" s="185"/>
      <c r="AL678" s="185"/>
      <c r="AM678" s="185"/>
      <c r="AN678" s="185"/>
      <c r="AO678" s="185"/>
      <c r="AP678" s="14"/>
    </row>
    <row r="679" spans="1:42" hidden="1" outlineLevel="1" x14ac:dyDescent="0.25">
      <c r="A679" s="12"/>
      <c r="B679" s="13"/>
      <c r="C679" s="41" t="s">
        <v>62</v>
      </c>
      <c r="D679" s="14"/>
      <c r="E679" s="15"/>
      <c r="F679" s="48"/>
      <c r="G679" s="184">
        <f>G678/SUM(H659:AP659)</f>
        <v>3.4014594427785974</v>
      </c>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c r="AD679" s="185"/>
      <c r="AE679" s="185"/>
      <c r="AF679" s="185"/>
      <c r="AG679" s="185"/>
      <c r="AH679" s="185"/>
      <c r="AI679" s="185"/>
      <c r="AJ679" s="185"/>
      <c r="AK679" s="185"/>
      <c r="AL679" s="185"/>
      <c r="AM679" s="185"/>
      <c r="AN679" s="185"/>
      <c r="AO679" s="185"/>
      <c r="AP679" s="14"/>
    </row>
    <row r="680" spans="1:42" hidden="1" outlineLevel="1" x14ac:dyDescent="0.25">
      <c r="A680" s="12"/>
      <c r="B680" s="13"/>
      <c r="C680" s="41"/>
      <c r="D680" s="14"/>
      <c r="E680" s="15"/>
      <c r="F680" s="48"/>
      <c r="G680" s="185"/>
      <c r="H680" s="185"/>
      <c r="I680" s="185"/>
      <c r="J680" s="185"/>
      <c r="K680" s="185"/>
      <c r="L680" s="185"/>
      <c r="M680" s="185"/>
      <c r="N680" s="185"/>
      <c r="O680" s="185"/>
      <c r="P680" s="185"/>
      <c r="Q680" s="185"/>
      <c r="R680" s="185"/>
      <c r="S680" s="185"/>
      <c r="T680" s="185"/>
      <c r="U680" s="185"/>
      <c r="V680" s="185"/>
      <c r="W680" s="185"/>
      <c r="X680" s="185"/>
      <c r="Y680" s="185"/>
      <c r="Z680" s="185"/>
      <c r="AA680" s="185"/>
      <c r="AB680" s="185"/>
      <c r="AC680" s="185"/>
      <c r="AD680" s="185"/>
      <c r="AE680" s="185"/>
      <c r="AF680" s="185"/>
      <c r="AG680" s="185"/>
      <c r="AH680" s="185"/>
      <c r="AI680" s="185"/>
      <c r="AJ680" s="185"/>
      <c r="AK680" s="185"/>
      <c r="AL680" s="185"/>
      <c r="AM680" s="185"/>
      <c r="AN680" s="185"/>
      <c r="AO680" s="185"/>
      <c r="AP680" s="14"/>
    </row>
    <row r="681" spans="1:42" hidden="1" outlineLevel="1" x14ac:dyDescent="0.25">
      <c r="A681" s="12"/>
      <c r="B681" s="13"/>
      <c r="C681" s="20" t="s">
        <v>489</v>
      </c>
      <c r="D681" s="19"/>
      <c r="E681" s="15" t="s">
        <v>261</v>
      </c>
      <c r="F681" s="16"/>
      <c r="G681" s="184">
        <f>G632+G656+G679</f>
        <v>3.4063671350862896</v>
      </c>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row>
    <row r="682" spans="1:42" ht="18.75" hidden="1" outlineLevel="1" x14ac:dyDescent="0.3">
      <c r="A682" s="12"/>
      <c r="B682" s="13"/>
      <c r="C682" s="226" t="str">
        <f>C566</f>
        <v>TCO 1: End-of-Life Diesel Bus Replacement with HFCB</v>
      </c>
      <c r="D682" s="225"/>
      <c r="E682" s="15" t="s">
        <v>261</v>
      </c>
      <c r="F682" s="16"/>
      <c r="G682" s="224">
        <f>G625+G681</f>
        <v>5.5003274026029683</v>
      </c>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row>
    <row r="683" spans="1:42" hidden="1" outlineLevel="1" x14ac:dyDescent="0.25">
      <c r="A683" s="12"/>
      <c r="B683" s="13"/>
      <c r="C683" s="41"/>
      <c r="D683" s="41"/>
      <c r="E683" s="15"/>
      <c r="F683" s="16"/>
      <c r="G683" s="14"/>
      <c r="H683" s="141"/>
      <c r="I683" s="141"/>
      <c r="J683" s="141"/>
      <c r="K683" s="141"/>
      <c r="L683" s="141"/>
      <c r="M683" s="141"/>
      <c r="N683" s="141"/>
      <c r="O683" s="141"/>
      <c r="P683" s="141"/>
      <c r="Q683" s="141"/>
      <c r="R683" s="141"/>
      <c r="S683" s="141"/>
      <c r="T683" s="141"/>
      <c r="U683" s="141"/>
      <c r="V683" s="141"/>
      <c r="W683" s="141"/>
      <c r="X683" s="141"/>
      <c r="Y683" s="141"/>
      <c r="Z683" s="141"/>
      <c r="AA683" s="141"/>
      <c r="AB683" s="141"/>
      <c r="AC683" s="14"/>
      <c r="AD683" s="14"/>
      <c r="AE683" s="14"/>
      <c r="AF683" s="14"/>
      <c r="AG683" s="14"/>
      <c r="AH683" s="14"/>
      <c r="AI683" s="14"/>
      <c r="AJ683" s="14"/>
      <c r="AK683" s="14"/>
      <c r="AL683" s="14"/>
      <c r="AM683" s="14"/>
      <c r="AN683" s="14"/>
      <c r="AO683" s="14"/>
      <c r="AP683" s="17"/>
    </row>
    <row r="684" spans="1:42" collapsed="1" x14ac:dyDescent="0.25">
      <c r="A684" s="261"/>
      <c r="B684" s="261"/>
      <c r="C684" s="261" t="s">
        <v>603</v>
      </c>
      <c r="D684" s="261"/>
      <c r="E684" s="262"/>
      <c r="F684" s="263"/>
      <c r="G684" s="263"/>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3"/>
      <c r="AD684" s="263"/>
      <c r="AE684" s="263"/>
      <c r="AF684" s="263"/>
      <c r="AG684" s="263"/>
      <c r="AH684" s="263"/>
      <c r="AI684" s="263"/>
      <c r="AJ684" s="263"/>
      <c r="AK684" s="263"/>
      <c r="AL684" s="263"/>
      <c r="AM684" s="263"/>
      <c r="AN684" s="263"/>
      <c r="AO684" s="263"/>
      <c r="AP684" s="265"/>
    </row>
    <row r="685" spans="1:42" outlineLevel="1" x14ac:dyDescent="0.25">
      <c r="A685" s="12"/>
      <c r="B685" s="13"/>
      <c r="C685" s="41"/>
      <c r="D685" s="41"/>
      <c r="E685" s="15"/>
      <c r="F685" s="16"/>
      <c r="G685" s="14"/>
      <c r="H685" s="141"/>
      <c r="I685" s="141"/>
      <c r="J685" s="141"/>
      <c r="K685" s="141"/>
      <c r="L685" s="141"/>
      <c r="M685" s="141"/>
      <c r="N685" s="141"/>
      <c r="O685" s="141"/>
      <c r="P685" s="141"/>
      <c r="Q685" s="141"/>
      <c r="R685" s="141"/>
      <c r="S685" s="141"/>
      <c r="T685" s="141"/>
      <c r="U685" s="141"/>
      <c r="V685" s="141"/>
      <c r="W685" s="141"/>
      <c r="X685" s="141"/>
      <c r="Y685" s="141"/>
      <c r="Z685" s="141"/>
      <c r="AA685" s="141"/>
      <c r="AB685" s="141"/>
      <c r="AC685" s="14"/>
      <c r="AD685" s="14"/>
      <c r="AE685" s="14"/>
      <c r="AF685" s="14"/>
      <c r="AG685" s="14"/>
      <c r="AH685" s="14"/>
      <c r="AI685" s="14"/>
      <c r="AJ685" s="14"/>
      <c r="AK685" s="14"/>
      <c r="AL685" s="14"/>
      <c r="AM685" s="14"/>
      <c r="AN685" s="14"/>
      <c r="AO685" s="14"/>
      <c r="AP685" s="17"/>
    </row>
    <row r="686" spans="1:42" outlineLevel="1" x14ac:dyDescent="0.25">
      <c r="A686" s="12"/>
      <c r="B686" s="13"/>
      <c r="C686" s="37" t="s">
        <v>508</v>
      </c>
      <c r="D686" s="37"/>
      <c r="E686" s="38"/>
      <c r="F686" s="39"/>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17"/>
    </row>
    <row r="687" spans="1:42" outlineLevel="1" x14ac:dyDescent="0.25">
      <c r="A687" s="12"/>
      <c r="B687" s="13"/>
      <c r="C687" s="95" t="s">
        <v>559</v>
      </c>
      <c r="D687" s="14"/>
      <c r="E687" s="15"/>
      <c r="F687" s="16"/>
      <c r="G687" s="14"/>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29"/>
    </row>
    <row r="688" spans="1:42" outlineLevel="1" x14ac:dyDescent="0.25">
      <c r="A688" s="12"/>
      <c r="B688" s="13"/>
      <c r="C688" s="96" t="s">
        <v>120</v>
      </c>
      <c r="D688" s="14"/>
      <c r="E688" s="15" t="s">
        <v>142</v>
      </c>
      <c r="F688" s="158" t="str">
        <f>Dashboard!$I$63</f>
        <v>3 Axle Double Decker Bus</v>
      </c>
      <c r="G688" s="14"/>
      <c r="H688" s="177">
        <f>IF(F688=C688,Data!$E$371,0)</f>
        <v>0</v>
      </c>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29"/>
    </row>
    <row r="689" spans="1:42" outlineLevel="1" x14ac:dyDescent="0.25">
      <c r="A689" s="12"/>
      <c r="B689" s="13"/>
      <c r="C689" s="96" t="s">
        <v>124</v>
      </c>
      <c r="D689" s="14"/>
      <c r="E689" s="15" t="s">
        <v>142</v>
      </c>
      <c r="F689" s="158" t="str">
        <f>Dashboard!$I$63</f>
        <v>3 Axle Double Decker Bus</v>
      </c>
      <c r="G689" s="14"/>
      <c r="H689" s="177">
        <f>IF(F689=C689,Data!$E$372,0)</f>
        <v>0</v>
      </c>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29"/>
    </row>
    <row r="690" spans="1:42" outlineLevel="1" x14ac:dyDescent="0.25">
      <c r="A690" s="12"/>
      <c r="B690" s="13"/>
      <c r="C690" s="96" t="s">
        <v>126</v>
      </c>
      <c r="D690" s="14"/>
      <c r="E690" s="15" t="s">
        <v>142</v>
      </c>
      <c r="F690" s="158" t="str">
        <f>Dashboard!$I$63</f>
        <v>3 Axle Double Decker Bus</v>
      </c>
      <c r="G690" s="14"/>
      <c r="H690" s="177">
        <f>IF(F690=C690,Data!$E$373,0)</f>
        <v>1195000</v>
      </c>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29"/>
    </row>
    <row r="691" spans="1:42" outlineLevel="1" x14ac:dyDescent="0.25">
      <c r="A691" s="12"/>
      <c r="B691" s="13"/>
      <c r="C691" s="136"/>
      <c r="D691" s="14"/>
      <c r="E691" s="15"/>
      <c r="F691" s="16"/>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7"/>
    </row>
    <row r="692" spans="1:42" outlineLevel="1" x14ac:dyDescent="0.25">
      <c r="A692" s="12"/>
      <c r="B692" s="13"/>
      <c r="C692" s="19" t="s">
        <v>510</v>
      </c>
      <c r="D692" s="45"/>
      <c r="E692" s="15"/>
      <c r="F692" s="16"/>
      <c r="G692" s="14"/>
      <c r="H692" s="182">
        <f>SUM(H688:H691)</f>
        <v>1195000</v>
      </c>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9"/>
    </row>
    <row r="693" spans="1:42" s="140" customFormat="1" outlineLevel="1" x14ac:dyDescent="0.25">
      <c r="A693" s="78"/>
      <c r="B693" s="19"/>
      <c r="C693" s="95" t="s">
        <v>561</v>
      </c>
      <c r="D693" s="20"/>
      <c r="E693" s="15" t="s">
        <v>142</v>
      </c>
      <c r="F693" s="48"/>
      <c r="G693" s="20"/>
      <c r="H693" s="20"/>
      <c r="I693" s="244">
        <f>IF(I561&gt;0,-PMT(Data!$E$10,Data!$E$386,HFCB!$H$692,0,0),0)</f>
        <v>87930.191642711521</v>
      </c>
      <c r="J693" s="244">
        <f>IF(J561&gt;0,-PMT(Data!$E$10,Data!$E$386,HFCB!$H$692,0,0),0)</f>
        <v>87930.191642711521</v>
      </c>
      <c r="K693" s="244">
        <f>IF(K561&gt;0,-PMT(Data!$E$10,Data!$E$386,HFCB!$H$692,0,0),0)</f>
        <v>87930.191642711521</v>
      </c>
      <c r="L693" s="244">
        <f>IF(L561&gt;0,-PMT(Data!$E$10,Data!$E$386,HFCB!$H$692,0,0),0)</f>
        <v>87930.191642711521</v>
      </c>
      <c r="M693" s="244">
        <f>IF(M561&gt;0,-PMT(Data!$E$10,Data!$E$386,HFCB!$H$692,0,0),0)</f>
        <v>87930.191642711521</v>
      </c>
      <c r="N693" s="244">
        <f>IF(N561&gt;0,-PMT(Data!$E$10,Data!$E$386,HFCB!$H$692,0,0),0)</f>
        <v>87930.191642711521</v>
      </c>
      <c r="O693" s="244">
        <f>IF(O561&gt;0,-PMT(Data!$E$10,Data!$E$386,HFCB!$H$692,0,0),0)</f>
        <v>87930.191642711521</v>
      </c>
      <c r="P693" s="244">
        <f>IF(P561&gt;0,-PMT(Data!$E$10,Data!$E$386,HFCB!$H$692,0,0),0)</f>
        <v>87930.191642711521</v>
      </c>
      <c r="Q693" s="244">
        <f>IF(Q561&gt;0,-PMT(Data!$E$10,Data!$E$386,HFCB!$H$692,0,0),0)</f>
        <v>87930.191642711521</v>
      </c>
      <c r="R693" s="244">
        <f>IF(R561&gt;0,-PMT(Data!$E$10,Data!$E$386,HFCB!$H$692,0,0),0)</f>
        <v>87930.191642711521</v>
      </c>
      <c r="S693" s="244">
        <f>IF(S561&gt;0,-PMT(Data!$E$10,Data!$E$386,HFCB!$H$692,0,0),0)</f>
        <v>87930.191642711521</v>
      </c>
      <c r="T693" s="244">
        <f>IF(T561&gt;0,-PMT(Data!$E$10,Data!$E$386,HFCB!$H$692,0,0),0)</f>
        <v>87930.191642711521</v>
      </c>
      <c r="U693" s="244">
        <f>IF(U561&gt;0,-PMT(Data!$E$10,Data!$E$386,HFCB!$H$692,0,0),0)</f>
        <v>87930.191642711521</v>
      </c>
      <c r="V693" s="244">
        <f>IF(V561&gt;0,-PMT(Data!$E$10,Data!$E$386,HFCB!$H$692,0,0),0)</f>
        <v>87930.191642711521</v>
      </c>
      <c r="W693" s="244">
        <f>IF(W561&gt;0,-PMT(Data!$E$10,Data!$E$386,HFCB!$H$692,0,0),0)</f>
        <v>87930.191642711521</v>
      </c>
      <c r="X693" s="244">
        <f>IF(X561&gt;0,-PMT(Data!$E$10,Data!$E$386,HFCB!$H$692,0,0),0)</f>
        <v>87930.191642711521</v>
      </c>
      <c r="Y693" s="244">
        <f>IF(Y561&gt;0,-PMT(Data!$E$10,Data!$E$386,HFCB!$H$692,0,0),0)</f>
        <v>87930.191642711521</v>
      </c>
      <c r="Z693" s="244">
        <f>IF(Z561&gt;0,-PMT(Data!$E$10,Data!$E$386,HFCB!$H$692,0,0),0)</f>
        <v>87930.191642711521</v>
      </c>
      <c r="AA693" s="244">
        <f>IF(AA561&gt;0,-PMT(Data!$E$10,Data!$E$386,HFCB!$H$692,0,0),0)</f>
        <v>87930.191642711521</v>
      </c>
      <c r="AB693" s="244">
        <f>IF(AB561&gt;0,-PMT(Data!$E$10,Data!$E$386,HFCB!$H$692,0,0),0)</f>
        <v>87930.191642711521</v>
      </c>
      <c r="AC693" s="244">
        <f>IF(AC561&gt;0,-PMT(Data!$E$10,Data!$E$386,HFCB!$H$692,0,0),0)</f>
        <v>0</v>
      </c>
      <c r="AD693" s="244">
        <f>IF(AD561&gt;0,-PMT(Data!$E$10,Data!$E$386,HFCB!$H$692,0,0),0)</f>
        <v>0</v>
      </c>
      <c r="AE693" s="244">
        <f>IF(AE561&gt;0,-PMT(Data!$E$10,Data!$E$386,HFCB!$H$692,0,0),0)</f>
        <v>0</v>
      </c>
      <c r="AF693" s="244">
        <f>IF(AF561&gt;0,-PMT(Data!$E$10,Data!$E$386,HFCB!$H$692,0,0),0)</f>
        <v>0</v>
      </c>
      <c r="AG693" s="244">
        <f>IF(AG561&gt;0,-PMT(Data!$E$10,Data!$E$386,HFCB!$H$692,0,0),0)</f>
        <v>0</v>
      </c>
      <c r="AH693" s="244">
        <f>IF(AH561&gt;0,-PMT(Data!$E$10,Data!$E$386,HFCB!$H$692,0,0),0)</f>
        <v>0</v>
      </c>
      <c r="AI693" s="244">
        <f>IF(AI561&gt;0,-PMT(Data!$E$10,Data!$E$386,HFCB!$H$692,0,0),0)</f>
        <v>0</v>
      </c>
      <c r="AJ693" s="244">
        <f>IF(AJ561&gt;0,-PMT(Data!$E$10,Data!$E$386,HFCB!$H$692,0,0),0)</f>
        <v>0</v>
      </c>
      <c r="AK693" s="244">
        <f>IF(AK561&gt;0,-PMT(Data!$E$10,Data!$E$386,HFCB!$H$692,0,0),0)</f>
        <v>0</v>
      </c>
      <c r="AL693" s="244">
        <f>IF(AL561&gt;0,-PMT(Data!$E$10,Data!$E$386,HFCB!$H$692,0,0),0)</f>
        <v>0</v>
      </c>
      <c r="AM693" s="244">
        <f>IF(AM561&gt;0,-PMT(Data!$E$10,Data!$E$386,HFCB!$H$692,0,0),0)</f>
        <v>0</v>
      </c>
      <c r="AN693" s="244">
        <f>IF(AN561&gt;0,-PMT(Data!$E$10,Data!$E$386,HFCB!$H$692,0,0),0)</f>
        <v>0</v>
      </c>
      <c r="AO693" s="244">
        <f>IF(AO561&gt;0,-PMT(Data!$E$10,Data!$E$386,HFCB!$H$692,0,0),0)</f>
        <v>0</v>
      </c>
      <c r="AP693" s="370"/>
    </row>
    <row r="694" spans="1:42" outlineLevel="1" x14ac:dyDescent="0.25">
      <c r="A694" s="12"/>
      <c r="B694" s="13"/>
      <c r="C694" s="37" t="s">
        <v>472</v>
      </c>
      <c r="D694" s="37"/>
      <c r="E694" s="38"/>
      <c r="F694" s="39"/>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17"/>
    </row>
    <row r="695" spans="1:42" outlineLevel="1" x14ac:dyDescent="0.25">
      <c r="A695" s="12"/>
      <c r="B695" s="13"/>
      <c r="C695" s="20" t="s">
        <v>258</v>
      </c>
      <c r="D695" s="44"/>
      <c r="E695" s="15"/>
      <c r="F695" s="16"/>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7"/>
    </row>
    <row r="696" spans="1:42" outlineLevel="1" x14ac:dyDescent="0.25">
      <c r="A696" s="12"/>
      <c r="B696" s="13"/>
      <c r="C696" s="96" t="s">
        <v>120</v>
      </c>
      <c r="D696" s="45"/>
      <c r="E696" s="15" t="s">
        <v>474</v>
      </c>
      <c r="F696" s="158" t="str">
        <f>Dashboard!$I$63</f>
        <v>3 Axle Double Decker Bus</v>
      </c>
      <c r="G696" s="14"/>
      <c r="H696" s="177"/>
      <c r="I696" s="177">
        <f>IF($F$696=$C$696,Data!$E$377*I561,0)</f>
        <v>0</v>
      </c>
      <c r="J696" s="177">
        <f>IF($F$696=$C$696,Data!$E$377*J561,0)</f>
        <v>0</v>
      </c>
      <c r="K696" s="177">
        <f>IF($F$696=$C$696,Data!$E$377*K561,0)</f>
        <v>0</v>
      </c>
      <c r="L696" s="177">
        <f>IF($F$696=$C$696,Data!$E$377*L561,0)</f>
        <v>0</v>
      </c>
      <c r="M696" s="177">
        <f>IF($F$696=$C$696,Data!$E$377*M561,0)</f>
        <v>0</v>
      </c>
      <c r="N696" s="177">
        <f>IF($F$696=$C$696,Data!$E$377*N561,0)</f>
        <v>0</v>
      </c>
      <c r="O696" s="177">
        <f>IF($F$696=$C$696,Data!$E$377*O561,0)</f>
        <v>0</v>
      </c>
      <c r="P696" s="177">
        <f>IF($F$696=$C$696,Data!$E$377*P561,0)</f>
        <v>0</v>
      </c>
      <c r="Q696" s="177">
        <f>IF($F$696=$C$696,Data!$E$377*Q561,0)</f>
        <v>0</v>
      </c>
      <c r="R696" s="177">
        <f>IF($F$696=$C$696,Data!$E$377*R561,0)</f>
        <v>0</v>
      </c>
      <c r="S696" s="177">
        <f>IF($F$696=$C$696,Data!$E$377*S561,0)</f>
        <v>0</v>
      </c>
      <c r="T696" s="177">
        <f>IF($F$696=$C$696,Data!$E$377*T561,0)</f>
        <v>0</v>
      </c>
      <c r="U696" s="177">
        <f>IF($F$696=$C$696,Data!$E$377*U561,0)</f>
        <v>0</v>
      </c>
      <c r="V696" s="177">
        <f>IF($F$696=$C$696,Data!$E$377*V561,0)</f>
        <v>0</v>
      </c>
      <c r="W696" s="177">
        <f>IF($F$696=$C$696,Data!$E$377*W561,0)</f>
        <v>0</v>
      </c>
      <c r="X696" s="177">
        <f>IF($F$696=$C$696,Data!$E$377*X561,0)</f>
        <v>0</v>
      </c>
      <c r="Y696" s="177">
        <f>IF($F$696=$C$696,Data!$E$377*Y561,0)</f>
        <v>0</v>
      </c>
      <c r="Z696" s="177">
        <f>IF($F$696=$C$696,Data!$E$377*Z561,0)</f>
        <v>0</v>
      </c>
      <c r="AA696" s="177">
        <f>IF($F$696=$C$696,Data!$E$377*AA561,0)</f>
        <v>0</v>
      </c>
      <c r="AB696" s="177">
        <f>IF($F$696=$C$696,Data!$E$377*AB561,0)</f>
        <v>0</v>
      </c>
      <c r="AC696" s="177">
        <f>IF($F$696=$C$696,Data!$E$377*AC561,0)</f>
        <v>0</v>
      </c>
      <c r="AD696" s="177">
        <f>IF($F$696=$C$696,Data!$E$377*AD561,0)</f>
        <v>0</v>
      </c>
      <c r="AE696" s="177">
        <f>IF($F$696=$C$696,Data!$E$377*AE561,0)</f>
        <v>0</v>
      </c>
      <c r="AF696" s="177">
        <f>IF($F$696=$C$696,Data!$E$377*AF561,0)</f>
        <v>0</v>
      </c>
      <c r="AG696" s="177">
        <f>IF($F$696=$C$696,Data!$E$377*AG561,0)</f>
        <v>0</v>
      </c>
      <c r="AH696" s="177">
        <f>IF($F$696=$C$696,Data!$E$377*AH561,0)</f>
        <v>0</v>
      </c>
      <c r="AI696" s="177">
        <f>IF($F$696=$C$696,Data!$E$377*AI561,0)</f>
        <v>0</v>
      </c>
      <c r="AJ696" s="177">
        <f>IF($F$696=$C$696,Data!$E$377*AJ561,0)</f>
        <v>0</v>
      </c>
      <c r="AK696" s="177">
        <f>IF($F$696=$C$696,Data!$E$377*AK561,0)</f>
        <v>0</v>
      </c>
      <c r="AL696" s="177">
        <f>IF($F$696=$C$696,Data!$E$377*AL561,0)</f>
        <v>0</v>
      </c>
      <c r="AM696" s="177">
        <f>IF($F$696=$C$696,Data!$E$377*AM561,0)</f>
        <v>0</v>
      </c>
      <c r="AN696" s="177">
        <f>IF($F$696=$C$696,Data!$E$377*AN561,0)</f>
        <v>0</v>
      </c>
      <c r="AO696" s="177">
        <f>IF($F$431=$C$431,Data!$E$377*AO561,0)</f>
        <v>0</v>
      </c>
      <c r="AP696" s="29"/>
    </row>
    <row r="697" spans="1:42" outlineLevel="1" x14ac:dyDescent="0.25">
      <c r="A697" s="12"/>
      <c r="B697" s="13"/>
      <c r="C697" s="96" t="s">
        <v>124</v>
      </c>
      <c r="D697" s="45"/>
      <c r="E697" s="15" t="s">
        <v>474</v>
      </c>
      <c r="F697" s="158" t="str">
        <f>Dashboard!$I$63</f>
        <v>3 Axle Double Decker Bus</v>
      </c>
      <c r="G697" s="14"/>
      <c r="H697" s="177"/>
      <c r="I697" s="177">
        <f>IF($F$697=$C$697,Data!$E$378*I561,0)</f>
        <v>0</v>
      </c>
      <c r="J697" s="177">
        <f>IF($F$697=$C$697,Data!$E$378*J561,0)</f>
        <v>0</v>
      </c>
      <c r="K697" s="177">
        <f>IF($F$697=$C$697,Data!$E$378*K561,0)</f>
        <v>0</v>
      </c>
      <c r="L697" s="177">
        <f>IF($F$697=$C$697,Data!$E$378*L561,0)</f>
        <v>0</v>
      </c>
      <c r="M697" s="177">
        <f>IF($F$697=$C$697,Data!$E$378*M561,0)</f>
        <v>0</v>
      </c>
      <c r="N697" s="177">
        <f>IF($F$697=$C$697,Data!$E$378*N561,0)</f>
        <v>0</v>
      </c>
      <c r="O697" s="177">
        <f>IF($F$697=$C$697,Data!$E$378*O561,0)</f>
        <v>0</v>
      </c>
      <c r="P697" s="177">
        <f>IF($F$697=$C$697,Data!$E$378*P561,0)</f>
        <v>0</v>
      </c>
      <c r="Q697" s="177">
        <f>IF($F$697=$C$697,Data!$E$378*Q561,0)</f>
        <v>0</v>
      </c>
      <c r="R697" s="177">
        <f>IF($F$697=$C$697,Data!$E$378*R561,0)</f>
        <v>0</v>
      </c>
      <c r="S697" s="177">
        <f>IF($F$697=$C$697,Data!$E$378*S561,0)</f>
        <v>0</v>
      </c>
      <c r="T697" s="177">
        <f>IF($F$697=$C$697,Data!$E$378*T561,0)</f>
        <v>0</v>
      </c>
      <c r="U697" s="177">
        <f>IF($F$697=$C$697,Data!$E$378*U561,0)</f>
        <v>0</v>
      </c>
      <c r="V697" s="177">
        <f>IF($F$697=$C$697,Data!$E$378*V561,0)</f>
        <v>0</v>
      </c>
      <c r="W697" s="177">
        <f>IF($F$697=$C$697,Data!$E$378*W561,0)</f>
        <v>0</v>
      </c>
      <c r="X697" s="177">
        <f>IF($F$697=$C$697,Data!$E$378*X561,0)</f>
        <v>0</v>
      </c>
      <c r="Y697" s="177">
        <f>IF($F$697=$C$697,Data!$E$378*Y561,0)</f>
        <v>0</v>
      </c>
      <c r="Z697" s="177">
        <f>IF($F$697=$C$697,Data!$E$378*Z561,0)</f>
        <v>0</v>
      </c>
      <c r="AA697" s="177">
        <f>IF($F$697=$C$697,Data!$E$378*AA561,0)</f>
        <v>0</v>
      </c>
      <c r="AB697" s="177">
        <f>IF($F$697=$C$697,Data!$E$378*AB561,0)</f>
        <v>0</v>
      </c>
      <c r="AC697" s="177">
        <f>IF($F$697=$C$697,Data!$E$378*AC561,0)</f>
        <v>0</v>
      </c>
      <c r="AD697" s="177">
        <f>IF($F$697=$C$697,Data!$E$378*AD561,0)</f>
        <v>0</v>
      </c>
      <c r="AE697" s="177">
        <f>IF($F$697=$C$697,Data!$E$378*AE561,0)</f>
        <v>0</v>
      </c>
      <c r="AF697" s="177">
        <f>IF($F$697=$C$697,Data!$E$378*AF561,0)</f>
        <v>0</v>
      </c>
      <c r="AG697" s="177">
        <f>IF($F$697=$C$697,Data!$E$378*AG561,0)</f>
        <v>0</v>
      </c>
      <c r="AH697" s="177">
        <f>IF($F$697=$C$697,Data!$E$378*AH561,0)</f>
        <v>0</v>
      </c>
      <c r="AI697" s="177">
        <f>IF($F$697=$C$697,Data!$E$378*AI561,0)</f>
        <v>0</v>
      </c>
      <c r="AJ697" s="177">
        <f>IF($F$697=$C$697,Data!$E$378*AJ561,0)</f>
        <v>0</v>
      </c>
      <c r="AK697" s="177">
        <f>IF($F$697=$C$697,Data!$E$378*AK561,0)</f>
        <v>0</v>
      </c>
      <c r="AL697" s="177">
        <f>IF($F$697=$C$697,Data!$E$378*AL561,0)</f>
        <v>0</v>
      </c>
      <c r="AM697" s="177">
        <f>IF($F$697=$C$697,Data!$E$378*AM561,0)</f>
        <v>0</v>
      </c>
      <c r="AN697" s="177">
        <f>IF($F$697=$C$697,Data!$E$378*AN561,0)</f>
        <v>0</v>
      </c>
      <c r="AO697" s="177">
        <f>IF($F$432=$C$432,Data!$E$378*AO561,0)</f>
        <v>0</v>
      </c>
      <c r="AP697" s="29"/>
    </row>
    <row r="698" spans="1:42" outlineLevel="1" x14ac:dyDescent="0.25">
      <c r="A698" s="12"/>
      <c r="B698" s="13"/>
      <c r="C698" s="96" t="s">
        <v>126</v>
      </c>
      <c r="D698" s="45"/>
      <c r="E698" s="15" t="s">
        <v>474</v>
      </c>
      <c r="F698" s="158" t="str">
        <f>Dashboard!$I$63</f>
        <v>3 Axle Double Decker Bus</v>
      </c>
      <c r="G698" s="14"/>
      <c r="H698" s="177"/>
      <c r="I698" s="177">
        <f>IF($F$698=$C$698,Data!$E$379*I561,0)</f>
        <v>77973.734260975602</v>
      </c>
      <c r="J698" s="177">
        <f>IF($F$698=$C$698,Data!$E$379*J561,0)</f>
        <v>77973.734260975602</v>
      </c>
      <c r="K698" s="177">
        <f>IF($F$698=$C$698,Data!$E$379*K561,0)</f>
        <v>77973.734260975602</v>
      </c>
      <c r="L698" s="177">
        <f>IF($F$698=$C$698,Data!$E$379*L561,0)</f>
        <v>77973.734260975602</v>
      </c>
      <c r="M698" s="177">
        <f>IF($F$698=$C$698,Data!$E$379*M561,0)</f>
        <v>77973.734260975602</v>
      </c>
      <c r="N698" s="177">
        <f>IF($F$698=$C$698,Data!$E$379*N561,0)</f>
        <v>77973.734260975602</v>
      </c>
      <c r="O698" s="177">
        <f>IF($F$698=$C$698,Data!$E$379*O561,0)</f>
        <v>77973.734260975602</v>
      </c>
      <c r="P698" s="177">
        <f>IF($F$698=$C$698,Data!$E$379*P561,0)</f>
        <v>77973.734260975602</v>
      </c>
      <c r="Q698" s="177">
        <f>IF($F$698=$C$698,Data!$E$379*Q561,0)</f>
        <v>77973.734260975602</v>
      </c>
      <c r="R698" s="177">
        <f>IF($F$698=$C$698,Data!$E$379*R561,0)</f>
        <v>77973.734260975602</v>
      </c>
      <c r="S698" s="177">
        <f>IF($F$698=$C$698,Data!$E$379*S561,0)</f>
        <v>77973.734260975602</v>
      </c>
      <c r="T698" s="177">
        <f>IF($F$698=$C$698,Data!$E$379*T561,0)</f>
        <v>77973.734260975602</v>
      </c>
      <c r="U698" s="177">
        <f>IF($F$698=$C$698,Data!$E$379*U561,0)</f>
        <v>77973.734260975602</v>
      </c>
      <c r="V698" s="177">
        <f>IF($F$698=$C$698,Data!$E$379*V561,0)</f>
        <v>77973.734260975602</v>
      </c>
      <c r="W698" s="177">
        <f>IF($F$698=$C$698,Data!$E$379*W561,0)</f>
        <v>77973.734260975602</v>
      </c>
      <c r="X698" s="177">
        <f>IF($F$698=$C$698,Data!$E$379*X561,0)</f>
        <v>77973.734260975602</v>
      </c>
      <c r="Y698" s="177">
        <f>IF($F$698=$C$698,Data!$E$379*Y561,0)</f>
        <v>77973.734260975602</v>
      </c>
      <c r="Z698" s="177">
        <f>IF($F$698=$C$698,Data!$E$379*Z561,0)</f>
        <v>77973.734260975602</v>
      </c>
      <c r="AA698" s="177">
        <f>IF($F$698=$C$698,Data!$E$379*AA561,0)</f>
        <v>77973.734260975602</v>
      </c>
      <c r="AB698" s="177">
        <f>IF($F$698=$C$698,Data!$E$379*AB561,0)</f>
        <v>77973.734260975602</v>
      </c>
      <c r="AC698" s="177">
        <f>IF($F$698=$C$698,Data!$E$379*AC561,0)</f>
        <v>0</v>
      </c>
      <c r="AD698" s="177">
        <f>IF($F$698=$C$698,Data!$E$379*AD561,0)</f>
        <v>0</v>
      </c>
      <c r="AE698" s="177">
        <f>IF($F$698=$C$698,Data!$E$379*AE561,0)</f>
        <v>0</v>
      </c>
      <c r="AF698" s="177">
        <f>IF($F$698=$C$698,Data!$E$379*AF561,0)</f>
        <v>0</v>
      </c>
      <c r="AG698" s="177">
        <f>IF($F$698=$C$698,Data!$E$379*AG561,0)</f>
        <v>0</v>
      </c>
      <c r="AH698" s="177">
        <f>IF($F$698=$C$698,Data!$E$379*AH561,0)</f>
        <v>0</v>
      </c>
      <c r="AI698" s="177">
        <f>IF($F$698=$C$698,Data!$E$379*AI561,0)</f>
        <v>0</v>
      </c>
      <c r="AJ698" s="177">
        <f>IF($F$698=$C$698,Data!$E$379*AJ561,0)</f>
        <v>0</v>
      </c>
      <c r="AK698" s="177">
        <f>IF($F$698=$C$698,Data!$E$379*AK561,0)</f>
        <v>0</v>
      </c>
      <c r="AL698" s="177">
        <f>IF($F$698=$C$698,Data!$E$379*AL561,0)</f>
        <v>0</v>
      </c>
      <c r="AM698" s="177">
        <f>IF($F$698=$C$698,Data!$E$379*AM561,0)</f>
        <v>0</v>
      </c>
      <c r="AN698" s="177">
        <f>IF($F$698=$C$698,Data!$E$379*AN561,0)</f>
        <v>0</v>
      </c>
      <c r="AO698" s="177">
        <f>IF($F$433=$C$433,Data!$E$379*AO561,0)</f>
        <v>0</v>
      </c>
      <c r="AP698" s="29"/>
    </row>
    <row r="699" spans="1:42" outlineLevel="1" x14ac:dyDescent="0.25">
      <c r="A699" s="12"/>
      <c r="B699" s="13"/>
      <c r="C699" s="96"/>
      <c r="D699" s="45"/>
      <c r="E699" s="15"/>
      <c r="F699" s="158"/>
      <c r="G699" s="14"/>
      <c r="H699" s="177"/>
      <c r="I699" s="177"/>
      <c r="J699" s="177"/>
      <c r="K699" s="177"/>
      <c r="L699" s="177"/>
      <c r="M699" s="177"/>
      <c r="N699" s="177"/>
      <c r="O699" s="177"/>
      <c r="P699" s="177"/>
      <c r="Q699" s="177"/>
      <c r="R699" s="177"/>
      <c r="S699" s="177"/>
      <c r="T699" s="177"/>
      <c r="U699" s="177"/>
      <c r="V699" s="177"/>
      <c r="W699" s="177"/>
      <c r="X699" s="177"/>
      <c r="Y699" s="177"/>
      <c r="Z699" s="177"/>
      <c r="AA699" s="177"/>
      <c r="AB699" s="177"/>
      <c r="AC699" s="177"/>
      <c r="AD699" s="177"/>
      <c r="AE699" s="177"/>
      <c r="AF699" s="177"/>
      <c r="AG699" s="177"/>
      <c r="AH699" s="177"/>
      <c r="AI699" s="177"/>
      <c r="AJ699" s="177"/>
      <c r="AK699" s="177"/>
      <c r="AL699" s="177"/>
      <c r="AM699" s="177"/>
      <c r="AN699" s="177"/>
      <c r="AO699" s="177"/>
      <c r="AP699" s="29"/>
    </row>
    <row r="700" spans="1:42" outlineLevel="1" x14ac:dyDescent="0.25">
      <c r="A700" s="12"/>
      <c r="B700" s="13"/>
      <c r="C700" s="95" t="s">
        <v>570</v>
      </c>
      <c r="D700" s="45"/>
      <c r="E700" s="15"/>
      <c r="F700" s="16"/>
      <c r="G700" s="14"/>
      <c r="H700" s="28"/>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29"/>
    </row>
    <row r="701" spans="1:42" outlineLevel="1" x14ac:dyDescent="0.25">
      <c r="A701" s="12"/>
      <c r="B701" s="13"/>
      <c r="C701" s="96" t="s">
        <v>127</v>
      </c>
      <c r="D701" s="45"/>
      <c r="E701" s="15" t="s">
        <v>475</v>
      </c>
      <c r="F701" s="158" t="str">
        <f>Dashboard!$I$62</f>
        <v>Hilly (Gradient  6%)</v>
      </c>
      <c r="G701" s="14"/>
      <c r="H701" s="28"/>
      <c r="I701" s="178" cm="1">
        <f t="array" ref="I701">INDEX('Control panel'!$F$17:$F$19,MATCH($F701,'Control panel'!$C$17:$C$19,0),0)</f>
        <v>0.15</v>
      </c>
      <c r="J701" s="178" cm="1">
        <f t="array" ref="J701">INDEX('Control panel'!$F$17:$F$19,MATCH($F701,'Control panel'!$C$17:$C$19,0),0)</f>
        <v>0.15</v>
      </c>
      <c r="K701" s="178" cm="1">
        <f t="array" ref="K701">INDEX('Control panel'!$F$17:$F$19,MATCH($F701,'Control panel'!$C$17:$C$19,0),0)</f>
        <v>0.15</v>
      </c>
      <c r="L701" s="178" cm="1">
        <f t="array" ref="L701">INDEX('Control panel'!$F$17:$F$19,MATCH($F701,'Control panel'!$C$17:$C$19,0),0)</f>
        <v>0.15</v>
      </c>
      <c r="M701" s="178" cm="1">
        <f t="array" ref="M701">INDEX('Control panel'!$F$17:$F$19,MATCH($F701,'Control panel'!$C$17:$C$19,0),0)</f>
        <v>0.15</v>
      </c>
      <c r="N701" s="178" cm="1">
        <f t="array" ref="N701">INDEX('Control panel'!$F$17:$F$19,MATCH($F701,'Control panel'!$C$17:$C$19,0),0)</f>
        <v>0.15</v>
      </c>
      <c r="O701" s="178" cm="1">
        <f t="array" ref="O701">INDEX('Control panel'!$F$17:$F$19,MATCH($F701,'Control panel'!$C$17:$C$19,0),0)</f>
        <v>0.15</v>
      </c>
      <c r="P701" s="178" cm="1">
        <f t="array" ref="P701">INDEX('Control panel'!$F$17:$F$19,MATCH($F701,'Control panel'!$C$17:$C$19,0),0)</f>
        <v>0.15</v>
      </c>
      <c r="Q701" s="178" cm="1">
        <f t="array" ref="Q701">INDEX('Control panel'!$F$17:$F$19,MATCH($F701,'Control panel'!$C$17:$C$19,0),0)</f>
        <v>0.15</v>
      </c>
      <c r="R701" s="178" cm="1">
        <f t="array" ref="R701">INDEX('Control panel'!$F$17:$F$19,MATCH($F701,'Control panel'!$C$17:$C$19,0),0)</f>
        <v>0.15</v>
      </c>
      <c r="S701" s="178" cm="1">
        <f t="array" ref="S701">INDEX('Control panel'!$F$17:$F$19,MATCH($F701,'Control panel'!$C$17:$C$19,0),0)</f>
        <v>0.15</v>
      </c>
      <c r="T701" s="178" cm="1">
        <f t="array" ref="T701">INDEX('Control panel'!$F$17:$F$19,MATCH($F701,'Control panel'!$C$17:$C$19,0),0)</f>
        <v>0.15</v>
      </c>
      <c r="U701" s="178" cm="1">
        <f t="array" ref="U701">INDEX('Control panel'!$F$17:$F$19,MATCH($F701,'Control panel'!$C$17:$C$19,0),0)</f>
        <v>0.15</v>
      </c>
      <c r="V701" s="178" cm="1">
        <f t="array" ref="V701">INDEX('Control panel'!$F$17:$F$19,MATCH($F701,'Control panel'!$C$17:$C$19,0),0)</f>
        <v>0.15</v>
      </c>
      <c r="W701" s="178" cm="1">
        <f t="array" ref="W701">INDEX('Control panel'!$F$17:$F$19,MATCH($F701,'Control panel'!$C$17:$C$19,0),0)</f>
        <v>0.15</v>
      </c>
      <c r="X701" s="178" cm="1">
        <f t="array" ref="X701">INDEX('Control panel'!$F$17:$F$19,MATCH($F701,'Control panel'!$C$17:$C$19,0),0)</f>
        <v>0.15</v>
      </c>
      <c r="Y701" s="178" cm="1">
        <f t="array" ref="Y701">INDEX('Control panel'!$F$17:$F$19,MATCH($F701,'Control panel'!$C$17:$C$19,0),0)</f>
        <v>0.15</v>
      </c>
      <c r="Z701" s="178" cm="1">
        <f t="array" ref="Z701">INDEX('Control panel'!$F$17:$F$19,MATCH($F701,'Control panel'!$C$17:$C$19,0),0)</f>
        <v>0.15</v>
      </c>
      <c r="AA701" s="178" cm="1">
        <f t="array" ref="AA701">INDEX('Control panel'!$F$17:$F$19,MATCH($F701,'Control panel'!$C$17:$C$19,0),0)</f>
        <v>0.15</v>
      </c>
      <c r="AB701" s="178" cm="1">
        <f t="array" ref="AB701">INDEX('Control panel'!$F$17:$F$19,MATCH($F701,'Control panel'!$C$17:$C$19,0),0)</f>
        <v>0.15</v>
      </c>
      <c r="AC701" s="178" cm="1">
        <f t="array" ref="AC701">INDEX('Control panel'!$F$17:$F$19,MATCH($F701,'Control panel'!$C$17:$C$19,0),0)</f>
        <v>0.15</v>
      </c>
      <c r="AD701" s="178" cm="1">
        <f t="array" ref="AD701">INDEX('Control panel'!$F$17:$F$19,MATCH($F701,'Control panel'!$C$17:$C$19,0),0)</f>
        <v>0.15</v>
      </c>
      <c r="AE701" s="178" cm="1">
        <f t="array" ref="AE701">INDEX('Control panel'!$F$17:$F$19,MATCH($F701,'Control panel'!$C$17:$C$19,0),0)</f>
        <v>0.15</v>
      </c>
      <c r="AF701" s="178" cm="1">
        <f t="array" ref="AF701">INDEX('Control panel'!$F$17:$F$19,MATCH($F701,'Control panel'!$C$17:$C$19,0),0)</f>
        <v>0.15</v>
      </c>
      <c r="AG701" s="178" cm="1">
        <f t="array" ref="AG701">INDEX('Control panel'!$F$17:$F$19,MATCH($F701,'Control panel'!$C$17:$C$19,0),0)</f>
        <v>0.15</v>
      </c>
      <c r="AH701" s="178" cm="1">
        <f t="array" ref="AH701">INDEX('Control panel'!$F$17:$F$19,MATCH($F701,'Control panel'!$C$17:$C$19,0),0)</f>
        <v>0.15</v>
      </c>
      <c r="AI701" s="178" cm="1">
        <f t="array" ref="AI701">INDEX('Control panel'!$F$17:$F$19,MATCH($F701,'Control panel'!$C$17:$C$19,0),0)</f>
        <v>0.15</v>
      </c>
      <c r="AJ701" s="178" cm="1">
        <f t="array" ref="AJ701">INDEX('Control panel'!$F$17:$F$19,MATCH($F701,'Control panel'!$C$17:$C$19,0),0)</f>
        <v>0.15</v>
      </c>
      <c r="AK701" s="178" cm="1">
        <f t="array" ref="AK701">INDEX('Control panel'!$F$17:$F$19,MATCH($F701,'Control panel'!$C$17:$C$19,0),0)</f>
        <v>0.15</v>
      </c>
      <c r="AL701" s="178" cm="1">
        <f t="array" ref="AL701">INDEX('Control panel'!$F$17:$F$19,MATCH($F701,'Control panel'!$C$17:$C$19,0),0)</f>
        <v>0.15</v>
      </c>
      <c r="AM701" s="178" cm="1">
        <f t="array" ref="AM701">INDEX('Control panel'!$F$17:$F$19,MATCH($F701,'Control panel'!$C$17:$C$19,0),0)</f>
        <v>0.15</v>
      </c>
      <c r="AN701" s="178" cm="1">
        <f t="array" ref="AN701">INDEX('Control panel'!$F$17:$F$19,MATCH($F701,'Control panel'!$C$17:$C$19,0),0)</f>
        <v>0.15</v>
      </c>
      <c r="AO701" s="178" cm="1">
        <f t="array" ref="AO701">INDEX('Control panel'!$F$17:$F$19,MATCH($F701,'Control panel'!$C$17:$C$19,0),0)</f>
        <v>0.15</v>
      </c>
      <c r="AP701" s="29"/>
    </row>
    <row r="702" spans="1:42" ht="15.75" customHeight="1" outlineLevel="1" x14ac:dyDescent="0.25">
      <c r="A702" s="12"/>
      <c r="B702" s="13"/>
      <c r="C702" s="96" t="s">
        <v>120</v>
      </c>
      <c r="D702" s="45"/>
      <c r="E702" s="15"/>
      <c r="F702" s="158" t="str">
        <f>Dashboard!$I$63</f>
        <v>3 Axle Double Decker Bus</v>
      </c>
      <c r="G702" s="14"/>
      <c r="H702" s="28"/>
      <c r="I702" s="56">
        <f>IF($C$702=$F$702,I561*Data!$E$389*Data!H$66,0)*(1+I701)*(1+Data!$E$93)</f>
        <v>0</v>
      </c>
      <c r="J702" s="56">
        <f>IF($C$702=$F$702,J561*Data!$E$389*Data!I$66,0)*(1+J701)*(1+Data!$E$93)</f>
        <v>0</v>
      </c>
      <c r="K702" s="56">
        <f>IF($C$702=$F$702,K561*Data!$E$389*Data!J$66,0)*(1+K701)*(1+Data!$E$93)</f>
        <v>0</v>
      </c>
      <c r="L702" s="56">
        <f>IF($C$702=$F$702,L561*Data!$E$389*Data!K$66,0)*(1+L701)*(1+Data!$E$93)</f>
        <v>0</v>
      </c>
      <c r="M702" s="56">
        <f>IF($C$702=$F$702,M561*Data!$E$389*Data!L$66,0)*(1+M701)*(1+Data!$E$93)</f>
        <v>0</v>
      </c>
      <c r="N702" s="56">
        <f>IF($C$702=$F$702,N561*Data!$E$389*Data!M$66,0)*(1+N701)*(1+Data!$E$93)</f>
        <v>0</v>
      </c>
      <c r="O702" s="56">
        <f>IF($C$702=$F$702,O561*Data!$E$389*Data!N$66,0)*(1+O701)*(1+Data!$E$93)</f>
        <v>0</v>
      </c>
      <c r="P702" s="56">
        <f>IF($C$702=$F$702,P561*Data!$E$389*Data!O$66,0)*(1+P701)*(1+Data!$E$93)</f>
        <v>0</v>
      </c>
      <c r="Q702" s="56">
        <f>IF($C$702=$F$702,Q561*Data!$E$389*Data!P$66,0)*(1+Q701)*(1+Data!$E$93)</f>
        <v>0</v>
      </c>
      <c r="R702" s="56">
        <f>IF($C$702=$F$702,R561*Data!$E$389*Data!Q$66,0)*(1+R701)*(1+Data!$E$93)</f>
        <v>0</v>
      </c>
      <c r="S702" s="56">
        <f>IF($C$702=$F$702,S561*Data!$E$389*Data!R$66,0)*(1+S701)*(1+Data!$E$93)</f>
        <v>0</v>
      </c>
      <c r="T702" s="56">
        <f>IF($C$702=$F$702,T561*Data!$E$389*Data!S$66,0)*(1+T701)*(1+Data!$E$93)</f>
        <v>0</v>
      </c>
      <c r="U702" s="56">
        <f>IF($C$702=$F$702,U561*Data!$E$389*Data!T$66,0)*(1+U701)*(1+Data!$E$93)</f>
        <v>0</v>
      </c>
      <c r="V702" s="56">
        <f>IF($C$702=$F$702,V561*Data!$E$389*Data!U$66,0)*(1+V701)*(1+Data!$E$93)</f>
        <v>0</v>
      </c>
      <c r="W702" s="56">
        <f>IF($C$702=$F$702,W561*Data!$E$389*Data!V$66,0)*(1+W701)*(1+Data!$E$93)</f>
        <v>0</v>
      </c>
      <c r="X702" s="56">
        <f>IF($C$702=$F$702,X561*Data!$E$389*Data!W$66,0)*(1+X701)*(1+Data!$E$93)</f>
        <v>0</v>
      </c>
      <c r="Y702" s="56">
        <f>IF($C$702=$F$702,Y561*Data!$E$389*Data!X$66,0)*(1+Y701)*(1+Data!$E$93)</f>
        <v>0</v>
      </c>
      <c r="Z702" s="56">
        <f>IF($C$702=$F$702,Z561*Data!$E$389*Data!Y$66,0)*(1+Z701)*(1+Data!$E$93)</f>
        <v>0</v>
      </c>
      <c r="AA702" s="56">
        <f>IF($C$702=$F$702,AA561*Data!$E$389*Data!Z$66,0)*(1+AA701)*(1+Data!$E$93)</f>
        <v>0</v>
      </c>
      <c r="AB702" s="56">
        <f>IF($C$702=$F$702,AB561*Data!$E$389*Data!AA$66,0)*(1+AB701)*(1+Data!$E$93)</f>
        <v>0</v>
      </c>
      <c r="AC702" s="56">
        <f>IF($C$702=$F$702,AC561*Data!$E$389*Data!AB$66,0)*(1+AC701)*(1+Data!$E$93)</f>
        <v>0</v>
      </c>
      <c r="AD702" s="56">
        <f>IF($C$702=$F$702,AD561*Data!$E$389*Data!AC$66,0)*(1+AD701)*(1+Data!$E$93)</f>
        <v>0</v>
      </c>
      <c r="AE702" s="56">
        <f>IF($C$702=$F$702,AE561*Data!$E$389*Data!AD$66,0)*(1+AE701)*(1+Data!$E$93)</f>
        <v>0</v>
      </c>
      <c r="AF702" s="56">
        <f>IF($C$702=$F$702,AF561*Data!$E$389*Data!AE$66,0)*(1+AF701)*(1+Data!$E$93)</f>
        <v>0</v>
      </c>
      <c r="AG702" s="56">
        <f>IF($C$702=$F$702,AG561*Data!$E$389*Data!AF$66,0)*(1+AG701)*(1+Data!$E$93)</f>
        <v>0</v>
      </c>
      <c r="AH702" s="56">
        <f>IF($C$702=$F$702,AH561*Data!$E$389*Data!AG$66,0)*(1+AH701)*(1+Data!$E$93)</f>
        <v>0</v>
      </c>
      <c r="AI702" s="56">
        <f>IF($C$702=$F$702,AI561*Data!$E$389*Data!AH$66,0)*(1+AI701)*(1+Data!$E$93)</f>
        <v>0</v>
      </c>
      <c r="AJ702" s="56">
        <f>IF($C$702=$F$702,AJ561*Data!$E$389*Data!AI$66,0)*(1+AJ701)*(1+Data!$E$93)</f>
        <v>0</v>
      </c>
      <c r="AK702" s="56">
        <f>IF($C$702=$F$702,AK561*Data!$E$389*Data!AJ$66,0)*(1+AK701)*(1+Data!$E$93)</f>
        <v>0</v>
      </c>
      <c r="AL702" s="56">
        <f>IF($C$702=$F$702,AL561*Data!$E$389*Data!AK$66,0)*(1+AL701)*(1+Data!$E$93)</f>
        <v>0</v>
      </c>
      <c r="AM702" s="56">
        <f>IF($C$702=$F$702,AM561*Data!$E$389*Data!AL$66,0)*(1+AM701)*(1+Data!$E$93)</f>
        <v>0</v>
      </c>
      <c r="AN702" s="56">
        <f>IF($C$702=$F$702,AN561*Data!$E$389*Data!AM$66,0)*(1+AN701)*(1+Data!$E$93)</f>
        <v>0</v>
      </c>
      <c r="AO702" s="56">
        <f>IF($C$702=$F$702,AO561*Data!$E$389*Data!AN$66,0)*(1+AO701)*(1+Data!$E$93)</f>
        <v>0</v>
      </c>
      <c r="AP702" s="29"/>
    </row>
    <row r="703" spans="1:42" outlineLevel="1" x14ac:dyDescent="0.25">
      <c r="A703" s="12"/>
      <c r="B703" s="13"/>
      <c r="C703" s="96" t="s">
        <v>124</v>
      </c>
      <c r="D703" s="45"/>
      <c r="E703" s="15"/>
      <c r="F703" s="158" t="str">
        <f>Dashboard!$I$63</f>
        <v>3 Axle Double Decker Bus</v>
      </c>
      <c r="G703" s="14"/>
      <c r="H703" s="28"/>
      <c r="I703" s="56">
        <f>IF($C$703=$F$703,I561*Data!$E$390*Data!H$66,0)*(1+I701)*(1+Data!$E$93)</f>
        <v>0</v>
      </c>
      <c r="J703" s="56">
        <f>IF($C$703=$F$703,J561*Data!$E$390*Data!I$66,0)*(1+J701)*(1+Data!$E$93)</f>
        <v>0</v>
      </c>
      <c r="K703" s="56">
        <f>IF($C$703=$F$703,K561*Data!$E$390*Data!J$66,0)*(1+K701)*(1+Data!$E$93)</f>
        <v>0</v>
      </c>
      <c r="L703" s="56">
        <f>IF($C$703=$F$703,L561*Data!$E$390*Data!K$66,0)*(1+L701)*(1+Data!$E$93)</f>
        <v>0</v>
      </c>
      <c r="M703" s="56">
        <f>IF($C$703=$F$703,M561*Data!$E$390*Data!L$66,0)*(1+M701)*(1+Data!$E$93)</f>
        <v>0</v>
      </c>
      <c r="N703" s="56">
        <f>IF($C$703=$F$703,N561*Data!$E$390*Data!M$66,0)*(1+N701)*(1+Data!$E$93)</f>
        <v>0</v>
      </c>
      <c r="O703" s="56">
        <f>IF($C$703=$F$703,O561*Data!$E$390*Data!N$66,0)*(1+O701)*(1+Data!$E$93)</f>
        <v>0</v>
      </c>
      <c r="P703" s="56">
        <f>IF($C$703=$F$703,P561*Data!$E$390*Data!O$66,0)*(1+P701)*(1+Data!$E$93)</f>
        <v>0</v>
      </c>
      <c r="Q703" s="56">
        <f>IF($C$703=$F$703,Q561*Data!$E$390*Data!P$66,0)*(1+Q701)*(1+Data!$E$93)</f>
        <v>0</v>
      </c>
      <c r="R703" s="56">
        <f>IF($C$703=$F$703,R561*Data!$E$390*Data!Q$66,0)*(1+R701)*(1+Data!$E$93)</f>
        <v>0</v>
      </c>
      <c r="S703" s="56">
        <f>IF($C$703=$F$703,S561*Data!$E$390*Data!R$66,0)*(1+S701)*(1+Data!$E$93)</f>
        <v>0</v>
      </c>
      <c r="T703" s="56">
        <f>IF($C$703=$F$703,T561*Data!$E$390*Data!S$66,0)*(1+T701)*(1+Data!$E$93)</f>
        <v>0</v>
      </c>
      <c r="U703" s="56">
        <f>IF($C$703=$F$703,U561*Data!$E$390*Data!T$66,0)*(1+U701)*(1+Data!$E$93)</f>
        <v>0</v>
      </c>
      <c r="V703" s="56">
        <f>IF($C$703=$F$703,V561*Data!$E$390*Data!U$66,0)*(1+V701)*(1+Data!$E$93)</f>
        <v>0</v>
      </c>
      <c r="W703" s="56">
        <f>IF($C$703=$F$703,W561*Data!$E$390*Data!V$66,0)*(1+W701)*(1+Data!$E$93)</f>
        <v>0</v>
      </c>
      <c r="X703" s="56">
        <f>IF($C$703=$F$703,X561*Data!$E$390*Data!W$66,0)*(1+X701)*(1+Data!$E$93)</f>
        <v>0</v>
      </c>
      <c r="Y703" s="56">
        <f>IF($C$703=$F$703,Y561*Data!$E$390*Data!X$66,0)*(1+Y701)*(1+Data!$E$93)</f>
        <v>0</v>
      </c>
      <c r="Z703" s="56">
        <f>IF($C$703=$F$703,Z561*Data!$E$390*Data!Y$66,0)*(1+Z701)*(1+Data!$E$93)</f>
        <v>0</v>
      </c>
      <c r="AA703" s="56">
        <f>IF($C$703=$F$703,AA561*Data!$E$390*Data!Z$66,0)*(1+AA701)*(1+Data!$E$93)</f>
        <v>0</v>
      </c>
      <c r="AB703" s="56">
        <f>IF($C$703=$F$703,AB561*Data!$E$390*Data!AA$66,0)*(1+AB701)*(1+Data!$E$93)</f>
        <v>0</v>
      </c>
      <c r="AC703" s="56">
        <f>IF($C$703=$F$703,AC561*Data!$E$390*Data!AB$66,0)*(1+AC701)*(1+Data!$E$93)</f>
        <v>0</v>
      </c>
      <c r="AD703" s="56">
        <f>IF($C$703=$F$703,AD561*Data!$E$390*Data!AC$66,0)*(1+AD701)*(1+Data!$E$93)</f>
        <v>0</v>
      </c>
      <c r="AE703" s="56">
        <f>IF($C$703=$F$703,AE561*Data!$E$390*Data!AD$66,0)*(1+AE701)*(1+Data!$E$93)</f>
        <v>0</v>
      </c>
      <c r="AF703" s="56">
        <f>IF($C$703=$F$703,AF561*Data!$E$390*Data!AE$66,0)*(1+AF701)*(1+Data!$E$93)</f>
        <v>0</v>
      </c>
      <c r="AG703" s="56">
        <f>IF($C$703=$F$703,AG561*Data!$E$390*Data!AF$66,0)*(1+AG701)*(1+Data!$E$93)</f>
        <v>0</v>
      </c>
      <c r="AH703" s="56">
        <f>IF($C$703=$F$703,AH561*Data!$E$390*Data!AG$66,0)*(1+AH701)*(1+Data!$E$93)</f>
        <v>0</v>
      </c>
      <c r="AI703" s="56">
        <f>IF($C$703=$F$703,AI561*Data!$E$390*Data!AH$66,0)*(1+AI701)*(1+Data!$E$93)</f>
        <v>0</v>
      </c>
      <c r="AJ703" s="56">
        <f>IF($C$703=$F$703,AJ561*Data!$E$390*Data!AI$66,0)*(1+AJ701)*(1+Data!$E$93)</f>
        <v>0</v>
      </c>
      <c r="AK703" s="56">
        <f>IF($C$703=$F$703,AK561*Data!$E$390*Data!AJ$66,0)*(1+AK701)*(1+Data!$E$93)</f>
        <v>0</v>
      </c>
      <c r="AL703" s="56">
        <f>IF($C$703=$F$703,AL561*Data!$E$390*Data!AK$66,0)*(1+AL701)*(1+Data!$E$93)</f>
        <v>0</v>
      </c>
      <c r="AM703" s="56">
        <f>IF($C$703=$F$703,AM561*Data!$E$390*Data!AL$66,0)*(1+AM701)*(1+Data!$E$93)</f>
        <v>0</v>
      </c>
      <c r="AN703" s="56">
        <f>IF($C$703=$F$703,AN561*Data!$E$390*Data!AM$66,0)*(1+AN701)*(1+Data!$E$93)</f>
        <v>0</v>
      </c>
      <c r="AO703" s="56">
        <f>IF($C$703=$F$703,AO561*Data!$E$390*Data!AN$66,0)*(1+AO701)*(1+Data!$E$93)</f>
        <v>0</v>
      </c>
      <c r="AP703" s="29"/>
    </row>
    <row r="704" spans="1:42" outlineLevel="1" x14ac:dyDescent="0.25">
      <c r="A704" s="12"/>
      <c r="B704" s="13"/>
      <c r="C704" s="96" t="s">
        <v>126</v>
      </c>
      <c r="D704" s="45"/>
      <c r="E704" s="15"/>
      <c r="F704" s="158" t="str">
        <f>Dashboard!$I$63</f>
        <v>3 Axle Double Decker Bus</v>
      </c>
      <c r="G704" s="14"/>
      <c r="H704" s="28"/>
      <c r="I704" s="56">
        <f>IF($C$704=$F$704,I561*Data!$E$391*Data!H$66,0)*(1+I701)*(1+Data!$E$93)</f>
        <v>180643.66266286577</v>
      </c>
      <c r="J704" s="56">
        <f>IF($C$704=$F$704,J561*Data!$E$391*Data!I$66,0)*(1+J701)*(1+Data!$E$93)</f>
        <v>164171.21826575656</v>
      </c>
      <c r="K704" s="56">
        <f>IF($C$704=$F$704,K561*Data!$E$391*Data!J$66,0)*(1+K701)*(1+Data!$E$93)</f>
        <v>147698.77386864732</v>
      </c>
      <c r="L704" s="56">
        <f>IF($C$704=$F$704,L561*Data!$E$391*Data!K$66,0)*(1+L701)*(1+Data!$E$93)</f>
        <v>131226.32947153811</v>
      </c>
      <c r="M704" s="56">
        <f>IF($C$704=$F$704,M561*Data!$E$391*Data!L$66,0)*(1+M701)*(1+Data!$E$93)</f>
        <v>114753.88507442888</v>
      </c>
      <c r="N704" s="56">
        <f>IF($C$704=$F$704,N561*Data!$E$391*Data!M$66,0)*(1+N701)*(1+Data!$E$93)</f>
        <v>98281.440677319682</v>
      </c>
      <c r="O704" s="56">
        <f>IF($C$704=$F$704,O561*Data!$E$391*Data!N$66,0)*(1+O701)*(1+Data!$E$93)</f>
        <v>81808.996280210456</v>
      </c>
      <c r="P704" s="56">
        <f>IF($C$704=$F$704,P561*Data!$E$391*Data!O$66,0)*(1+P701)*(1+Data!$E$93)</f>
        <v>65336.551883101245</v>
      </c>
      <c r="Q704" s="56">
        <f>IF($C$704=$F$704,Q561*Data!$E$391*Data!P$66,0)*(1+Q701)*(1+Data!$E$93)</f>
        <v>64138.274162329915</v>
      </c>
      <c r="R704" s="56">
        <f>IF($C$704=$F$704,R561*Data!$E$391*Data!Q$66,0)*(1+R701)*(1+Data!$E$93)</f>
        <v>62968.411285308335</v>
      </c>
      <c r="S704" s="56">
        <f>IF($C$704=$F$704,S561*Data!$E$391*Data!R$66,0)*(1+S701)*(1+Data!$E$93)</f>
        <v>61826.176156644869</v>
      </c>
      <c r="T704" s="56">
        <f>IF($C$704=$F$704,T561*Data!$E$391*Data!S$66,0)*(1+T701)*(1+Data!$E$93)</f>
        <v>60710.805858360822</v>
      </c>
      <c r="U704" s="56">
        <f>IF($C$704=$F$704,U561*Data!$E$391*Data!T$66,0)*(1+U701)*(1+Data!$E$93)</f>
        <v>59621.560865310748</v>
      </c>
      <c r="V704" s="56">
        <f>IF($C$704=$F$704,V561*Data!$E$391*Data!U$66,0)*(1+V701)*(1+Data!$E$93)</f>
        <v>58557.724286737095</v>
      </c>
      <c r="W704" s="56">
        <f>IF($C$704=$F$704,W561*Data!$E$391*Data!V$66,0)*(1+W701)*(1+Data!$E$93)</f>
        <v>57518.601133078846</v>
      </c>
      <c r="X704" s="56">
        <f>IF($C$704=$F$704,X561*Data!$E$391*Data!W$66,0)*(1+X701)*(1+Data!$E$93)</f>
        <v>56503.517607182606</v>
      </c>
      <c r="Y704" s="56">
        <f>IF($C$704=$F$704,Y561*Data!$E$391*Data!X$66,0)*(1+Y701)*(1+Data!$E$93)</f>
        <v>55511.820419094525</v>
      </c>
      <c r="Z704" s="56">
        <f>IF($C$704=$F$704,Z561*Data!$E$391*Data!Y$66,0)*(1+Z701)*(1+Data!$E$93)</f>
        <v>54542.876123638685</v>
      </c>
      <c r="AA704" s="56">
        <f>IF($C$704=$F$704,AA561*Data!$E$391*Data!Z$66,0)*(1+AA701)*(1+Data!$E$93)</f>
        <v>53596.070480014612</v>
      </c>
      <c r="AB704" s="56">
        <f>IF($C$704=$F$704,AB561*Data!$E$391*Data!AA$66,0)*(1+AB701)*(1+Data!$E$93)</f>
        <v>52670.807832672552</v>
      </c>
      <c r="AC704" s="56">
        <f>IF($C$704=$F$704,AC561*Data!$E$391*Data!AB$66,0)*(1+AC701)*(1+Data!$E$93)</f>
        <v>0</v>
      </c>
      <c r="AD704" s="56">
        <f>IF($C$704=$F$704,AD561*Data!$E$391*Data!AC$66,0)*(1+AD701)*(1+Data!$E$93)</f>
        <v>0</v>
      </c>
      <c r="AE704" s="56">
        <f>IF($C$704=$F$704,AE561*Data!$E$391*Data!AD$66,0)*(1+AE701)*(1+Data!$E$93)</f>
        <v>0</v>
      </c>
      <c r="AF704" s="56">
        <f>IF($C$704=$F$704,AF561*Data!$E$391*Data!AE$66,0)*(1+AF701)*(1+Data!$E$93)</f>
        <v>0</v>
      </c>
      <c r="AG704" s="56">
        <f>IF($C$704=$F$704,AG561*Data!$E$391*Data!AF$66,0)*(1+AG701)*(1+Data!$E$93)</f>
        <v>0</v>
      </c>
      <c r="AH704" s="56">
        <f>IF($C$704=$F$704,AH561*Data!$E$391*Data!AG$66,0)*(1+AH701)*(1+Data!$E$93)</f>
        <v>0</v>
      </c>
      <c r="AI704" s="56">
        <f>IF($C$704=$F$704,AI561*Data!$E$391*Data!AH$66,0)*(1+AI701)*(1+Data!$E$93)</f>
        <v>0</v>
      </c>
      <c r="AJ704" s="56">
        <f>IF($C$704=$F$704,AJ561*Data!$E$391*Data!AI$66,0)*(1+AJ701)*(1+Data!$E$93)</f>
        <v>0</v>
      </c>
      <c r="AK704" s="56">
        <f>IF($C$704=$F$704,AK561*Data!$E$391*Data!AJ$66,0)*(1+AK701)*(1+Data!$E$93)</f>
        <v>0</v>
      </c>
      <c r="AL704" s="56">
        <f>IF($C$704=$F$704,AL561*Data!$E$391*Data!AK$66,0)*(1+AL701)*(1+Data!$E$93)</f>
        <v>0</v>
      </c>
      <c r="AM704" s="56">
        <f>IF($C$704=$F$704,AM561*Data!$E$391*Data!AL$66,0)*(1+AM701)*(1+Data!$E$93)</f>
        <v>0</v>
      </c>
      <c r="AN704" s="56">
        <f>IF($C$704=$F$704,AN561*Data!$E$391*Data!AM$66,0)*(1+AN701)*(1+Data!$E$93)</f>
        <v>0</v>
      </c>
      <c r="AO704" s="56">
        <f>IF($C$704=$F$704,AO561*Data!$E$391*Data!AN$66,0)*(1+AO701)*(1+Data!$E$93)</f>
        <v>0</v>
      </c>
      <c r="AP704" s="29"/>
    </row>
    <row r="705" spans="1:42" outlineLevel="1" x14ac:dyDescent="0.25">
      <c r="A705" s="12"/>
      <c r="B705" s="13"/>
      <c r="C705" s="96"/>
      <c r="D705" s="45"/>
      <c r="E705" s="15"/>
      <c r="F705" s="158"/>
      <c r="G705" s="14"/>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9"/>
    </row>
    <row r="706" spans="1:42" outlineLevel="1" x14ac:dyDescent="0.25">
      <c r="A706" s="12"/>
      <c r="B706" s="13"/>
      <c r="C706" s="19" t="s">
        <v>512</v>
      </c>
      <c r="D706" s="45"/>
      <c r="E706" s="15"/>
      <c r="F706" s="158"/>
      <c r="G706" s="14"/>
      <c r="H706" s="28"/>
      <c r="I706" s="182">
        <f>SUM(I696:I698)+SUM(I702:I704)</f>
        <v>258617.39692384138</v>
      </c>
      <c r="J706" s="182">
        <f t="shared" ref="J706:AO706" si="207">SUM(J696:J698)+SUM(J702:J704)</f>
        <v>242144.95252673217</v>
      </c>
      <c r="K706" s="182">
        <f t="shared" si="207"/>
        <v>225672.5081296229</v>
      </c>
      <c r="L706" s="182">
        <f t="shared" si="207"/>
        <v>209200.06373251369</v>
      </c>
      <c r="M706" s="182">
        <f t="shared" si="207"/>
        <v>192727.61933540448</v>
      </c>
      <c r="N706" s="182">
        <f t="shared" si="207"/>
        <v>176255.17493829527</v>
      </c>
      <c r="O706" s="182">
        <f t="shared" si="207"/>
        <v>159782.73054118606</v>
      </c>
      <c r="P706" s="182">
        <f t="shared" si="207"/>
        <v>143310.28614407685</v>
      </c>
      <c r="Q706" s="182">
        <f t="shared" si="207"/>
        <v>142112.00842330552</v>
      </c>
      <c r="R706" s="182">
        <f t="shared" si="207"/>
        <v>140942.14554628392</v>
      </c>
      <c r="S706" s="182">
        <f t="shared" si="207"/>
        <v>139799.91041762047</v>
      </c>
      <c r="T706" s="182">
        <f t="shared" si="207"/>
        <v>138684.54011933642</v>
      </c>
      <c r="U706" s="182">
        <f t="shared" si="207"/>
        <v>137595.29512628634</v>
      </c>
      <c r="V706" s="182">
        <f t="shared" si="207"/>
        <v>136531.45854771271</v>
      </c>
      <c r="W706" s="182">
        <f t="shared" si="207"/>
        <v>135492.33539405445</v>
      </c>
      <c r="X706" s="182">
        <f t="shared" si="207"/>
        <v>134477.2518681582</v>
      </c>
      <c r="Y706" s="182">
        <f t="shared" si="207"/>
        <v>133485.55468007014</v>
      </c>
      <c r="Z706" s="182">
        <f t="shared" si="207"/>
        <v>132516.61038461429</v>
      </c>
      <c r="AA706" s="182">
        <f t="shared" si="207"/>
        <v>131569.80474099022</v>
      </c>
      <c r="AB706" s="182">
        <f t="shared" si="207"/>
        <v>130644.54209364815</v>
      </c>
      <c r="AC706" s="182">
        <f t="shared" si="207"/>
        <v>0</v>
      </c>
      <c r="AD706" s="182">
        <f t="shared" si="207"/>
        <v>0</v>
      </c>
      <c r="AE706" s="182">
        <f t="shared" si="207"/>
        <v>0</v>
      </c>
      <c r="AF706" s="182">
        <f t="shared" si="207"/>
        <v>0</v>
      </c>
      <c r="AG706" s="182">
        <f t="shared" si="207"/>
        <v>0</v>
      </c>
      <c r="AH706" s="182">
        <f t="shared" si="207"/>
        <v>0</v>
      </c>
      <c r="AI706" s="182">
        <f t="shared" si="207"/>
        <v>0</v>
      </c>
      <c r="AJ706" s="182">
        <f t="shared" si="207"/>
        <v>0</v>
      </c>
      <c r="AK706" s="182">
        <f t="shared" si="207"/>
        <v>0</v>
      </c>
      <c r="AL706" s="182">
        <f t="shared" si="207"/>
        <v>0</v>
      </c>
      <c r="AM706" s="182">
        <f t="shared" si="207"/>
        <v>0</v>
      </c>
      <c r="AN706" s="182">
        <f t="shared" si="207"/>
        <v>0</v>
      </c>
      <c r="AO706" s="182">
        <f t="shared" si="207"/>
        <v>0</v>
      </c>
      <c r="AP706" s="29"/>
    </row>
    <row r="707" spans="1:42" outlineLevel="1" x14ac:dyDescent="0.25">
      <c r="A707" s="12"/>
      <c r="B707" s="13"/>
      <c r="C707" s="96"/>
      <c r="D707" s="45"/>
      <c r="E707" s="15"/>
      <c r="F707" s="158"/>
      <c r="G707" s="14"/>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9"/>
    </row>
    <row r="708" spans="1:42" outlineLevel="1" x14ac:dyDescent="0.25">
      <c r="A708" s="12"/>
      <c r="B708" s="13"/>
      <c r="C708" s="45"/>
      <c r="D708" s="45"/>
      <c r="E708" s="15"/>
      <c r="F708" s="16"/>
      <c r="G708" s="14"/>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9"/>
    </row>
    <row r="709" spans="1:42" outlineLevel="1" x14ac:dyDescent="0.25">
      <c r="A709" s="12"/>
      <c r="B709" s="13"/>
      <c r="C709" s="37" t="s">
        <v>513</v>
      </c>
      <c r="D709" s="37"/>
      <c r="E709" s="38"/>
      <c r="F709" s="39"/>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17"/>
    </row>
    <row r="710" spans="1:42" s="140" customFormat="1" outlineLevel="1" x14ac:dyDescent="0.25">
      <c r="A710" s="78"/>
      <c r="B710" s="19"/>
      <c r="C710" s="95" t="s">
        <v>249</v>
      </c>
      <c r="D710" s="44"/>
      <c r="E710" s="21" t="s">
        <v>142</v>
      </c>
      <c r="F710" s="48"/>
      <c r="G710" s="20"/>
      <c r="H710" s="182">
        <f>-U619</f>
        <v>105000</v>
      </c>
      <c r="I710" s="49"/>
      <c r="J710" s="49"/>
      <c r="K710" s="49"/>
      <c r="L710" s="49"/>
      <c r="M710" s="49"/>
      <c r="N710" s="49"/>
      <c r="O710" s="49"/>
      <c r="P710" s="49"/>
      <c r="Q710" s="49"/>
      <c r="R710" s="49"/>
      <c r="S710" s="49"/>
      <c r="T710" s="49"/>
      <c r="V710" s="49"/>
      <c r="W710" s="49"/>
      <c r="X710" s="49"/>
      <c r="Y710" s="49"/>
      <c r="Z710" s="49"/>
      <c r="AA710" s="49"/>
      <c r="AB710" s="49"/>
      <c r="AC710" s="182">
        <f>SUM(H688:H690)*Data!$E$359</f>
        <v>179250</v>
      </c>
      <c r="AD710" s="49"/>
      <c r="AE710" s="49"/>
      <c r="AF710" s="49"/>
      <c r="AG710" s="49"/>
      <c r="AH710" s="49"/>
      <c r="AI710" s="49"/>
      <c r="AJ710" s="49"/>
      <c r="AK710" s="49"/>
      <c r="AL710" s="49"/>
      <c r="AM710" s="49"/>
      <c r="AN710" s="49"/>
      <c r="AO710" s="49"/>
      <c r="AP710" s="50"/>
    </row>
    <row r="711" spans="1:42" outlineLevel="1" x14ac:dyDescent="0.25">
      <c r="A711" s="12"/>
      <c r="B711" s="13"/>
      <c r="C711" s="14"/>
      <c r="D711" s="14"/>
      <c r="E711" s="15"/>
      <c r="F711" s="16"/>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7"/>
    </row>
    <row r="712" spans="1:42" outlineLevel="1" x14ac:dyDescent="0.25">
      <c r="A712" s="12"/>
      <c r="B712" s="13"/>
      <c r="C712" s="37" t="s">
        <v>479</v>
      </c>
      <c r="D712" s="37"/>
      <c r="E712" s="38"/>
      <c r="F712" s="39"/>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17"/>
    </row>
    <row r="713" spans="1:42" outlineLevel="1" x14ac:dyDescent="0.25">
      <c r="A713" s="12"/>
      <c r="B713" s="13"/>
      <c r="C713" s="14" t="s">
        <v>479</v>
      </c>
      <c r="D713" s="14"/>
      <c r="E713" s="15" t="s">
        <v>318</v>
      </c>
      <c r="F713" s="16"/>
      <c r="G713" s="14"/>
      <c r="H713" s="165">
        <f>H693+H706-H710</f>
        <v>-105000</v>
      </c>
      <c r="I713" s="371">
        <f>I693+I706-I710</f>
        <v>346547.58856655291</v>
      </c>
      <c r="J713" s="371">
        <f t="shared" ref="J713:AO713" si="208">J693+J706-J710</f>
        <v>330075.14416944369</v>
      </c>
      <c r="K713" s="371">
        <f t="shared" si="208"/>
        <v>313602.69977233442</v>
      </c>
      <c r="L713" s="371">
        <f t="shared" si="208"/>
        <v>297130.25537522521</v>
      </c>
      <c r="M713" s="371">
        <f t="shared" si="208"/>
        <v>280657.810978116</v>
      </c>
      <c r="N713" s="371">
        <f t="shared" si="208"/>
        <v>264185.36658100679</v>
      </c>
      <c r="O713" s="371">
        <f t="shared" si="208"/>
        <v>247712.92218389758</v>
      </c>
      <c r="P713" s="371">
        <f t="shared" si="208"/>
        <v>231240.47778678837</v>
      </c>
      <c r="Q713" s="371">
        <f t="shared" si="208"/>
        <v>230042.20006601705</v>
      </c>
      <c r="R713" s="371">
        <f t="shared" si="208"/>
        <v>228872.33718899544</v>
      </c>
      <c r="S713" s="371">
        <f t="shared" si="208"/>
        <v>227730.10206033199</v>
      </c>
      <c r="T713" s="371">
        <f t="shared" si="208"/>
        <v>226614.73176204794</v>
      </c>
      <c r="U713" s="371">
        <f t="shared" si="208"/>
        <v>225525.48676899786</v>
      </c>
      <c r="V713" s="371">
        <f t="shared" si="208"/>
        <v>224461.65019042423</v>
      </c>
      <c r="W713" s="371">
        <f t="shared" si="208"/>
        <v>223422.52703676597</v>
      </c>
      <c r="X713" s="371">
        <f t="shared" si="208"/>
        <v>222407.44351086972</v>
      </c>
      <c r="Y713" s="371">
        <f t="shared" si="208"/>
        <v>221415.74632278166</v>
      </c>
      <c r="Z713" s="371">
        <f t="shared" si="208"/>
        <v>220446.80202732582</v>
      </c>
      <c r="AA713" s="371">
        <f t="shared" si="208"/>
        <v>219499.99638370174</v>
      </c>
      <c r="AB713" s="371">
        <f t="shared" si="208"/>
        <v>218574.73373635969</v>
      </c>
      <c r="AC713" s="371">
        <f>AC693+AC706-AC710</f>
        <v>-179250</v>
      </c>
      <c r="AD713" s="371">
        <f t="shared" si="208"/>
        <v>0</v>
      </c>
      <c r="AE713" s="371">
        <f t="shared" si="208"/>
        <v>0</v>
      </c>
      <c r="AF713" s="371">
        <f t="shared" si="208"/>
        <v>0</v>
      </c>
      <c r="AG713" s="371">
        <f t="shared" si="208"/>
        <v>0</v>
      </c>
      <c r="AH713" s="371">
        <f t="shared" si="208"/>
        <v>0</v>
      </c>
      <c r="AI713" s="371">
        <f t="shared" si="208"/>
        <v>0</v>
      </c>
      <c r="AJ713" s="371">
        <f t="shared" si="208"/>
        <v>0</v>
      </c>
      <c r="AK713" s="371">
        <f t="shared" si="208"/>
        <v>0</v>
      </c>
      <c r="AL713" s="371">
        <f t="shared" si="208"/>
        <v>0</v>
      </c>
      <c r="AM713" s="371">
        <f t="shared" si="208"/>
        <v>0</v>
      </c>
      <c r="AN713" s="371">
        <f t="shared" si="208"/>
        <v>0</v>
      </c>
      <c r="AO713" s="371">
        <f t="shared" si="208"/>
        <v>0</v>
      </c>
      <c r="AP713" s="29"/>
    </row>
    <row r="714" spans="1:42" s="140" customFormat="1" outlineLevel="1" x14ac:dyDescent="0.25">
      <c r="A714" s="78"/>
      <c r="B714" s="19"/>
      <c r="C714" s="20" t="s">
        <v>480</v>
      </c>
      <c r="D714" s="20"/>
      <c r="E714" s="21" t="s">
        <v>318</v>
      </c>
      <c r="F714" s="48"/>
      <c r="G714" s="20"/>
      <c r="H714" s="182">
        <f>H713*Data!G$9</f>
        <v>-105000</v>
      </c>
      <c r="I714" s="182">
        <f>I713*Data!H$9</f>
        <v>333218.83516014699</v>
      </c>
      <c r="J714" s="182">
        <f>J713*Data!I$9</f>
        <v>305173.02530458919</v>
      </c>
      <c r="K714" s="182">
        <f>K713*Data!J$9</f>
        <v>278791.65816697344</v>
      </c>
      <c r="L714" s="182">
        <f>L713*Data!K$9</f>
        <v>253988.1875764752</v>
      </c>
      <c r="M714" s="182">
        <f>M713*Data!L$9</f>
        <v>230680.26256665585</v>
      </c>
      <c r="N714" s="182">
        <f>N713*Data!M$9</f>
        <v>208789.53269431306</v>
      </c>
      <c r="O714" s="182">
        <f>O713*Data!N$9</f>
        <v>188241.46212788034</v>
      </c>
      <c r="P714" s="182">
        <f>P713*Data!O$9</f>
        <v>168965.15211878507</v>
      </c>
      <c r="Q714" s="182">
        <f>Q713*Data!P$9</f>
        <v>161624.59838975512</v>
      </c>
      <c r="R714" s="182">
        <f>R713*Data!Q$9</f>
        <v>154617.95024030161</v>
      </c>
      <c r="S714" s="182">
        <f>S713*Data!R$9</f>
        <v>147929.13184134854</v>
      </c>
      <c r="T714" s="182">
        <f>T713*Data!S$9</f>
        <v>141542.89284995303</v>
      </c>
      <c r="U714" s="182">
        <f>U713*Data!T$9</f>
        <v>135444.76311636931</v>
      </c>
      <c r="V714" s="182">
        <f>V713*Data!U$9</f>
        <v>129621.01003403444</v>
      </c>
      <c r="W714" s="182">
        <f>W713*Data!V$9</f>
        <v>124058.59837001305</v>
      </c>
      <c r="X714" s="182">
        <f>X713*Data!W$9</f>
        <v>118745.15242384019</v>
      </c>
      <c r="Y714" s="182">
        <f>Y713*Data!X$9</f>
        <v>113668.92037241858</v>
      </c>
      <c r="Z714" s="182">
        <f>Z713*Data!Y$9</f>
        <v>108818.74066770273</v>
      </c>
      <c r="AA714" s="182">
        <f>AA713*Data!Z$9</f>
        <v>104184.01036238238</v>
      </c>
      <c r="AB714" s="182">
        <f>AB713*Data!AA$9</f>
        <v>99754.65524669773</v>
      </c>
      <c r="AC714" s="372">
        <f>AC713*Data!AB$9</f>
        <v>-78660.923179405363</v>
      </c>
      <c r="AD714" s="49"/>
      <c r="AE714" s="49"/>
      <c r="AF714" s="49"/>
      <c r="AG714" s="49"/>
      <c r="AH714" s="49"/>
      <c r="AI714" s="49"/>
      <c r="AJ714" s="49"/>
      <c r="AK714" s="49"/>
      <c r="AL714" s="49"/>
      <c r="AM714" s="49"/>
      <c r="AN714" s="49"/>
      <c r="AO714" s="49"/>
      <c r="AP714" s="50"/>
    </row>
    <row r="715" spans="1:42" outlineLevel="1" x14ac:dyDescent="0.25">
      <c r="A715" s="12"/>
      <c r="B715" s="13"/>
      <c r="C715" s="14" t="s">
        <v>479</v>
      </c>
      <c r="D715" s="14"/>
      <c r="E715" s="15" t="s">
        <v>54</v>
      </c>
      <c r="F715" s="16"/>
      <c r="G715" s="185">
        <f>SUM(H714:AC714)</f>
        <v>3324197.6164512304</v>
      </c>
      <c r="H715" s="165"/>
      <c r="I715" s="165"/>
      <c r="J715" s="165"/>
      <c r="K715" s="165"/>
      <c r="L715" s="165"/>
      <c r="M715" s="165"/>
      <c r="N715" s="165"/>
      <c r="O715" s="165"/>
      <c r="P715" s="165"/>
      <c r="Q715" s="165"/>
      <c r="R715" s="165"/>
      <c r="S715" s="165"/>
      <c r="T715" s="165"/>
      <c r="U715" s="165"/>
      <c r="V715" s="165"/>
      <c r="W715" s="28"/>
      <c r="X715" s="28"/>
      <c r="Y715" s="28"/>
      <c r="Z715" s="28"/>
      <c r="AA715" s="28"/>
      <c r="AB715" s="28"/>
      <c r="AC715" s="28"/>
      <c r="AD715" s="28"/>
      <c r="AE715" s="28"/>
      <c r="AF715" s="28"/>
      <c r="AG715" s="28"/>
      <c r="AH715" s="28"/>
      <c r="AI715" s="28"/>
      <c r="AJ715" s="28"/>
      <c r="AK715" s="28"/>
      <c r="AL715" s="28"/>
      <c r="AM715" s="28"/>
      <c r="AN715" s="28"/>
      <c r="AO715" s="28"/>
      <c r="AP715" s="29"/>
    </row>
    <row r="716" spans="1:42" outlineLevel="1" x14ac:dyDescent="0.25">
      <c r="A716" s="12"/>
      <c r="B716" s="13"/>
      <c r="C716" s="44" t="s">
        <v>481</v>
      </c>
      <c r="D716" s="45"/>
      <c r="E716" s="15" t="s">
        <v>261</v>
      </c>
      <c r="F716" s="16"/>
      <c r="G716" s="183">
        <f>G715/(SUM(H561:AN561))</f>
        <v>1.7757465899846316</v>
      </c>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9"/>
    </row>
    <row r="717" spans="1:42" outlineLevel="1" x14ac:dyDescent="0.25">
      <c r="A717" s="12"/>
      <c r="B717" s="13"/>
      <c r="C717" s="14"/>
      <c r="D717" s="14"/>
      <c r="E717" s="15"/>
      <c r="F717" s="16"/>
      <c r="G717" s="14"/>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17"/>
    </row>
    <row r="718" spans="1:42" outlineLevel="1" x14ac:dyDescent="0.25">
      <c r="A718" s="12"/>
      <c r="B718" s="13"/>
      <c r="C718" s="37" t="s">
        <v>515</v>
      </c>
      <c r="D718" s="37"/>
      <c r="E718" s="38"/>
      <c r="F718" s="39"/>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17"/>
    </row>
    <row r="719" spans="1:42" outlineLevel="1" x14ac:dyDescent="0.25">
      <c r="A719" s="12"/>
      <c r="B719" s="13"/>
      <c r="C719" s="14"/>
      <c r="D719" s="14"/>
      <c r="E719" s="15"/>
      <c r="F719" s="16"/>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row>
    <row r="720" spans="1:42" outlineLevel="1" x14ac:dyDescent="0.25">
      <c r="A720" s="12"/>
      <c r="B720" s="13"/>
      <c r="C720" s="20" t="s">
        <v>516</v>
      </c>
      <c r="D720" s="45"/>
      <c r="E720" s="15"/>
      <c r="F720" s="16"/>
      <c r="G720" s="165"/>
      <c r="H720" s="165"/>
      <c r="I720" s="165"/>
      <c r="J720" s="165"/>
      <c r="K720" s="165"/>
      <c r="L720" s="165"/>
      <c r="M720" s="165"/>
      <c r="N720" s="165"/>
      <c r="O720" s="165"/>
      <c r="P720" s="165"/>
      <c r="Q720" s="165"/>
      <c r="R720" s="165"/>
      <c r="S720" s="165"/>
      <c r="T720" s="165"/>
      <c r="U720" s="28"/>
      <c r="V720" s="28"/>
      <c r="W720" s="28"/>
      <c r="X720" s="28"/>
      <c r="Y720" s="28"/>
      <c r="Z720" s="28"/>
      <c r="AA720" s="28"/>
      <c r="AB720" s="28"/>
      <c r="AC720" s="28"/>
      <c r="AD720" s="28"/>
      <c r="AE720" s="28"/>
      <c r="AF720" s="28"/>
      <c r="AG720" s="28"/>
      <c r="AH720" s="28"/>
      <c r="AI720" s="28"/>
      <c r="AJ720" s="28"/>
      <c r="AK720" s="28"/>
      <c r="AL720" s="28"/>
      <c r="AM720" s="28"/>
      <c r="AN720" s="28"/>
      <c r="AO720" s="28"/>
      <c r="AP720" s="29"/>
    </row>
    <row r="721" spans="1:42" outlineLevel="1" x14ac:dyDescent="0.25">
      <c r="A721" s="12"/>
      <c r="B721" s="13"/>
      <c r="C721" s="45" t="s">
        <v>517</v>
      </c>
      <c r="D721" s="45"/>
      <c r="E721" s="15" t="s">
        <v>342</v>
      </c>
      <c r="F721" s="179">
        <f>Data!$E$396</f>
        <v>105600</v>
      </c>
      <c r="G721" s="165"/>
      <c r="H721" s="165"/>
      <c r="I721" s="165"/>
      <c r="J721" s="165"/>
      <c r="K721" s="165"/>
      <c r="L721" s="165"/>
      <c r="M721" s="165"/>
      <c r="N721" s="165"/>
      <c r="O721" s="165"/>
      <c r="P721" s="165"/>
      <c r="Q721" s="165"/>
      <c r="R721" s="165"/>
      <c r="S721" s="165"/>
      <c r="T721" s="165"/>
      <c r="U721" s="28"/>
      <c r="V721" s="28"/>
      <c r="W721" s="28"/>
      <c r="X721" s="28"/>
      <c r="Y721" s="28"/>
      <c r="Z721" s="28"/>
      <c r="AA721" s="28"/>
      <c r="AB721" s="28"/>
      <c r="AC721" s="28"/>
      <c r="AD721" s="28"/>
      <c r="AE721" s="28"/>
      <c r="AF721" s="28"/>
      <c r="AG721" s="28"/>
      <c r="AH721" s="28"/>
      <c r="AI721" s="28"/>
      <c r="AJ721" s="28"/>
      <c r="AK721" s="28"/>
      <c r="AL721" s="28"/>
      <c r="AM721" s="28"/>
      <c r="AN721" s="28"/>
      <c r="AO721" s="28"/>
      <c r="AP721" s="29"/>
    </row>
    <row r="722" spans="1:42" outlineLevel="1" x14ac:dyDescent="0.25">
      <c r="A722" s="12"/>
      <c r="B722" s="13"/>
      <c r="C722" s="45" t="s">
        <v>518</v>
      </c>
      <c r="D722" s="45"/>
      <c r="E722" s="15" t="s">
        <v>142</v>
      </c>
      <c r="F722" s="179"/>
      <c r="G722" s="186">
        <f>F721*Data!$G$16/1000</f>
        <v>9187.2000000000007</v>
      </c>
      <c r="H722" s="165"/>
      <c r="I722" s="165"/>
      <c r="J722" s="165"/>
      <c r="K722" s="165"/>
      <c r="L722" s="165"/>
      <c r="M722" s="165"/>
      <c r="N722" s="165"/>
      <c r="O722" s="165"/>
      <c r="P722" s="165"/>
      <c r="Q722" s="165"/>
      <c r="R722" s="165"/>
      <c r="S722" s="165"/>
      <c r="T722" s="165"/>
      <c r="U722" s="28"/>
      <c r="V722" s="28"/>
      <c r="W722" s="28"/>
      <c r="X722" s="28"/>
      <c r="Y722" s="28"/>
      <c r="Z722" s="28"/>
      <c r="AA722" s="28"/>
      <c r="AB722" s="28"/>
      <c r="AC722" s="28"/>
      <c r="AD722" s="28"/>
      <c r="AE722" s="28"/>
      <c r="AF722" s="28"/>
      <c r="AG722" s="28"/>
      <c r="AH722" s="28"/>
      <c r="AI722" s="28"/>
      <c r="AJ722" s="28"/>
      <c r="AK722" s="28"/>
      <c r="AL722" s="28"/>
      <c r="AM722" s="28"/>
      <c r="AN722" s="28"/>
      <c r="AO722" s="28"/>
      <c r="AP722" s="29"/>
    </row>
    <row r="723" spans="1:42" outlineLevel="1" x14ac:dyDescent="0.25">
      <c r="A723" s="12"/>
      <c r="B723" s="13"/>
      <c r="C723" s="45" t="s">
        <v>518</v>
      </c>
      <c r="D723" s="45"/>
      <c r="E723" s="15" t="s">
        <v>261</v>
      </c>
      <c r="F723" s="179"/>
      <c r="G723" s="184">
        <f>G722/(SUM(I561:AN561))</f>
        <v>4.9076923076923082E-3</v>
      </c>
      <c r="H723" s="165"/>
      <c r="I723" s="165"/>
      <c r="J723" s="165"/>
      <c r="K723" s="165"/>
      <c r="L723" s="165"/>
      <c r="M723" s="165"/>
      <c r="N723" s="165"/>
      <c r="O723" s="165"/>
      <c r="P723" s="165"/>
      <c r="Q723" s="165"/>
      <c r="R723" s="165"/>
      <c r="S723" s="165"/>
      <c r="T723" s="165"/>
      <c r="U723" s="28"/>
      <c r="V723" s="28"/>
      <c r="W723" s="28"/>
      <c r="X723" s="28"/>
      <c r="Y723" s="28"/>
      <c r="Z723" s="28"/>
      <c r="AA723" s="28"/>
      <c r="AB723" s="28"/>
      <c r="AC723" s="28"/>
      <c r="AD723" s="28"/>
      <c r="AE723" s="28"/>
      <c r="AF723" s="28"/>
      <c r="AG723" s="28"/>
      <c r="AH723" s="28"/>
      <c r="AI723" s="28"/>
      <c r="AJ723" s="28"/>
      <c r="AK723" s="28"/>
      <c r="AL723" s="28"/>
      <c r="AM723" s="28"/>
      <c r="AN723" s="28"/>
      <c r="AO723" s="28"/>
      <c r="AP723" s="29"/>
    </row>
    <row r="724" spans="1:42" outlineLevel="1" x14ac:dyDescent="0.25">
      <c r="A724" s="12"/>
      <c r="B724" s="13"/>
      <c r="C724" s="20"/>
      <c r="D724" s="19"/>
      <c r="E724" s="15"/>
      <c r="F724" s="16"/>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7"/>
    </row>
    <row r="725" spans="1:42" outlineLevel="1" x14ac:dyDescent="0.25">
      <c r="A725" s="12"/>
      <c r="B725" s="13"/>
      <c r="C725" s="20" t="s">
        <v>519</v>
      </c>
      <c r="D725" s="19"/>
      <c r="E725" s="15"/>
      <c r="F725" s="16"/>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7"/>
    </row>
    <row r="726" spans="1:42" outlineLevel="1" x14ac:dyDescent="0.25">
      <c r="A726" s="12"/>
      <c r="B726" s="13"/>
      <c r="C726" t="s">
        <v>520</v>
      </c>
      <c r="D726" s="14"/>
      <c r="E726" s="15" t="s">
        <v>521</v>
      </c>
      <c r="F726" s="16"/>
      <c r="G726" s="14"/>
      <c r="H726" s="141"/>
      <c r="I726" s="141">
        <f t="shared" ref="I726:AD726" si="209">I561</f>
        <v>93600</v>
      </c>
      <c r="J726" s="141">
        <f t="shared" si="209"/>
        <v>93600</v>
      </c>
      <c r="K726" s="141">
        <f t="shared" si="209"/>
        <v>93600</v>
      </c>
      <c r="L726" s="141">
        <f t="shared" si="209"/>
        <v>93600</v>
      </c>
      <c r="M726" s="141">
        <f t="shared" si="209"/>
        <v>93600</v>
      </c>
      <c r="N726" s="141">
        <f t="shared" si="209"/>
        <v>93600</v>
      </c>
      <c r="O726" s="141">
        <f t="shared" si="209"/>
        <v>93600</v>
      </c>
      <c r="P726" s="141">
        <f t="shared" si="209"/>
        <v>93600</v>
      </c>
      <c r="Q726" s="141">
        <f t="shared" si="209"/>
        <v>93600</v>
      </c>
      <c r="R726" s="141">
        <f t="shared" si="209"/>
        <v>93600</v>
      </c>
      <c r="S726" s="141">
        <f t="shared" si="209"/>
        <v>93600</v>
      </c>
      <c r="T726" s="141">
        <f t="shared" si="209"/>
        <v>93600</v>
      </c>
      <c r="U726" s="141">
        <f t="shared" si="209"/>
        <v>93600</v>
      </c>
      <c r="V726" s="141">
        <f t="shared" si="209"/>
        <v>93600</v>
      </c>
      <c r="W726" s="141">
        <f t="shared" si="209"/>
        <v>93600</v>
      </c>
      <c r="X726" s="141">
        <f t="shared" si="209"/>
        <v>93600</v>
      </c>
      <c r="Y726" s="141">
        <f t="shared" si="209"/>
        <v>93600</v>
      </c>
      <c r="Z726" s="141">
        <f t="shared" si="209"/>
        <v>93600</v>
      </c>
      <c r="AA726" s="141">
        <f t="shared" si="209"/>
        <v>93600</v>
      </c>
      <c r="AB726" s="141">
        <f t="shared" si="209"/>
        <v>93600</v>
      </c>
      <c r="AC726" s="141">
        <f t="shared" si="209"/>
        <v>0</v>
      </c>
      <c r="AD726" s="141">
        <f t="shared" si="209"/>
        <v>0</v>
      </c>
      <c r="AE726" s="141">
        <f t="shared" ref="AE726:AN726" si="210">AE683</f>
        <v>0</v>
      </c>
      <c r="AF726" s="141">
        <f t="shared" si="210"/>
        <v>0</v>
      </c>
      <c r="AG726" s="141">
        <f t="shared" si="210"/>
        <v>0</v>
      </c>
      <c r="AH726" s="141">
        <f t="shared" si="210"/>
        <v>0</v>
      </c>
      <c r="AI726" s="141">
        <f t="shared" si="210"/>
        <v>0</v>
      </c>
      <c r="AJ726" s="141">
        <f t="shared" si="210"/>
        <v>0</v>
      </c>
      <c r="AK726" s="141">
        <f t="shared" si="210"/>
        <v>0</v>
      </c>
      <c r="AL726" s="141">
        <f t="shared" si="210"/>
        <v>0</v>
      </c>
      <c r="AM726" s="141">
        <f t="shared" si="210"/>
        <v>0</v>
      </c>
      <c r="AN726" s="141">
        <f t="shared" si="210"/>
        <v>0</v>
      </c>
      <c r="AO726" s="141"/>
      <c r="AP726" s="14"/>
    </row>
    <row r="727" spans="1:42" outlineLevel="1" x14ac:dyDescent="0.25">
      <c r="A727" s="12"/>
      <c r="B727" s="13"/>
      <c r="C727" s="20" t="s">
        <v>483</v>
      </c>
      <c r="D727" s="14"/>
      <c r="E727" s="15"/>
      <c r="F727" s="16"/>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159"/>
      <c r="AG727" s="14"/>
      <c r="AH727" s="14"/>
      <c r="AI727" s="14"/>
      <c r="AJ727" s="14"/>
      <c r="AK727" s="14"/>
      <c r="AL727" s="14"/>
      <c r="AM727" s="14"/>
      <c r="AN727" s="14"/>
      <c r="AO727" s="14"/>
      <c r="AP727" s="14"/>
    </row>
    <row r="728" spans="1:42" ht="14.25" customHeight="1" outlineLevel="1" x14ac:dyDescent="0.25">
      <c r="A728" s="54"/>
      <c r="B728" s="13"/>
      <c r="C728" s="14" t="s">
        <v>205</v>
      </c>
      <c r="D728" s="14"/>
      <c r="E728" s="70" t="s">
        <v>352</v>
      </c>
      <c r="F728" s="201">
        <f>Data!E606/1000</f>
        <v>0</v>
      </c>
      <c r="G728" s="56"/>
      <c r="H728" s="56"/>
      <c r="I728" s="56">
        <f>I$726*$F728</f>
        <v>0</v>
      </c>
      <c r="J728" s="56">
        <f t="shared" ref="J728:AC734" si="211">J$726*$F728</f>
        <v>0</v>
      </c>
      <c r="K728" s="56">
        <f t="shared" si="211"/>
        <v>0</v>
      </c>
      <c r="L728" s="56">
        <f t="shared" si="211"/>
        <v>0</v>
      </c>
      <c r="M728" s="56">
        <f t="shared" si="211"/>
        <v>0</v>
      </c>
      <c r="N728" s="56">
        <f t="shared" si="211"/>
        <v>0</v>
      </c>
      <c r="O728" s="56">
        <f t="shared" si="211"/>
        <v>0</v>
      </c>
      <c r="P728" s="56">
        <f t="shared" si="211"/>
        <v>0</v>
      </c>
      <c r="Q728" s="56">
        <f t="shared" si="211"/>
        <v>0</v>
      </c>
      <c r="R728" s="56">
        <f t="shared" si="211"/>
        <v>0</v>
      </c>
      <c r="S728" s="56">
        <f t="shared" si="211"/>
        <v>0</v>
      </c>
      <c r="T728" s="56">
        <f t="shared" si="211"/>
        <v>0</v>
      </c>
      <c r="U728" s="56">
        <f t="shared" si="211"/>
        <v>0</v>
      </c>
      <c r="V728" s="56">
        <f t="shared" si="211"/>
        <v>0</v>
      </c>
      <c r="W728" s="56">
        <f t="shared" si="211"/>
        <v>0</v>
      </c>
      <c r="X728" s="56">
        <f t="shared" si="211"/>
        <v>0</v>
      </c>
      <c r="Y728" s="56">
        <f t="shared" si="211"/>
        <v>0</v>
      </c>
      <c r="Z728" s="56">
        <f t="shared" si="211"/>
        <v>0</v>
      </c>
      <c r="AA728" s="56">
        <f t="shared" si="211"/>
        <v>0</v>
      </c>
      <c r="AB728" s="56">
        <f t="shared" si="211"/>
        <v>0</v>
      </c>
      <c r="AC728" s="56">
        <f t="shared" si="211"/>
        <v>0</v>
      </c>
      <c r="AD728" s="56"/>
      <c r="AE728" s="56"/>
      <c r="AF728" s="56"/>
      <c r="AG728" s="56"/>
      <c r="AH728" s="56"/>
      <c r="AI728" s="56"/>
      <c r="AJ728" s="56"/>
      <c r="AK728" s="56"/>
      <c r="AL728" s="56"/>
      <c r="AM728" s="56"/>
      <c r="AN728" s="56"/>
      <c r="AO728" s="56"/>
      <c r="AP728" s="29"/>
    </row>
    <row r="729" spans="1:42" outlineLevel="1" x14ac:dyDescent="0.25">
      <c r="A729" s="54"/>
      <c r="B729" s="13"/>
      <c r="C729" s="14" t="s">
        <v>484</v>
      </c>
      <c r="D729" s="14"/>
      <c r="E729" s="70" t="s">
        <v>352</v>
      </c>
      <c r="F729" s="223">
        <f>Data!E607</f>
        <v>0</v>
      </c>
      <c r="G729" s="56"/>
      <c r="H729" s="56"/>
      <c r="I729" s="56">
        <f t="shared" ref="I729:X734" si="212">I$726*$F729</f>
        <v>0</v>
      </c>
      <c r="J729" s="56">
        <f t="shared" si="212"/>
        <v>0</v>
      </c>
      <c r="K729" s="56">
        <f t="shared" si="212"/>
        <v>0</v>
      </c>
      <c r="L729" s="56">
        <f t="shared" si="212"/>
        <v>0</v>
      </c>
      <c r="M729" s="56">
        <f t="shared" si="212"/>
        <v>0</v>
      </c>
      <c r="N729" s="56">
        <f t="shared" si="212"/>
        <v>0</v>
      </c>
      <c r="O729" s="56">
        <f t="shared" si="212"/>
        <v>0</v>
      </c>
      <c r="P729" s="56">
        <f t="shared" si="212"/>
        <v>0</v>
      </c>
      <c r="Q729" s="56">
        <f t="shared" si="212"/>
        <v>0</v>
      </c>
      <c r="R729" s="56">
        <f t="shared" si="212"/>
        <v>0</v>
      </c>
      <c r="S729" s="56">
        <f t="shared" si="212"/>
        <v>0</v>
      </c>
      <c r="T729" s="56">
        <f t="shared" si="212"/>
        <v>0</v>
      </c>
      <c r="U729" s="56">
        <f t="shared" si="212"/>
        <v>0</v>
      </c>
      <c r="V729" s="56">
        <f t="shared" si="212"/>
        <v>0</v>
      </c>
      <c r="W729" s="56">
        <f t="shared" si="212"/>
        <v>0</v>
      </c>
      <c r="X729" s="56">
        <f t="shared" si="212"/>
        <v>0</v>
      </c>
      <c r="Y729" s="56">
        <f t="shared" si="211"/>
        <v>0</v>
      </c>
      <c r="Z729" s="56">
        <f t="shared" si="211"/>
        <v>0</v>
      </c>
      <c r="AA729" s="56">
        <f t="shared" si="211"/>
        <v>0</v>
      </c>
      <c r="AB729" s="56">
        <f t="shared" si="211"/>
        <v>0</v>
      </c>
      <c r="AC729" s="56">
        <f t="shared" si="211"/>
        <v>0</v>
      </c>
      <c r="AD729" s="56"/>
      <c r="AE729" s="56"/>
      <c r="AF729" s="56"/>
      <c r="AG729" s="56"/>
      <c r="AH729" s="56"/>
      <c r="AI729" s="56"/>
      <c r="AJ729" s="56"/>
      <c r="AK729" s="56"/>
      <c r="AL729" s="56"/>
      <c r="AM729" s="56"/>
      <c r="AN729" s="56"/>
      <c r="AO729" s="56"/>
      <c r="AP729" s="29"/>
    </row>
    <row r="730" spans="1:42" outlineLevel="1" x14ac:dyDescent="0.25">
      <c r="A730" s="54"/>
      <c r="B730" s="13"/>
      <c r="C730" s="14" t="s">
        <v>285</v>
      </c>
      <c r="D730" s="14"/>
      <c r="E730" s="70" t="s">
        <v>352</v>
      </c>
      <c r="F730" s="201">
        <f>Data!E608/1000</f>
        <v>0</v>
      </c>
      <c r="G730" s="56"/>
      <c r="H730" s="56"/>
      <c r="I730" s="56">
        <f t="shared" si="212"/>
        <v>0</v>
      </c>
      <c r="J730" s="56">
        <f t="shared" si="211"/>
        <v>0</v>
      </c>
      <c r="K730" s="56">
        <f t="shared" si="211"/>
        <v>0</v>
      </c>
      <c r="L730" s="56">
        <f t="shared" si="211"/>
        <v>0</v>
      </c>
      <c r="M730" s="56">
        <f t="shared" si="211"/>
        <v>0</v>
      </c>
      <c r="N730" s="56">
        <f t="shared" si="211"/>
        <v>0</v>
      </c>
      <c r="O730" s="56">
        <f t="shared" si="211"/>
        <v>0</v>
      </c>
      <c r="P730" s="56">
        <f t="shared" si="211"/>
        <v>0</v>
      </c>
      <c r="Q730" s="56">
        <f t="shared" si="211"/>
        <v>0</v>
      </c>
      <c r="R730" s="56">
        <f t="shared" si="211"/>
        <v>0</v>
      </c>
      <c r="S730" s="56">
        <f t="shared" si="211"/>
        <v>0</v>
      </c>
      <c r="T730" s="56">
        <f t="shared" si="211"/>
        <v>0</v>
      </c>
      <c r="U730" s="56">
        <f t="shared" si="211"/>
        <v>0</v>
      </c>
      <c r="V730" s="56">
        <f t="shared" si="211"/>
        <v>0</v>
      </c>
      <c r="W730" s="56">
        <f t="shared" si="211"/>
        <v>0</v>
      </c>
      <c r="X730" s="56">
        <f t="shared" si="211"/>
        <v>0</v>
      </c>
      <c r="Y730" s="56">
        <f t="shared" si="211"/>
        <v>0</v>
      </c>
      <c r="Z730" s="56">
        <f t="shared" si="211"/>
        <v>0</v>
      </c>
      <c r="AA730" s="56">
        <f t="shared" si="211"/>
        <v>0</v>
      </c>
      <c r="AB730" s="56">
        <f t="shared" si="211"/>
        <v>0</v>
      </c>
      <c r="AC730" s="56">
        <f t="shared" si="211"/>
        <v>0</v>
      </c>
      <c r="AD730" s="56"/>
      <c r="AE730" s="56"/>
      <c r="AF730" s="56"/>
      <c r="AG730" s="56"/>
      <c r="AH730" s="56"/>
      <c r="AI730" s="56"/>
      <c r="AJ730" s="56"/>
      <c r="AK730" s="56"/>
      <c r="AL730" s="56"/>
      <c r="AM730" s="56"/>
      <c r="AN730" s="56"/>
      <c r="AO730" s="56"/>
      <c r="AP730" s="29"/>
    </row>
    <row r="731" spans="1:42" outlineLevel="1" x14ac:dyDescent="0.25">
      <c r="A731" s="54"/>
      <c r="B731" s="13"/>
      <c r="C731" s="14" t="s">
        <v>220</v>
      </c>
      <c r="D731" s="14"/>
      <c r="E731" s="70" t="s">
        <v>352</v>
      </c>
      <c r="F731" s="201">
        <f>Data!E609/1000</f>
        <v>0</v>
      </c>
      <c r="G731" s="56"/>
      <c r="H731" s="56"/>
      <c r="I731" s="56">
        <f t="shared" si="212"/>
        <v>0</v>
      </c>
      <c r="J731" s="56">
        <f t="shared" si="211"/>
        <v>0</v>
      </c>
      <c r="K731" s="56">
        <f t="shared" si="211"/>
        <v>0</v>
      </c>
      <c r="L731" s="56">
        <f t="shared" si="211"/>
        <v>0</v>
      </c>
      <c r="M731" s="56">
        <f t="shared" si="211"/>
        <v>0</v>
      </c>
      <c r="N731" s="56">
        <f t="shared" si="211"/>
        <v>0</v>
      </c>
      <c r="O731" s="56">
        <f t="shared" si="211"/>
        <v>0</v>
      </c>
      <c r="P731" s="56">
        <f t="shared" si="211"/>
        <v>0</v>
      </c>
      <c r="Q731" s="56">
        <f t="shared" si="211"/>
        <v>0</v>
      </c>
      <c r="R731" s="56">
        <f t="shared" si="211"/>
        <v>0</v>
      </c>
      <c r="S731" s="56">
        <f t="shared" si="211"/>
        <v>0</v>
      </c>
      <c r="T731" s="56">
        <f t="shared" si="211"/>
        <v>0</v>
      </c>
      <c r="U731" s="56">
        <f t="shared" si="211"/>
        <v>0</v>
      </c>
      <c r="V731" s="56">
        <f t="shared" si="211"/>
        <v>0</v>
      </c>
      <c r="W731" s="56">
        <f t="shared" si="211"/>
        <v>0</v>
      </c>
      <c r="X731" s="56">
        <f t="shared" si="211"/>
        <v>0</v>
      </c>
      <c r="Y731" s="56">
        <f t="shared" si="211"/>
        <v>0</v>
      </c>
      <c r="Z731" s="56">
        <f t="shared" si="211"/>
        <v>0</v>
      </c>
      <c r="AA731" s="56">
        <f t="shared" si="211"/>
        <v>0</v>
      </c>
      <c r="AB731" s="56">
        <f t="shared" si="211"/>
        <v>0</v>
      </c>
      <c r="AC731" s="56">
        <f t="shared" si="211"/>
        <v>0</v>
      </c>
      <c r="AD731" s="56"/>
      <c r="AE731" s="56"/>
      <c r="AF731" s="56"/>
      <c r="AG731" s="56"/>
      <c r="AH731" s="56"/>
      <c r="AI731" s="56"/>
      <c r="AJ731" s="56"/>
      <c r="AK731" s="56"/>
      <c r="AL731" s="56"/>
      <c r="AM731" s="56"/>
      <c r="AN731" s="56"/>
      <c r="AO731" s="56"/>
      <c r="AP731" s="29"/>
    </row>
    <row r="732" spans="1:42" outlineLevel="1" x14ac:dyDescent="0.25">
      <c r="A732" s="54"/>
      <c r="B732" s="13"/>
      <c r="C732" s="14" t="s">
        <v>212</v>
      </c>
      <c r="D732" s="14"/>
      <c r="E732" s="70" t="s">
        <v>352</v>
      </c>
      <c r="F732" s="201">
        <f>Data!E610/1000</f>
        <v>0</v>
      </c>
      <c r="G732" s="56"/>
      <c r="H732" s="56"/>
      <c r="I732" s="56">
        <f t="shared" si="212"/>
        <v>0</v>
      </c>
      <c r="J732" s="56">
        <f t="shared" si="211"/>
        <v>0</v>
      </c>
      <c r="K732" s="56">
        <f t="shared" si="211"/>
        <v>0</v>
      </c>
      <c r="L732" s="56">
        <f t="shared" si="211"/>
        <v>0</v>
      </c>
      <c r="M732" s="56">
        <f t="shared" si="211"/>
        <v>0</v>
      </c>
      <c r="N732" s="56">
        <f t="shared" si="211"/>
        <v>0</v>
      </c>
      <c r="O732" s="56">
        <f t="shared" si="211"/>
        <v>0</v>
      </c>
      <c r="P732" s="56">
        <f t="shared" si="211"/>
        <v>0</v>
      </c>
      <c r="Q732" s="56">
        <f t="shared" si="211"/>
        <v>0</v>
      </c>
      <c r="R732" s="56">
        <f t="shared" si="211"/>
        <v>0</v>
      </c>
      <c r="S732" s="56">
        <f t="shared" si="211"/>
        <v>0</v>
      </c>
      <c r="T732" s="56">
        <f t="shared" si="211"/>
        <v>0</v>
      </c>
      <c r="U732" s="56">
        <f t="shared" si="211"/>
        <v>0</v>
      </c>
      <c r="V732" s="56">
        <f t="shared" si="211"/>
        <v>0</v>
      </c>
      <c r="W732" s="56">
        <f t="shared" si="211"/>
        <v>0</v>
      </c>
      <c r="X732" s="56">
        <f t="shared" si="211"/>
        <v>0</v>
      </c>
      <c r="Y732" s="56">
        <f t="shared" si="211"/>
        <v>0</v>
      </c>
      <c r="Z732" s="56">
        <f t="shared" si="211"/>
        <v>0</v>
      </c>
      <c r="AA732" s="56">
        <f t="shared" si="211"/>
        <v>0</v>
      </c>
      <c r="AB732" s="56">
        <f t="shared" si="211"/>
        <v>0</v>
      </c>
      <c r="AC732" s="56">
        <f t="shared" si="211"/>
        <v>0</v>
      </c>
      <c r="AD732" s="56"/>
      <c r="AE732" s="56"/>
      <c r="AF732" s="56"/>
      <c r="AG732" s="56"/>
      <c r="AH732" s="56"/>
      <c r="AI732" s="56"/>
      <c r="AJ732" s="56"/>
      <c r="AK732" s="56"/>
      <c r="AL732" s="56"/>
      <c r="AM732" s="56"/>
      <c r="AN732" s="56"/>
      <c r="AO732" s="56"/>
      <c r="AP732" s="29"/>
    </row>
    <row r="733" spans="1:42" outlineLevel="1" x14ac:dyDescent="0.25">
      <c r="A733" s="54"/>
      <c r="B733" s="13"/>
      <c r="C733" s="14" t="s">
        <v>485</v>
      </c>
      <c r="D733" s="14"/>
      <c r="E733" s="70" t="s">
        <v>352</v>
      </c>
      <c r="F733" s="201">
        <f>Data!E611/1000</f>
        <v>0</v>
      </c>
      <c r="G733" s="56"/>
      <c r="H733" s="56"/>
      <c r="I733" s="56">
        <f t="shared" si="212"/>
        <v>0</v>
      </c>
      <c r="J733" s="56">
        <f t="shared" si="211"/>
        <v>0</v>
      </c>
      <c r="K733" s="56">
        <f t="shared" si="211"/>
        <v>0</v>
      </c>
      <c r="L733" s="56">
        <f t="shared" si="211"/>
        <v>0</v>
      </c>
      <c r="M733" s="56">
        <f t="shared" si="211"/>
        <v>0</v>
      </c>
      <c r="N733" s="56">
        <f t="shared" si="211"/>
        <v>0</v>
      </c>
      <c r="O733" s="56">
        <f t="shared" si="211"/>
        <v>0</v>
      </c>
      <c r="P733" s="56">
        <f t="shared" si="211"/>
        <v>0</v>
      </c>
      <c r="Q733" s="56">
        <f t="shared" si="211"/>
        <v>0</v>
      </c>
      <c r="R733" s="56">
        <f t="shared" si="211"/>
        <v>0</v>
      </c>
      <c r="S733" s="56">
        <f t="shared" si="211"/>
        <v>0</v>
      </c>
      <c r="T733" s="56">
        <f t="shared" si="211"/>
        <v>0</v>
      </c>
      <c r="U733" s="56">
        <f t="shared" si="211"/>
        <v>0</v>
      </c>
      <c r="V733" s="56">
        <f t="shared" si="211"/>
        <v>0</v>
      </c>
      <c r="W733" s="56">
        <f t="shared" si="211"/>
        <v>0</v>
      </c>
      <c r="X733" s="56">
        <f t="shared" si="211"/>
        <v>0</v>
      </c>
      <c r="Y733" s="56">
        <f t="shared" si="211"/>
        <v>0</v>
      </c>
      <c r="Z733" s="56">
        <f t="shared" si="211"/>
        <v>0</v>
      </c>
      <c r="AA733" s="56">
        <f t="shared" si="211"/>
        <v>0</v>
      </c>
      <c r="AB733" s="56">
        <f t="shared" si="211"/>
        <v>0</v>
      </c>
      <c r="AC733" s="56">
        <f t="shared" si="211"/>
        <v>0</v>
      </c>
      <c r="AD733" s="56"/>
      <c r="AE733" s="56"/>
      <c r="AF733" s="56"/>
      <c r="AG733" s="56"/>
      <c r="AH733" s="56"/>
      <c r="AI733" s="56"/>
      <c r="AJ733" s="56"/>
      <c r="AK733" s="56"/>
      <c r="AL733" s="56"/>
      <c r="AM733" s="56"/>
      <c r="AN733" s="56"/>
      <c r="AO733" s="56"/>
      <c r="AP733" s="29"/>
    </row>
    <row r="734" spans="1:42" outlineLevel="1" x14ac:dyDescent="0.25">
      <c r="A734" s="54"/>
      <c r="B734" s="13"/>
      <c r="C734" s="14" t="s">
        <v>214</v>
      </c>
      <c r="D734" s="14"/>
      <c r="E734" s="70" t="s">
        <v>352</v>
      </c>
      <c r="F734" s="201">
        <f>Data!E612/1000</f>
        <v>0</v>
      </c>
      <c r="G734" s="56"/>
      <c r="H734" s="56"/>
      <c r="I734" s="56">
        <f t="shared" si="212"/>
        <v>0</v>
      </c>
      <c r="J734" s="56">
        <f t="shared" si="211"/>
        <v>0</v>
      </c>
      <c r="K734" s="56">
        <f t="shared" si="211"/>
        <v>0</v>
      </c>
      <c r="L734" s="56">
        <f t="shared" si="211"/>
        <v>0</v>
      </c>
      <c r="M734" s="56">
        <f t="shared" si="211"/>
        <v>0</v>
      </c>
      <c r="N734" s="56">
        <f t="shared" si="211"/>
        <v>0</v>
      </c>
      <c r="O734" s="56">
        <f t="shared" si="211"/>
        <v>0</v>
      </c>
      <c r="P734" s="56">
        <f t="shared" si="211"/>
        <v>0</v>
      </c>
      <c r="Q734" s="56">
        <f t="shared" si="211"/>
        <v>0</v>
      </c>
      <c r="R734" s="56">
        <f t="shared" si="211"/>
        <v>0</v>
      </c>
      <c r="S734" s="56">
        <f t="shared" si="211"/>
        <v>0</v>
      </c>
      <c r="T734" s="56">
        <f t="shared" si="211"/>
        <v>0</v>
      </c>
      <c r="U734" s="56">
        <f t="shared" si="211"/>
        <v>0</v>
      </c>
      <c r="V734" s="56">
        <f t="shared" si="211"/>
        <v>0</v>
      </c>
      <c r="W734" s="56">
        <f t="shared" si="211"/>
        <v>0</v>
      </c>
      <c r="X734" s="56">
        <f t="shared" si="211"/>
        <v>0</v>
      </c>
      <c r="Y734" s="56">
        <f t="shared" si="211"/>
        <v>0</v>
      </c>
      <c r="Z734" s="56">
        <f t="shared" si="211"/>
        <v>0</v>
      </c>
      <c r="AA734" s="56">
        <f t="shared" si="211"/>
        <v>0</v>
      </c>
      <c r="AB734" s="56">
        <f t="shared" si="211"/>
        <v>0</v>
      </c>
      <c r="AC734" s="56">
        <f t="shared" si="211"/>
        <v>0</v>
      </c>
      <c r="AD734" s="56"/>
      <c r="AE734" s="56"/>
      <c r="AF734" s="56"/>
      <c r="AG734" s="56"/>
      <c r="AH734" s="56"/>
      <c r="AI734" s="56"/>
      <c r="AJ734" s="56"/>
      <c r="AK734" s="56"/>
      <c r="AL734" s="56"/>
      <c r="AM734" s="56"/>
      <c r="AN734" s="56"/>
      <c r="AO734" s="56"/>
      <c r="AP734" s="29"/>
    </row>
    <row r="735" spans="1:42" outlineLevel="1" x14ac:dyDescent="0.25">
      <c r="A735" s="12"/>
      <c r="B735" s="13"/>
      <c r="C735" s="14"/>
      <c r="D735" s="14"/>
      <c r="E735" s="15"/>
      <c r="F735" s="16"/>
      <c r="G735" s="159"/>
      <c r="H735" s="159"/>
      <c r="I735" s="56"/>
      <c r="J735" s="56"/>
      <c r="K735" s="56"/>
      <c r="L735" s="56"/>
      <c r="M735" s="56"/>
      <c r="N735" s="56"/>
      <c r="O735" s="56"/>
      <c r="P735" s="56"/>
      <c r="Q735" s="56"/>
      <c r="R735" s="56"/>
      <c r="S735" s="56"/>
      <c r="T735" s="56"/>
      <c r="U735" s="56"/>
      <c r="V735" s="56"/>
      <c r="W735" s="56"/>
      <c r="X735" s="56"/>
      <c r="Y735" s="56"/>
      <c r="Z735" s="56"/>
      <c r="AA735" s="56"/>
      <c r="AB735" s="56"/>
      <c r="AC735" s="56"/>
      <c r="AD735" s="14"/>
      <c r="AE735" s="14"/>
      <c r="AF735" s="14"/>
      <c r="AG735" s="14"/>
      <c r="AH735" s="14"/>
      <c r="AI735" s="14"/>
      <c r="AJ735" s="14"/>
      <c r="AK735" s="14"/>
      <c r="AL735" s="14"/>
      <c r="AM735" s="14"/>
      <c r="AN735" s="14"/>
      <c r="AO735" s="14"/>
      <c r="AP735" s="14"/>
    </row>
    <row r="736" spans="1:42" outlineLevel="1" x14ac:dyDescent="0.25">
      <c r="A736" s="54"/>
      <c r="B736" s="13"/>
      <c r="C736" s="14" t="s">
        <v>205</v>
      </c>
      <c r="D736" s="14"/>
      <c r="E736" s="70" t="s">
        <v>474</v>
      </c>
      <c r="F736" s="200">
        <f>Data!$E$35/1000</f>
        <v>3.4099438202247192E-3</v>
      </c>
      <c r="G736" s="56"/>
      <c r="H736" s="56"/>
      <c r="I736" s="56">
        <f>I728*$F736</f>
        <v>0</v>
      </c>
      <c r="J736" s="56">
        <f t="shared" ref="J736:AC736" si="213">J728*$F736</f>
        <v>0</v>
      </c>
      <c r="K736" s="56">
        <f t="shared" si="213"/>
        <v>0</v>
      </c>
      <c r="L736" s="56">
        <f t="shared" si="213"/>
        <v>0</v>
      </c>
      <c r="M736" s="56">
        <f t="shared" si="213"/>
        <v>0</v>
      </c>
      <c r="N736" s="56">
        <f t="shared" si="213"/>
        <v>0</v>
      </c>
      <c r="O736" s="56">
        <f t="shared" si="213"/>
        <v>0</v>
      </c>
      <c r="P736" s="56">
        <f t="shared" si="213"/>
        <v>0</v>
      </c>
      <c r="Q736" s="56">
        <f t="shared" si="213"/>
        <v>0</v>
      </c>
      <c r="R736" s="56">
        <f t="shared" si="213"/>
        <v>0</v>
      </c>
      <c r="S736" s="56">
        <f t="shared" si="213"/>
        <v>0</v>
      </c>
      <c r="T736" s="56">
        <f t="shared" si="213"/>
        <v>0</v>
      </c>
      <c r="U736" s="56">
        <f t="shared" si="213"/>
        <v>0</v>
      </c>
      <c r="V736" s="56">
        <f t="shared" si="213"/>
        <v>0</v>
      </c>
      <c r="W736" s="56">
        <f t="shared" si="213"/>
        <v>0</v>
      </c>
      <c r="X736" s="56">
        <f t="shared" si="213"/>
        <v>0</v>
      </c>
      <c r="Y736" s="56">
        <f t="shared" si="213"/>
        <v>0</v>
      </c>
      <c r="Z736" s="56">
        <f t="shared" si="213"/>
        <v>0</v>
      </c>
      <c r="AA736" s="56">
        <f t="shared" si="213"/>
        <v>0</v>
      </c>
      <c r="AB736" s="56">
        <f t="shared" si="213"/>
        <v>0</v>
      </c>
      <c r="AC736" s="56">
        <f t="shared" si="213"/>
        <v>0</v>
      </c>
      <c r="AD736" s="56"/>
      <c r="AE736" s="56"/>
      <c r="AF736" s="56"/>
      <c r="AG736" s="56"/>
      <c r="AH736" s="56"/>
      <c r="AI736" s="56"/>
      <c r="AJ736" s="56"/>
      <c r="AK736" s="56"/>
      <c r="AL736" s="56"/>
      <c r="AM736" s="56"/>
      <c r="AN736" s="56"/>
      <c r="AO736" s="56"/>
      <c r="AP736" s="29"/>
    </row>
    <row r="737" spans="1:42" outlineLevel="1" x14ac:dyDescent="0.25">
      <c r="A737" s="54"/>
      <c r="B737" s="13"/>
      <c r="C737" s="14" t="s">
        <v>484</v>
      </c>
      <c r="D737" s="14"/>
      <c r="E737" s="70" t="s">
        <v>474</v>
      </c>
      <c r="F737" s="200"/>
      <c r="G737" s="56"/>
      <c r="H737" s="56"/>
      <c r="I737" s="56">
        <f>I729*Data!H$16/1000</f>
        <v>0</v>
      </c>
      <c r="J737" s="56">
        <f>J729*Data!I$16/1000</f>
        <v>0</v>
      </c>
      <c r="K737" s="56">
        <f>K729*Data!J$16/1000</f>
        <v>0</v>
      </c>
      <c r="L737" s="56">
        <f>L729*Data!K$16/1000</f>
        <v>0</v>
      </c>
      <c r="M737" s="56">
        <f>M729*Data!L$16/1000</f>
        <v>0</v>
      </c>
      <c r="N737" s="56">
        <f>N729*Data!M$16/1000</f>
        <v>0</v>
      </c>
      <c r="O737" s="56">
        <f>O729*Data!N$16/1000</f>
        <v>0</v>
      </c>
      <c r="P737" s="56">
        <f>P729*Data!O$16/1000</f>
        <v>0</v>
      </c>
      <c r="Q737" s="56">
        <f>Q729*Data!P$16/1000</f>
        <v>0</v>
      </c>
      <c r="R737" s="56">
        <f>R729*Data!Q$16/1000</f>
        <v>0</v>
      </c>
      <c r="S737" s="56">
        <f>S729*Data!R$16/1000</f>
        <v>0</v>
      </c>
      <c r="T737" s="56">
        <f>T729*Data!S$16/1000</f>
        <v>0</v>
      </c>
      <c r="U737" s="56">
        <f>U729*Data!T$16/1000</f>
        <v>0</v>
      </c>
      <c r="V737" s="56">
        <f>V729*Data!U$16/1000</f>
        <v>0</v>
      </c>
      <c r="W737" s="56">
        <f>W729*Data!V$16/1000</f>
        <v>0</v>
      </c>
      <c r="X737" s="56">
        <f>X729*Data!W$16/1000</f>
        <v>0</v>
      </c>
      <c r="Y737" s="56">
        <f>Y729*Data!X$16/1000</f>
        <v>0</v>
      </c>
      <c r="Z737" s="56">
        <f>Z729*Data!Y$16/1000</f>
        <v>0</v>
      </c>
      <c r="AA737" s="56">
        <f>AA729*Data!Z$16/1000</f>
        <v>0</v>
      </c>
      <c r="AB737" s="56">
        <f>AB729*Data!AA$16/1000</f>
        <v>0</v>
      </c>
      <c r="AC737" s="56">
        <f>AC729*Data!AB$16/1000</f>
        <v>0</v>
      </c>
      <c r="AD737" s="56"/>
      <c r="AE737" s="56"/>
      <c r="AF737" s="56"/>
      <c r="AG737" s="56"/>
      <c r="AH737" s="56"/>
      <c r="AI737" s="56"/>
      <c r="AJ737" s="56"/>
      <c r="AK737" s="56"/>
      <c r="AL737" s="56"/>
      <c r="AM737" s="56"/>
      <c r="AN737" s="56"/>
      <c r="AO737" s="56"/>
      <c r="AP737" s="29"/>
    </row>
    <row r="738" spans="1:42" outlineLevel="1" x14ac:dyDescent="0.25">
      <c r="A738" s="54"/>
      <c r="B738" s="13"/>
      <c r="C738" s="14" t="s">
        <v>285</v>
      </c>
      <c r="D738" s="14"/>
      <c r="E738" s="70" t="s">
        <v>474</v>
      </c>
      <c r="F738" s="200">
        <f>Data!$E$36/1000</f>
        <v>1.0822865168539326</v>
      </c>
      <c r="G738" s="56"/>
      <c r="H738" s="56"/>
      <c r="I738" s="56">
        <f>I730*$F738</f>
        <v>0</v>
      </c>
      <c r="J738" s="56">
        <f t="shared" ref="J738:AC743" si="214">J730*$F738</f>
        <v>0</v>
      </c>
      <c r="K738" s="56">
        <f t="shared" si="214"/>
        <v>0</v>
      </c>
      <c r="L738" s="56">
        <f t="shared" si="214"/>
        <v>0</v>
      </c>
      <c r="M738" s="56">
        <f t="shared" si="214"/>
        <v>0</v>
      </c>
      <c r="N738" s="56">
        <f t="shared" si="214"/>
        <v>0</v>
      </c>
      <c r="O738" s="56">
        <f t="shared" si="214"/>
        <v>0</v>
      </c>
      <c r="P738" s="56">
        <f t="shared" si="214"/>
        <v>0</v>
      </c>
      <c r="Q738" s="56">
        <f t="shared" si="214"/>
        <v>0</v>
      </c>
      <c r="R738" s="56">
        <f t="shared" si="214"/>
        <v>0</v>
      </c>
      <c r="S738" s="56">
        <f t="shared" si="214"/>
        <v>0</v>
      </c>
      <c r="T738" s="56">
        <f t="shared" si="214"/>
        <v>0</v>
      </c>
      <c r="U738" s="56">
        <f t="shared" si="214"/>
        <v>0</v>
      </c>
      <c r="V738" s="56">
        <f t="shared" si="214"/>
        <v>0</v>
      </c>
      <c r="W738" s="56">
        <f t="shared" si="214"/>
        <v>0</v>
      </c>
      <c r="X738" s="56">
        <f t="shared" si="214"/>
        <v>0</v>
      </c>
      <c r="Y738" s="56">
        <f t="shared" si="214"/>
        <v>0</v>
      </c>
      <c r="Z738" s="56">
        <f t="shared" si="214"/>
        <v>0</v>
      </c>
      <c r="AA738" s="56">
        <f t="shared" si="214"/>
        <v>0</v>
      </c>
      <c r="AB738" s="56">
        <f t="shared" si="214"/>
        <v>0</v>
      </c>
      <c r="AC738" s="56">
        <f t="shared" si="214"/>
        <v>0</v>
      </c>
      <c r="AD738" s="56"/>
      <c r="AE738" s="56"/>
      <c r="AF738" s="56"/>
      <c r="AG738" s="56"/>
      <c r="AH738" s="56"/>
      <c r="AI738" s="56"/>
      <c r="AJ738" s="56"/>
      <c r="AK738" s="56"/>
      <c r="AL738" s="56"/>
      <c r="AM738" s="56"/>
      <c r="AN738" s="56"/>
      <c r="AO738" s="56"/>
      <c r="AP738" s="29"/>
    </row>
    <row r="739" spans="1:42" outlineLevel="1" x14ac:dyDescent="0.25">
      <c r="A739" s="54"/>
      <c r="B739" s="13"/>
      <c r="C739" s="14" t="s">
        <v>220</v>
      </c>
      <c r="D739" s="14"/>
      <c r="E739" s="70" t="s">
        <v>474</v>
      </c>
      <c r="F739" s="200">
        <f>Data!$E$37/1000</f>
        <v>371.00188764044947</v>
      </c>
      <c r="G739" s="56"/>
      <c r="H739" s="56"/>
      <c r="I739" s="56">
        <f t="shared" ref="I739:X743" si="215">I731*$F739</f>
        <v>0</v>
      </c>
      <c r="J739" s="56">
        <f t="shared" si="215"/>
        <v>0</v>
      </c>
      <c r="K739" s="56">
        <f t="shared" si="215"/>
        <v>0</v>
      </c>
      <c r="L739" s="56">
        <f t="shared" si="215"/>
        <v>0</v>
      </c>
      <c r="M739" s="56">
        <f t="shared" si="215"/>
        <v>0</v>
      </c>
      <c r="N739" s="56">
        <f t="shared" si="215"/>
        <v>0</v>
      </c>
      <c r="O739" s="56">
        <f t="shared" si="215"/>
        <v>0</v>
      </c>
      <c r="P739" s="56">
        <f t="shared" si="215"/>
        <v>0</v>
      </c>
      <c r="Q739" s="56">
        <f t="shared" si="215"/>
        <v>0</v>
      </c>
      <c r="R739" s="56">
        <f t="shared" si="215"/>
        <v>0</v>
      </c>
      <c r="S739" s="56">
        <f t="shared" si="215"/>
        <v>0</v>
      </c>
      <c r="T739" s="56">
        <f t="shared" si="215"/>
        <v>0</v>
      </c>
      <c r="U739" s="56">
        <f t="shared" si="215"/>
        <v>0</v>
      </c>
      <c r="V739" s="56">
        <f t="shared" si="215"/>
        <v>0</v>
      </c>
      <c r="W739" s="56">
        <f t="shared" si="215"/>
        <v>0</v>
      </c>
      <c r="X739" s="56">
        <f t="shared" si="215"/>
        <v>0</v>
      </c>
      <c r="Y739" s="56">
        <f t="shared" si="214"/>
        <v>0</v>
      </c>
      <c r="Z739" s="56">
        <f t="shared" si="214"/>
        <v>0</v>
      </c>
      <c r="AA739" s="56">
        <f t="shared" si="214"/>
        <v>0</v>
      </c>
      <c r="AB739" s="56">
        <f t="shared" si="214"/>
        <v>0</v>
      </c>
      <c r="AC739" s="56">
        <f t="shared" si="214"/>
        <v>0</v>
      </c>
      <c r="AD739" s="56"/>
      <c r="AE739" s="56"/>
      <c r="AF739" s="56"/>
      <c r="AG739" s="56"/>
      <c r="AH739" s="56"/>
      <c r="AI739" s="56"/>
      <c r="AJ739" s="56"/>
      <c r="AK739" s="56"/>
      <c r="AL739" s="56"/>
      <c r="AM739" s="56"/>
      <c r="AN739" s="56"/>
      <c r="AO739" s="56"/>
      <c r="AP739" s="29"/>
    </row>
    <row r="740" spans="1:42" outlineLevel="1" x14ac:dyDescent="0.25">
      <c r="A740" s="54"/>
      <c r="B740" s="13"/>
      <c r="C740" s="14" t="s">
        <v>212</v>
      </c>
      <c r="D740" s="14"/>
      <c r="E740" s="70" t="s">
        <v>474</v>
      </c>
      <c r="F740" s="200">
        <f>Data!$E$39/1000</f>
        <v>0</v>
      </c>
      <c r="G740" s="56"/>
      <c r="H740" s="56"/>
      <c r="I740" s="56">
        <f t="shared" si="215"/>
        <v>0</v>
      </c>
      <c r="J740" s="56">
        <f t="shared" si="214"/>
        <v>0</v>
      </c>
      <c r="K740" s="56">
        <f t="shared" si="214"/>
        <v>0</v>
      </c>
      <c r="L740" s="56">
        <f t="shared" si="214"/>
        <v>0</v>
      </c>
      <c r="M740" s="56">
        <f t="shared" si="214"/>
        <v>0</v>
      </c>
      <c r="N740" s="56">
        <f t="shared" si="214"/>
        <v>0</v>
      </c>
      <c r="O740" s="56">
        <f t="shared" si="214"/>
        <v>0</v>
      </c>
      <c r="P740" s="56">
        <f t="shared" si="214"/>
        <v>0</v>
      </c>
      <c r="Q740" s="56">
        <f t="shared" si="214"/>
        <v>0</v>
      </c>
      <c r="R740" s="56">
        <f t="shared" si="214"/>
        <v>0</v>
      </c>
      <c r="S740" s="56">
        <f t="shared" si="214"/>
        <v>0</v>
      </c>
      <c r="T740" s="56">
        <f t="shared" si="214"/>
        <v>0</v>
      </c>
      <c r="U740" s="56">
        <f t="shared" si="214"/>
        <v>0</v>
      </c>
      <c r="V740" s="56">
        <f t="shared" si="214"/>
        <v>0</v>
      </c>
      <c r="W740" s="56">
        <f t="shared" si="214"/>
        <v>0</v>
      </c>
      <c r="X740" s="56">
        <f t="shared" si="214"/>
        <v>0</v>
      </c>
      <c r="Y740" s="56">
        <f t="shared" si="214"/>
        <v>0</v>
      </c>
      <c r="Z740" s="56">
        <f t="shared" si="214"/>
        <v>0</v>
      </c>
      <c r="AA740" s="56">
        <f t="shared" si="214"/>
        <v>0</v>
      </c>
      <c r="AB740" s="56">
        <f t="shared" si="214"/>
        <v>0</v>
      </c>
      <c r="AC740" s="56">
        <f t="shared" si="214"/>
        <v>0</v>
      </c>
      <c r="AD740" s="56"/>
      <c r="AE740" s="56"/>
      <c r="AF740" s="56"/>
      <c r="AG740" s="56"/>
      <c r="AH740" s="56"/>
      <c r="AI740" s="56"/>
      <c r="AJ740" s="56"/>
      <c r="AK740" s="56"/>
      <c r="AL740" s="56"/>
      <c r="AM740" s="56"/>
      <c r="AN740" s="56"/>
      <c r="AO740" s="56"/>
      <c r="AP740" s="29"/>
    </row>
    <row r="741" spans="1:42" outlineLevel="1" x14ac:dyDescent="0.25">
      <c r="A741" s="54"/>
      <c r="B741" s="13"/>
      <c r="C741" s="14" t="s">
        <v>485</v>
      </c>
      <c r="D741" s="14"/>
      <c r="E741" s="70" t="s">
        <v>474</v>
      </c>
      <c r="F741" s="200">
        <f>Data!$E$40/1000</f>
        <v>605.20914606741576</v>
      </c>
      <c r="G741" s="56"/>
      <c r="H741" s="56"/>
      <c r="I741" s="56">
        <f t="shared" si="215"/>
        <v>0</v>
      </c>
      <c r="J741" s="56">
        <f t="shared" si="214"/>
        <v>0</v>
      </c>
      <c r="K741" s="56">
        <f t="shared" si="214"/>
        <v>0</v>
      </c>
      <c r="L741" s="56">
        <f t="shared" si="214"/>
        <v>0</v>
      </c>
      <c r="M741" s="56">
        <f t="shared" si="214"/>
        <v>0</v>
      </c>
      <c r="N741" s="56">
        <f t="shared" si="214"/>
        <v>0</v>
      </c>
      <c r="O741" s="56">
        <f t="shared" si="214"/>
        <v>0</v>
      </c>
      <c r="P741" s="56">
        <f t="shared" si="214"/>
        <v>0</v>
      </c>
      <c r="Q741" s="56">
        <f t="shared" si="214"/>
        <v>0</v>
      </c>
      <c r="R741" s="56">
        <f t="shared" si="214"/>
        <v>0</v>
      </c>
      <c r="S741" s="56">
        <f t="shared" si="214"/>
        <v>0</v>
      </c>
      <c r="T741" s="56">
        <f t="shared" si="214"/>
        <v>0</v>
      </c>
      <c r="U741" s="56">
        <f t="shared" si="214"/>
        <v>0</v>
      </c>
      <c r="V741" s="56">
        <f t="shared" si="214"/>
        <v>0</v>
      </c>
      <c r="W741" s="56">
        <f t="shared" si="214"/>
        <v>0</v>
      </c>
      <c r="X741" s="56">
        <f t="shared" si="214"/>
        <v>0</v>
      </c>
      <c r="Y741" s="56">
        <f t="shared" si="214"/>
        <v>0</v>
      </c>
      <c r="Z741" s="56">
        <f t="shared" si="214"/>
        <v>0</v>
      </c>
      <c r="AA741" s="56">
        <f t="shared" si="214"/>
        <v>0</v>
      </c>
      <c r="AB741" s="56">
        <f t="shared" si="214"/>
        <v>0</v>
      </c>
      <c r="AC741" s="56">
        <f t="shared" si="214"/>
        <v>0</v>
      </c>
      <c r="AD741" s="56"/>
      <c r="AE741" s="56"/>
      <c r="AF741" s="56"/>
      <c r="AG741" s="56"/>
      <c r="AH741" s="56"/>
      <c r="AI741" s="56"/>
      <c r="AJ741" s="56"/>
      <c r="AK741" s="56"/>
      <c r="AL741" s="56"/>
      <c r="AM741" s="56"/>
      <c r="AN741" s="56"/>
      <c r="AO741" s="56"/>
      <c r="AP741" s="29"/>
    </row>
    <row r="742" spans="1:42" outlineLevel="1" x14ac:dyDescent="0.25">
      <c r="A742" s="54"/>
      <c r="B742" s="13"/>
      <c r="C742" s="14" t="s">
        <v>214</v>
      </c>
      <c r="D742" s="14"/>
      <c r="E742" s="70" t="s">
        <v>474</v>
      </c>
      <c r="F742" s="200">
        <f>Data!$E$41/1000</f>
        <v>0</v>
      </c>
      <c r="G742" s="56"/>
      <c r="H742" s="56"/>
      <c r="I742" s="56">
        <f t="shared" si="215"/>
        <v>0</v>
      </c>
      <c r="J742" s="56">
        <f t="shared" si="214"/>
        <v>0</v>
      </c>
      <c r="K742" s="56">
        <f t="shared" si="214"/>
        <v>0</v>
      </c>
      <c r="L742" s="56">
        <f t="shared" si="214"/>
        <v>0</v>
      </c>
      <c r="M742" s="56">
        <f t="shared" si="214"/>
        <v>0</v>
      </c>
      <c r="N742" s="56">
        <f t="shared" si="214"/>
        <v>0</v>
      </c>
      <c r="O742" s="56">
        <f t="shared" si="214"/>
        <v>0</v>
      </c>
      <c r="P742" s="56">
        <f t="shared" si="214"/>
        <v>0</v>
      </c>
      <c r="Q742" s="56">
        <f t="shared" si="214"/>
        <v>0</v>
      </c>
      <c r="R742" s="56">
        <f t="shared" si="214"/>
        <v>0</v>
      </c>
      <c r="S742" s="56">
        <f t="shared" si="214"/>
        <v>0</v>
      </c>
      <c r="T742" s="56">
        <f t="shared" si="214"/>
        <v>0</v>
      </c>
      <c r="U742" s="56">
        <f t="shared" si="214"/>
        <v>0</v>
      </c>
      <c r="V742" s="56">
        <f t="shared" si="214"/>
        <v>0</v>
      </c>
      <c r="W742" s="56">
        <f t="shared" si="214"/>
        <v>0</v>
      </c>
      <c r="X742" s="56">
        <f t="shared" si="214"/>
        <v>0</v>
      </c>
      <c r="Y742" s="56">
        <f t="shared" si="214"/>
        <v>0</v>
      </c>
      <c r="Z742" s="56">
        <f t="shared" si="214"/>
        <v>0</v>
      </c>
      <c r="AA742" s="56">
        <f t="shared" si="214"/>
        <v>0</v>
      </c>
      <c r="AB742" s="56">
        <f t="shared" si="214"/>
        <v>0</v>
      </c>
      <c r="AC742" s="56">
        <f t="shared" si="214"/>
        <v>0</v>
      </c>
      <c r="AD742" s="56"/>
      <c r="AE742" s="56"/>
      <c r="AF742" s="56"/>
      <c r="AG742" s="56"/>
      <c r="AH742" s="56"/>
      <c r="AI742" s="56"/>
      <c r="AJ742" s="56"/>
      <c r="AK742" s="56"/>
      <c r="AL742" s="56"/>
      <c r="AM742" s="56"/>
      <c r="AN742" s="56"/>
      <c r="AO742" s="56"/>
      <c r="AP742" s="29"/>
    </row>
    <row r="743" spans="1:42" outlineLevel="1" x14ac:dyDescent="0.25">
      <c r="A743" s="12"/>
      <c r="B743" s="13"/>
      <c r="C743" s="20" t="s">
        <v>536</v>
      </c>
      <c r="D743" s="14"/>
      <c r="E743" s="70" t="s">
        <v>474</v>
      </c>
      <c r="F743" s="16"/>
      <c r="G743" s="159"/>
      <c r="H743" s="185"/>
      <c r="I743" s="56">
        <f t="shared" si="215"/>
        <v>0</v>
      </c>
      <c r="J743" s="56">
        <f t="shared" si="214"/>
        <v>0</v>
      </c>
      <c r="K743" s="56">
        <f t="shared" si="214"/>
        <v>0</v>
      </c>
      <c r="L743" s="56">
        <f t="shared" si="214"/>
        <v>0</v>
      </c>
      <c r="M743" s="56">
        <f t="shared" si="214"/>
        <v>0</v>
      </c>
      <c r="N743" s="56">
        <f t="shared" si="214"/>
        <v>0</v>
      </c>
      <c r="O743" s="56">
        <f t="shared" si="214"/>
        <v>0</v>
      </c>
      <c r="P743" s="56">
        <f t="shared" si="214"/>
        <v>0</v>
      </c>
      <c r="Q743" s="56">
        <f t="shared" si="214"/>
        <v>0</v>
      </c>
      <c r="R743" s="56">
        <f t="shared" si="214"/>
        <v>0</v>
      </c>
      <c r="S743" s="56">
        <f t="shared" si="214"/>
        <v>0</v>
      </c>
      <c r="T743" s="56">
        <f t="shared" si="214"/>
        <v>0</v>
      </c>
      <c r="U743" s="56">
        <f t="shared" si="214"/>
        <v>0</v>
      </c>
      <c r="V743" s="56">
        <f t="shared" si="214"/>
        <v>0</v>
      </c>
      <c r="W743" s="56">
        <f t="shared" si="214"/>
        <v>0</v>
      </c>
      <c r="X743" s="56">
        <f t="shared" si="214"/>
        <v>0</v>
      </c>
      <c r="Y743" s="56">
        <f t="shared" si="214"/>
        <v>0</v>
      </c>
      <c r="Z743" s="56">
        <f t="shared" si="214"/>
        <v>0</v>
      </c>
      <c r="AA743" s="56">
        <f t="shared" si="214"/>
        <v>0</v>
      </c>
      <c r="AB743" s="56">
        <f t="shared" si="214"/>
        <v>0</v>
      </c>
      <c r="AC743" s="56">
        <f t="shared" si="214"/>
        <v>0</v>
      </c>
      <c r="AD743" s="185">
        <f t="shared" ref="AD743:AO743" si="216">SUM(AD736:AD742)</f>
        <v>0</v>
      </c>
      <c r="AE743" s="185">
        <f t="shared" si="216"/>
        <v>0</v>
      </c>
      <c r="AF743" s="185">
        <f t="shared" si="216"/>
        <v>0</v>
      </c>
      <c r="AG743" s="185">
        <f t="shared" si="216"/>
        <v>0</v>
      </c>
      <c r="AH743" s="185">
        <f t="shared" si="216"/>
        <v>0</v>
      </c>
      <c r="AI743" s="185">
        <f t="shared" si="216"/>
        <v>0</v>
      </c>
      <c r="AJ743" s="185">
        <f t="shared" si="216"/>
        <v>0</v>
      </c>
      <c r="AK743" s="185">
        <f t="shared" si="216"/>
        <v>0</v>
      </c>
      <c r="AL743" s="185">
        <f t="shared" si="216"/>
        <v>0</v>
      </c>
      <c r="AM743" s="185">
        <f t="shared" si="216"/>
        <v>0</v>
      </c>
      <c r="AN743" s="185">
        <f t="shared" si="216"/>
        <v>0</v>
      </c>
      <c r="AO743" s="185">
        <f t="shared" si="216"/>
        <v>0</v>
      </c>
      <c r="AP743" s="14"/>
    </row>
    <row r="744" spans="1:42" outlineLevel="1" x14ac:dyDescent="0.25">
      <c r="A744" s="12"/>
      <c r="B744" s="13"/>
      <c r="C744" s="14"/>
      <c r="D744" s="14"/>
      <c r="E744" s="15"/>
      <c r="F744" s="16"/>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4"/>
      <c r="AE744" s="14"/>
      <c r="AF744" s="14"/>
      <c r="AG744" s="14"/>
      <c r="AH744" s="14"/>
      <c r="AI744" s="14"/>
      <c r="AJ744" s="14"/>
      <c r="AK744" s="14"/>
      <c r="AL744" s="14"/>
      <c r="AM744" s="14"/>
      <c r="AN744" s="14"/>
      <c r="AO744" s="14"/>
      <c r="AP744" s="14"/>
    </row>
    <row r="745" spans="1:42" outlineLevel="1" x14ac:dyDescent="0.25">
      <c r="A745" s="12"/>
      <c r="B745" s="13"/>
      <c r="C745" s="14" t="s">
        <v>523</v>
      </c>
      <c r="D745" s="14"/>
      <c r="E745" s="15" t="s">
        <v>474</v>
      </c>
      <c r="F745" s="48"/>
      <c r="G745" s="185"/>
      <c r="H745" s="185"/>
      <c r="I745" s="185">
        <f>I743*Data!H$9</f>
        <v>0</v>
      </c>
      <c r="J745" s="185">
        <f>J743*Data!I$9</f>
        <v>0</v>
      </c>
      <c r="K745" s="185">
        <f>K743*Data!J$9</f>
        <v>0</v>
      </c>
      <c r="L745" s="185">
        <f>L743*Data!K$9</f>
        <v>0</v>
      </c>
      <c r="M745" s="185">
        <f>M743*Data!L$9</f>
        <v>0</v>
      </c>
      <c r="N745" s="185">
        <f>N743*Data!M$9</f>
        <v>0</v>
      </c>
      <c r="O745" s="185">
        <f>O743*Data!N$9</f>
        <v>0</v>
      </c>
      <c r="P745" s="185">
        <f>P743*Data!O$9</f>
        <v>0</v>
      </c>
      <c r="Q745" s="185">
        <f>Q743*Data!P$9</f>
        <v>0</v>
      </c>
      <c r="R745" s="185">
        <f>R743*Data!Q$9</f>
        <v>0</v>
      </c>
      <c r="S745" s="185">
        <f>S743*Data!R$9</f>
        <v>0</v>
      </c>
      <c r="T745" s="185">
        <f>T743*Data!S$9</f>
        <v>0</v>
      </c>
      <c r="U745" s="185">
        <f>U743*Data!T$9</f>
        <v>0</v>
      </c>
      <c r="V745" s="185">
        <f>V743*Data!U$9</f>
        <v>0</v>
      </c>
      <c r="W745" s="185">
        <f>W743*Data!V$9</f>
        <v>0</v>
      </c>
      <c r="X745" s="185">
        <f>X743*Data!W$9</f>
        <v>0</v>
      </c>
      <c r="Y745" s="185">
        <f>Y743*Data!X$9</f>
        <v>0</v>
      </c>
      <c r="Z745" s="185">
        <f>Z743*Data!Y$9</f>
        <v>0</v>
      </c>
      <c r="AA745" s="185">
        <f>AA743*Data!Z$9</f>
        <v>0</v>
      </c>
      <c r="AB745" s="185">
        <f>AB743*Data!AA$9</f>
        <v>0</v>
      </c>
      <c r="AC745" s="185">
        <f>AC743*Data!AB$9</f>
        <v>0</v>
      </c>
      <c r="AD745" s="185">
        <f>AD743*Data!AC$9</f>
        <v>0</v>
      </c>
      <c r="AE745" s="185">
        <f>AE743*Data!AD$9</f>
        <v>0</v>
      </c>
      <c r="AF745" s="185">
        <f>AF743*Data!AE$9</f>
        <v>0</v>
      </c>
      <c r="AG745" s="185">
        <f>AG743*Data!AF$9</f>
        <v>0</v>
      </c>
      <c r="AH745" s="185">
        <f>AH743*Data!AG$9</f>
        <v>0</v>
      </c>
      <c r="AI745" s="185">
        <f>AI743*Data!AH$9</f>
        <v>0</v>
      </c>
      <c r="AJ745" s="185">
        <f>AJ743*Data!AI$9</f>
        <v>0</v>
      </c>
      <c r="AK745" s="185">
        <f>AK743*Data!AJ$9</f>
        <v>0</v>
      </c>
      <c r="AL745" s="185">
        <f>AL743*Data!AK$9</f>
        <v>0</v>
      </c>
      <c r="AM745" s="185">
        <f>AM743*Data!AL$9</f>
        <v>0</v>
      </c>
      <c r="AN745" s="185">
        <f>AN743*Data!AM$9</f>
        <v>0</v>
      </c>
      <c r="AO745" s="185">
        <f>AO743*Data!AN$9</f>
        <v>0</v>
      </c>
      <c r="AP745" s="14"/>
    </row>
    <row r="746" spans="1:42" outlineLevel="1" x14ac:dyDescent="0.25">
      <c r="A746" s="12"/>
      <c r="B746" s="13"/>
      <c r="C746" s="14" t="s">
        <v>489</v>
      </c>
      <c r="D746" s="13"/>
      <c r="E746" s="15" t="s">
        <v>142</v>
      </c>
      <c r="F746" s="16"/>
      <c r="G746" s="159">
        <f>SUM(H745:AO745)</f>
        <v>0</v>
      </c>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row>
    <row r="747" spans="1:42" outlineLevel="1" x14ac:dyDescent="0.25">
      <c r="A747" s="12"/>
      <c r="B747" s="13"/>
      <c r="C747" s="41" t="s">
        <v>62</v>
      </c>
      <c r="D747" s="41"/>
      <c r="E747" s="15" t="s">
        <v>261</v>
      </c>
      <c r="F747" s="16"/>
      <c r="G747" s="184">
        <f>G746/(SUM(H726:AO726))</f>
        <v>0</v>
      </c>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7"/>
    </row>
    <row r="748" spans="1:42" outlineLevel="1" x14ac:dyDescent="0.25">
      <c r="A748" s="12"/>
      <c r="B748" s="13"/>
      <c r="C748" s="14"/>
      <c r="D748" s="14"/>
      <c r="E748" s="15"/>
      <c r="F748" s="16"/>
      <c r="G748" s="14"/>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17"/>
    </row>
    <row r="749" spans="1:42" outlineLevel="1" x14ac:dyDescent="0.25">
      <c r="A749" s="12"/>
      <c r="B749" s="13"/>
      <c r="C749" s="45"/>
      <c r="D749" s="45"/>
      <c r="E749" s="15"/>
      <c r="F749" s="16"/>
      <c r="G749" s="14"/>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9"/>
    </row>
    <row r="750" spans="1:42" outlineLevel="1" x14ac:dyDescent="0.25">
      <c r="A750" s="12"/>
      <c r="B750" s="13"/>
      <c r="C750" s="37" t="s">
        <v>578</v>
      </c>
      <c r="D750" s="37"/>
      <c r="E750" s="38"/>
      <c r="F750" s="39"/>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17"/>
    </row>
    <row r="751" spans="1:42" outlineLevel="1" x14ac:dyDescent="0.25">
      <c r="A751" s="12"/>
      <c r="B751" s="13"/>
      <c r="C751" s="14"/>
      <c r="D751" s="14"/>
      <c r="E751" s="15"/>
      <c r="F751" s="16"/>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7"/>
    </row>
    <row r="752" spans="1:42" outlineLevel="1" x14ac:dyDescent="0.25">
      <c r="A752" s="12"/>
      <c r="B752" s="13"/>
      <c r="C752" s="20" t="s">
        <v>252</v>
      </c>
      <c r="D752" s="14"/>
      <c r="E752" s="15"/>
      <c r="F752" s="16"/>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row>
    <row r="753" spans="1:43" outlineLevel="1" x14ac:dyDescent="0.25">
      <c r="A753" s="12"/>
      <c r="B753" s="13"/>
      <c r="C753" t="s">
        <v>520</v>
      </c>
      <c r="D753" s="14"/>
      <c r="E753" s="15" t="s">
        <v>521</v>
      </c>
      <c r="F753" s="16"/>
      <c r="G753" s="14"/>
      <c r="H753" s="141"/>
      <c r="I753" s="141">
        <f t="shared" ref="I753:AO753" si="217">I556</f>
        <v>93600</v>
      </c>
      <c r="J753" s="141">
        <f t="shared" si="217"/>
        <v>93600</v>
      </c>
      <c r="K753" s="141">
        <f t="shared" si="217"/>
        <v>93600</v>
      </c>
      <c r="L753" s="141">
        <f t="shared" si="217"/>
        <v>93600</v>
      </c>
      <c r="M753" s="141">
        <f t="shared" si="217"/>
        <v>93600</v>
      </c>
      <c r="N753" s="141">
        <f t="shared" si="217"/>
        <v>93600</v>
      </c>
      <c r="O753" s="141">
        <f t="shared" si="217"/>
        <v>93600</v>
      </c>
      <c r="P753" s="141">
        <f t="shared" si="217"/>
        <v>93600</v>
      </c>
      <c r="Q753" s="141">
        <f t="shared" si="217"/>
        <v>93600</v>
      </c>
      <c r="R753" s="141">
        <f t="shared" si="217"/>
        <v>93600</v>
      </c>
      <c r="S753" s="141">
        <f t="shared" si="217"/>
        <v>93600</v>
      </c>
      <c r="T753" s="141">
        <f t="shared" si="217"/>
        <v>93600</v>
      </c>
      <c r="U753" s="141">
        <f t="shared" si="217"/>
        <v>0</v>
      </c>
      <c r="V753" s="141">
        <f t="shared" si="217"/>
        <v>0</v>
      </c>
      <c r="W753" s="141">
        <f t="shared" si="217"/>
        <v>0</v>
      </c>
      <c r="X753" s="141">
        <f t="shared" si="217"/>
        <v>0</v>
      </c>
      <c r="Y753" s="141">
        <f t="shared" si="217"/>
        <v>0</v>
      </c>
      <c r="Z753" s="141">
        <f t="shared" si="217"/>
        <v>0</v>
      </c>
      <c r="AA753" s="141">
        <f t="shared" si="217"/>
        <v>0</v>
      </c>
      <c r="AB753" s="141">
        <f t="shared" si="217"/>
        <v>0</v>
      </c>
      <c r="AC753" s="141">
        <f t="shared" si="217"/>
        <v>0</v>
      </c>
      <c r="AD753" s="141">
        <f t="shared" si="217"/>
        <v>0</v>
      </c>
      <c r="AE753" s="141">
        <f t="shared" si="217"/>
        <v>0</v>
      </c>
      <c r="AF753" s="141">
        <f t="shared" si="217"/>
        <v>0</v>
      </c>
      <c r="AG753" s="141">
        <f t="shared" si="217"/>
        <v>0</v>
      </c>
      <c r="AH753" s="141">
        <f t="shared" si="217"/>
        <v>0</v>
      </c>
      <c r="AI753" s="141">
        <f t="shared" si="217"/>
        <v>0</v>
      </c>
      <c r="AJ753" s="141">
        <f t="shared" si="217"/>
        <v>0</v>
      </c>
      <c r="AK753" s="141">
        <f t="shared" si="217"/>
        <v>0</v>
      </c>
      <c r="AL753" s="141">
        <f t="shared" si="217"/>
        <v>0</v>
      </c>
      <c r="AM753" s="141">
        <f t="shared" si="217"/>
        <v>0</v>
      </c>
      <c r="AN753" s="141">
        <f t="shared" si="217"/>
        <v>0</v>
      </c>
      <c r="AO753" s="141">
        <f t="shared" si="217"/>
        <v>0</v>
      </c>
      <c r="AP753" s="141">
        <f>AP561</f>
        <v>0</v>
      </c>
    </row>
    <row r="754" spans="1:43" outlineLevel="1" x14ac:dyDescent="0.25">
      <c r="A754" s="12"/>
      <c r="B754" s="13"/>
      <c r="C754" s="14" t="s">
        <v>535</v>
      </c>
      <c r="D754" s="14"/>
      <c r="E754" s="15"/>
      <c r="F754" s="16"/>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159"/>
      <c r="AG754" s="159"/>
      <c r="AH754" s="159"/>
      <c r="AI754" s="159"/>
      <c r="AJ754" s="159"/>
      <c r="AK754" s="159"/>
      <c r="AL754" s="159"/>
      <c r="AM754" s="159"/>
      <c r="AN754" s="159"/>
      <c r="AO754" s="159"/>
      <c r="AP754" s="159"/>
    </row>
    <row r="755" spans="1:43" ht="14.25" customHeight="1" outlineLevel="1" x14ac:dyDescent="0.25">
      <c r="A755" s="54"/>
      <c r="B755" s="13"/>
      <c r="C755" s="14" t="s">
        <v>205</v>
      </c>
      <c r="D755" s="14"/>
      <c r="E755" s="70" t="s">
        <v>352</v>
      </c>
      <c r="F755" s="201">
        <f>Data!E556/1000</f>
        <v>3.0107355222942197E-3</v>
      </c>
      <c r="G755" s="56"/>
      <c r="H755" s="56"/>
      <c r="I755" s="56">
        <f>I$753*$F$755</f>
        <v>281.80484488673898</v>
      </c>
      <c r="J755" s="56">
        <f t="shared" ref="J755:AQ755" si="218">J$753*$F$755</f>
        <v>281.80484488673898</v>
      </c>
      <c r="K755" s="56">
        <f t="shared" si="218"/>
        <v>281.80484488673898</v>
      </c>
      <c r="L755" s="56">
        <f t="shared" si="218"/>
        <v>281.80484488673898</v>
      </c>
      <c r="M755" s="56">
        <f t="shared" si="218"/>
        <v>281.80484488673898</v>
      </c>
      <c r="N755" s="56">
        <f t="shared" si="218"/>
        <v>281.80484488673898</v>
      </c>
      <c r="O755" s="56">
        <f t="shared" si="218"/>
        <v>281.80484488673898</v>
      </c>
      <c r="P755" s="56">
        <f t="shared" si="218"/>
        <v>281.80484488673898</v>
      </c>
      <c r="Q755" s="56">
        <f t="shared" si="218"/>
        <v>281.80484488673898</v>
      </c>
      <c r="R755" s="56">
        <f t="shared" si="218"/>
        <v>281.80484488673898</v>
      </c>
      <c r="S755" s="56">
        <f t="shared" si="218"/>
        <v>281.80484488673898</v>
      </c>
      <c r="T755" s="56">
        <f t="shared" si="218"/>
        <v>281.80484488673898</v>
      </c>
      <c r="U755" s="56">
        <f t="shared" si="218"/>
        <v>0</v>
      </c>
      <c r="V755" s="56">
        <f t="shared" si="218"/>
        <v>0</v>
      </c>
      <c r="W755" s="56">
        <f t="shared" si="218"/>
        <v>0</v>
      </c>
      <c r="X755" s="56">
        <f t="shared" si="218"/>
        <v>0</v>
      </c>
      <c r="Y755" s="56">
        <f t="shared" si="218"/>
        <v>0</v>
      </c>
      <c r="Z755" s="56">
        <f t="shared" si="218"/>
        <v>0</v>
      </c>
      <c r="AA755" s="56">
        <f t="shared" si="218"/>
        <v>0</v>
      </c>
      <c r="AB755" s="56">
        <f t="shared" si="218"/>
        <v>0</v>
      </c>
      <c r="AC755" s="56">
        <f t="shared" si="218"/>
        <v>0</v>
      </c>
      <c r="AD755" s="56">
        <f t="shared" si="218"/>
        <v>0</v>
      </c>
      <c r="AE755" s="56">
        <f t="shared" si="218"/>
        <v>0</v>
      </c>
      <c r="AF755" s="56">
        <f t="shared" si="218"/>
        <v>0</v>
      </c>
      <c r="AG755" s="56">
        <f t="shared" si="218"/>
        <v>0</v>
      </c>
      <c r="AH755" s="56">
        <f t="shared" si="218"/>
        <v>0</v>
      </c>
      <c r="AI755" s="56">
        <f t="shared" si="218"/>
        <v>0</v>
      </c>
      <c r="AJ755" s="56">
        <f t="shared" si="218"/>
        <v>0</v>
      </c>
      <c r="AK755" s="56">
        <f t="shared" si="218"/>
        <v>0</v>
      </c>
      <c r="AL755" s="56">
        <f t="shared" si="218"/>
        <v>0</v>
      </c>
      <c r="AM755" s="56">
        <f t="shared" si="218"/>
        <v>0</v>
      </c>
      <c r="AN755" s="56">
        <f t="shared" si="218"/>
        <v>0</v>
      </c>
      <c r="AO755" s="56">
        <f t="shared" si="218"/>
        <v>0</v>
      </c>
      <c r="AP755" s="56">
        <f t="shared" si="218"/>
        <v>0</v>
      </c>
      <c r="AQ755" s="56">
        <f t="shared" si="218"/>
        <v>0</v>
      </c>
    </row>
    <row r="756" spans="1:43" outlineLevel="1" x14ac:dyDescent="0.25">
      <c r="A756" s="54"/>
      <c r="B756" s="13"/>
      <c r="C756" s="14" t="s">
        <v>484</v>
      </c>
      <c r="D756" s="14"/>
      <c r="E756" s="70" t="s">
        <v>352</v>
      </c>
      <c r="F756" s="201">
        <f>Data!E557/1000</f>
        <v>2.2565026878869472</v>
      </c>
      <c r="G756" s="56"/>
      <c r="H756" s="56"/>
      <c r="I756" s="56">
        <f>I$753*$F$756</f>
        <v>211208.65158621827</v>
      </c>
      <c r="J756" s="56">
        <f t="shared" ref="J756:AQ756" si="219">J$753*$F$756</f>
        <v>211208.65158621827</v>
      </c>
      <c r="K756" s="56">
        <f t="shared" si="219"/>
        <v>211208.65158621827</v>
      </c>
      <c r="L756" s="56">
        <f t="shared" si="219"/>
        <v>211208.65158621827</v>
      </c>
      <c r="M756" s="56">
        <f t="shared" si="219"/>
        <v>211208.65158621827</v>
      </c>
      <c r="N756" s="56">
        <f t="shared" si="219"/>
        <v>211208.65158621827</v>
      </c>
      <c r="O756" s="56">
        <f t="shared" si="219"/>
        <v>211208.65158621827</v>
      </c>
      <c r="P756" s="56">
        <f t="shared" si="219"/>
        <v>211208.65158621827</v>
      </c>
      <c r="Q756" s="56">
        <f t="shared" si="219"/>
        <v>211208.65158621827</v>
      </c>
      <c r="R756" s="56">
        <f t="shared" si="219"/>
        <v>211208.65158621827</v>
      </c>
      <c r="S756" s="56">
        <f t="shared" si="219"/>
        <v>211208.65158621827</v>
      </c>
      <c r="T756" s="56">
        <f t="shared" si="219"/>
        <v>211208.65158621827</v>
      </c>
      <c r="U756" s="56">
        <f t="shared" si="219"/>
        <v>0</v>
      </c>
      <c r="V756" s="56">
        <f t="shared" si="219"/>
        <v>0</v>
      </c>
      <c r="W756" s="56">
        <f t="shared" si="219"/>
        <v>0</v>
      </c>
      <c r="X756" s="56">
        <f t="shared" si="219"/>
        <v>0</v>
      </c>
      <c r="Y756" s="56">
        <f t="shared" si="219"/>
        <v>0</v>
      </c>
      <c r="Z756" s="56">
        <f t="shared" si="219"/>
        <v>0</v>
      </c>
      <c r="AA756" s="56">
        <f t="shared" si="219"/>
        <v>0</v>
      </c>
      <c r="AB756" s="56">
        <f t="shared" si="219"/>
        <v>0</v>
      </c>
      <c r="AC756" s="56">
        <f t="shared" si="219"/>
        <v>0</v>
      </c>
      <c r="AD756" s="56">
        <f t="shared" si="219"/>
        <v>0</v>
      </c>
      <c r="AE756" s="56">
        <f t="shared" si="219"/>
        <v>0</v>
      </c>
      <c r="AF756" s="56">
        <f t="shared" si="219"/>
        <v>0</v>
      </c>
      <c r="AG756" s="56">
        <f t="shared" si="219"/>
        <v>0</v>
      </c>
      <c r="AH756" s="56">
        <f t="shared" si="219"/>
        <v>0</v>
      </c>
      <c r="AI756" s="56">
        <f t="shared" si="219"/>
        <v>0</v>
      </c>
      <c r="AJ756" s="56">
        <f t="shared" si="219"/>
        <v>0</v>
      </c>
      <c r="AK756" s="56">
        <f t="shared" si="219"/>
        <v>0</v>
      </c>
      <c r="AL756" s="56">
        <f t="shared" si="219"/>
        <v>0</v>
      </c>
      <c r="AM756" s="56">
        <f t="shared" si="219"/>
        <v>0</v>
      </c>
      <c r="AN756" s="56">
        <f t="shared" si="219"/>
        <v>0</v>
      </c>
      <c r="AO756" s="56">
        <f t="shared" si="219"/>
        <v>0</v>
      </c>
      <c r="AP756" s="56">
        <f t="shared" si="219"/>
        <v>0</v>
      </c>
      <c r="AQ756" s="56">
        <f t="shared" si="219"/>
        <v>0</v>
      </c>
    </row>
    <row r="757" spans="1:43" outlineLevel="1" x14ac:dyDescent="0.25">
      <c r="A757" s="54"/>
      <c r="B757" s="13"/>
      <c r="C757" s="14" t="s">
        <v>285</v>
      </c>
      <c r="D757" s="14"/>
      <c r="E757" s="70" t="s">
        <v>352</v>
      </c>
      <c r="F757" s="201">
        <f>Data!E558/1000</f>
        <v>2.4674863588574204E-4</v>
      </c>
      <c r="G757" s="56"/>
      <c r="H757" s="56"/>
      <c r="I757" s="56">
        <f>I$753*$F$757</f>
        <v>23.095672318905454</v>
      </c>
      <c r="J757" s="56">
        <f t="shared" ref="J757:AQ757" si="220">J$753*$F$757</f>
        <v>23.095672318905454</v>
      </c>
      <c r="K757" s="56">
        <f t="shared" si="220"/>
        <v>23.095672318905454</v>
      </c>
      <c r="L757" s="56">
        <f t="shared" si="220"/>
        <v>23.095672318905454</v>
      </c>
      <c r="M757" s="56">
        <f t="shared" si="220"/>
        <v>23.095672318905454</v>
      </c>
      <c r="N757" s="56">
        <f t="shared" si="220"/>
        <v>23.095672318905454</v>
      </c>
      <c r="O757" s="56">
        <f t="shared" si="220"/>
        <v>23.095672318905454</v>
      </c>
      <c r="P757" s="56">
        <f t="shared" si="220"/>
        <v>23.095672318905454</v>
      </c>
      <c r="Q757" s="56">
        <f t="shared" si="220"/>
        <v>23.095672318905454</v>
      </c>
      <c r="R757" s="56">
        <f t="shared" si="220"/>
        <v>23.095672318905454</v>
      </c>
      <c r="S757" s="56">
        <f t="shared" si="220"/>
        <v>23.095672318905454</v>
      </c>
      <c r="T757" s="56">
        <f t="shared" si="220"/>
        <v>23.095672318905454</v>
      </c>
      <c r="U757" s="56">
        <f t="shared" si="220"/>
        <v>0</v>
      </c>
      <c r="V757" s="56">
        <f t="shared" si="220"/>
        <v>0</v>
      </c>
      <c r="W757" s="56">
        <f t="shared" si="220"/>
        <v>0</v>
      </c>
      <c r="X757" s="56">
        <f t="shared" si="220"/>
        <v>0</v>
      </c>
      <c r="Y757" s="56">
        <f t="shared" si="220"/>
        <v>0</v>
      </c>
      <c r="Z757" s="56">
        <f t="shared" si="220"/>
        <v>0</v>
      </c>
      <c r="AA757" s="56">
        <f t="shared" si="220"/>
        <v>0</v>
      </c>
      <c r="AB757" s="56">
        <f t="shared" si="220"/>
        <v>0</v>
      </c>
      <c r="AC757" s="56">
        <f t="shared" si="220"/>
        <v>0</v>
      </c>
      <c r="AD757" s="56">
        <f t="shared" si="220"/>
        <v>0</v>
      </c>
      <c r="AE757" s="56">
        <f t="shared" si="220"/>
        <v>0</v>
      </c>
      <c r="AF757" s="56">
        <f t="shared" si="220"/>
        <v>0</v>
      </c>
      <c r="AG757" s="56">
        <f t="shared" si="220"/>
        <v>0</v>
      </c>
      <c r="AH757" s="56">
        <f t="shared" si="220"/>
        <v>0</v>
      </c>
      <c r="AI757" s="56">
        <f t="shared" si="220"/>
        <v>0</v>
      </c>
      <c r="AJ757" s="56">
        <f t="shared" si="220"/>
        <v>0</v>
      </c>
      <c r="AK757" s="56">
        <f t="shared" si="220"/>
        <v>0</v>
      </c>
      <c r="AL757" s="56">
        <f t="shared" si="220"/>
        <v>0</v>
      </c>
      <c r="AM757" s="56">
        <f t="shared" si="220"/>
        <v>0</v>
      </c>
      <c r="AN757" s="56">
        <f t="shared" si="220"/>
        <v>0</v>
      </c>
      <c r="AO757" s="56">
        <f t="shared" si="220"/>
        <v>0</v>
      </c>
      <c r="AP757" s="56">
        <f t="shared" si="220"/>
        <v>0</v>
      </c>
      <c r="AQ757" s="56">
        <f t="shared" si="220"/>
        <v>0</v>
      </c>
    </row>
    <row r="758" spans="1:43" outlineLevel="1" x14ac:dyDescent="0.25">
      <c r="A758" s="54"/>
      <c r="B758" s="13"/>
      <c r="C758" s="14" t="s">
        <v>220</v>
      </c>
      <c r="D758" s="14"/>
      <c r="E758" s="70" t="s">
        <v>352</v>
      </c>
      <c r="F758" s="201">
        <f>Data!E559/1000</f>
        <v>1.0386979165916608E-2</v>
      </c>
      <c r="G758" s="56"/>
      <c r="H758" s="56"/>
      <c r="I758" s="56">
        <f>I$753*$F$758</f>
        <v>972.22124992979445</v>
      </c>
      <c r="J758" s="56">
        <f t="shared" ref="J758:AQ758" si="221">J$753*$F$758</f>
        <v>972.22124992979445</v>
      </c>
      <c r="K758" s="56">
        <f t="shared" si="221"/>
        <v>972.22124992979445</v>
      </c>
      <c r="L758" s="56">
        <f t="shared" si="221"/>
        <v>972.22124992979445</v>
      </c>
      <c r="M758" s="56">
        <f t="shared" si="221"/>
        <v>972.22124992979445</v>
      </c>
      <c r="N758" s="56">
        <f t="shared" si="221"/>
        <v>972.22124992979445</v>
      </c>
      <c r="O758" s="56">
        <f t="shared" si="221"/>
        <v>972.22124992979445</v>
      </c>
      <c r="P758" s="56">
        <f t="shared" si="221"/>
        <v>972.22124992979445</v>
      </c>
      <c r="Q758" s="56">
        <f t="shared" si="221"/>
        <v>972.22124992979445</v>
      </c>
      <c r="R758" s="56">
        <f t="shared" si="221"/>
        <v>972.22124992979445</v>
      </c>
      <c r="S758" s="56">
        <f t="shared" si="221"/>
        <v>972.22124992979445</v>
      </c>
      <c r="T758" s="56">
        <f t="shared" si="221"/>
        <v>972.22124992979445</v>
      </c>
      <c r="U758" s="56">
        <f t="shared" si="221"/>
        <v>0</v>
      </c>
      <c r="V758" s="56">
        <f t="shared" si="221"/>
        <v>0</v>
      </c>
      <c r="W758" s="56">
        <f t="shared" si="221"/>
        <v>0</v>
      </c>
      <c r="X758" s="56">
        <f t="shared" si="221"/>
        <v>0</v>
      </c>
      <c r="Y758" s="56">
        <f t="shared" si="221"/>
        <v>0</v>
      </c>
      <c r="Z758" s="56">
        <f t="shared" si="221"/>
        <v>0</v>
      </c>
      <c r="AA758" s="56">
        <f t="shared" si="221"/>
        <v>0</v>
      </c>
      <c r="AB758" s="56">
        <f t="shared" si="221"/>
        <v>0</v>
      </c>
      <c r="AC758" s="56">
        <f t="shared" si="221"/>
        <v>0</v>
      </c>
      <c r="AD758" s="56">
        <f t="shared" si="221"/>
        <v>0</v>
      </c>
      <c r="AE758" s="56">
        <f t="shared" si="221"/>
        <v>0</v>
      </c>
      <c r="AF758" s="56">
        <f t="shared" si="221"/>
        <v>0</v>
      </c>
      <c r="AG758" s="56">
        <f t="shared" si="221"/>
        <v>0</v>
      </c>
      <c r="AH758" s="56">
        <f t="shared" si="221"/>
        <v>0</v>
      </c>
      <c r="AI758" s="56">
        <f t="shared" si="221"/>
        <v>0</v>
      </c>
      <c r="AJ758" s="56">
        <f t="shared" si="221"/>
        <v>0</v>
      </c>
      <c r="AK758" s="56">
        <f t="shared" si="221"/>
        <v>0</v>
      </c>
      <c r="AL758" s="56">
        <f t="shared" si="221"/>
        <v>0</v>
      </c>
      <c r="AM758" s="56">
        <f t="shared" si="221"/>
        <v>0</v>
      </c>
      <c r="AN758" s="56">
        <f t="shared" si="221"/>
        <v>0</v>
      </c>
      <c r="AO758" s="56">
        <f t="shared" si="221"/>
        <v>0</v>
      </c>
      <c r="AP758" s="56">
        <f t="shared" si="221"/>
        <v>0</v>
      </c>
      <c r="AQ758" s="56">
        <f t="shared" si="221"/>
        <v>0</v>
      </c>
    </row>
    <row r="759" spans="1:43" outlineLevel="1" x14ac:dyDescent="0.25">
      <c r="A759" s="54"/>
      <c r="B759" s="13"/>
      <c r="C759" s="14" t="s">
        <v>212</v>
      </c>
      <c r="D759" s="14"/>
      <c r="E759" s="70" t="s">
        <v>352</v>
      </c>
      <c r="F759" s="201">
        <f>Data!E560/1000</f>
        <v>1.200162949787418E-3</v>
      </c>
      <c r="G759" s="56"/>
      <c r="H759" s="56"/>
      <c r="I759" s="56">
        <f>I$753*$F$759</f>
        <v>112.33525210010232</v>
      </c>
      <c r="J759" s="56">
        <f t="shared" ref="J759:AQ759" si="222">J$753*$F$759</f>
        <v>112.33525210010232</v>
      </c>
      <c r="K759" s="56">
        <f t="shared" si="222"/>
        <v>112.33525210010232</v>
      </c>
      <c r="L759" s="56">
        <f t="shared" si="222"/>
        <v>112.33525210010232</v>
      </c>
      <c r="M759" s="56">
        <f t="shared" si="222"/>
        <v>112.33525210010232</v>
      </c>
      <c r="N759" s="56">
        <f t="shared" si="222"/>
        <v>112.33525210010232</v>
      </c>
      <c r="O759" s="56">
        <f t="shared" si="222"/>
        <v>112.33525210010232</v>
      </c>
      <c r="P759" s="56">
        <f t="shared" si="222"/>
        <v>112.33525210010232</v>
      </c>
      <c r="Q759" s="56">
        <f t="shared" si="222"/>
        <v>112.33525210010232</v>
      </c>
      <c r="R759" s="56">
        <f t="shared" si="222"/>
        <v>112.33525210010232</v>
      </c>
      <c r="S759" s="56">
        <f t="shared" si="222"/>
        <v>112.33525210010232</v>
      </c>
      <c r="T759" s="56">
        <f t="shared" si="222"/>
        <v>112.33525210010232</v>
      </c>
      <c r="U759" s="56">
        <f t="shared" si="222"/>
        <v>0</v>
      </c>
      <c r="V759" s="56">
        <f t="shared" si="222"/>
        <v>0</v>
      </c>
      <c r="W759" s="56">
        <f t="shared" si="222"/>
        <v>0</v>
      </c>
      <c r="X759" s="56">
        <f t="shared" si="222"/>
        <v>0</v>
      </c>
      <c r="Y759" s="56">
        <f t="shared" si="222"/>
        <v>0</v>
      </c>
      <c r="Z759" s="56">
        <f t="shared" si="222"/>
        <v>0</v>
      </c>
      <c r="AA759" s="56">
        <f t="shared" si="222"/>
        <v>0</v>
      </c>
      <c r="AB759" s="56">
        <f t="shared" si="222"/>
        <v>0</v>
      </c>
      <c r="AC759" s="56">
        <f t="shared" si="222"/>
        <v>0</v>
      </c>
      <c r="AD759" s="56">
        <f t="shared" si="222"/>
        <v>0</v>
      </c>
      <c r="AE759" s="56">
        <f t="shared" si="222"/>
        <v>0</v>
      </c>
      <c r="AF759" s="56">
        <f t="shared" si="222"/>
        <v>0</v>
      </c>
      <c r="AG759" s="56">
        <f t="shared" si="222"/>
        <v>0</v>
      </c>
      <c r="AH759" s="56">
        <f t="shared" si="222"/>
        <v>0</v>
      </c>
      <c r="AI759" s="56">
        <f t="shared" si="222"/>
        <v>0</v>
      </c>
      <c r="AJ759" s="56">
        <f t="shared" si="222"/>
        <v>0</v>
      </c>
      <c r="AK759" s="56">
        <f t="shared" si="222"/>
        <v>0</v>
      </c>
      <c r="AL759" s="56">
        <f t="shared" si="222"/>
        <v>0</v>
      </c>
      <c r="AM759" s="56">
        <f t="shared" si="222"/>
        <v>0</v>
      </c>
      <c r="AN759" s="56">
        <f t="shared" si="222"/>
        <v>0</v>
      </c>
      <c r="AO759" s="56">
        <f t="shared" si="222"/>
        <v>0</v>
      </c>
      <c r="AP759" s="56">
        <f t="shared" si="222"/>
        <v>0</v>
      </c>
      <c r="AQ759" s="56">
        <f t="shared" si="222"/>
        <v>0</v>
      </c>
    </row>
    <row r="760" spans="1:43" outlineLevel="1" x14ac:dyDescent="0.25">
      <c r="A760" s="54"/>
      <c r="B760" s="13"/>
      <c r="C760" s="14" t="s">
        <v>485</v>
      </c>
      <c r="D760" s="14"/>
      <c r="E760" s="70" t="s">
        <v>352</v>
      </c>
      <c r="F760" s="201">
        <f>Data!E561/1000</f>
        <v>2.8863348804976244E-4</v>
      </c>
      <c r="G760" s="56"/>
      <c r="H760" s="56"/>
      <c r="I760" s="56">
        <f>I$753*$F$760</f>
        <v>27.016094481457763</v>
      </c>
      <c r="J760" s="56">
        <f t="shared" ref="J760:AQ760" si="223">J$753*$F$760</f>
        <v>27.016094481457763</v>
      </c>
      <c r="K760" s="56">
        <f t="shared" si="223"/>
        <v>27.016094481457763</v>
      </c>
      <c r="L760" s="56">
        <f t="shared" si="223"/>
        <v>27.016094481457763</v>
      </c>
      <c r="M760" s="56">
        <f t="shared" si="223"/>
        <v>27.016094481457763</v>
      </c>
      <c r="N760" s="56">
        <f t="shared" si="223"/>
        <v>27.016094481457763</v>
      </c>
      <c r="O760" s="56">
        <f t="shared" si="223"/>
        <v>27.016094481457763</v>
      </c>
      <c r="P760" s="56">
        <f t="shared" si="223"/>
        <v>27.016094481457763</v>
      </c>
      <c r="Q760" s="56">
        <f t="shared" si="223"/>
        <v>27.016094481457763</v>
      </c>
      <c r="R760" s="56">
        <f t="shared" si="223"/>
        <v>27.016094481457763</v>
      </c>
      <c r="S760" s="56">
        <f t="shared" si="223"/>
        <v>27.016094481457763</v>
      </c>
      <c r="T760" s="56">
        <f t="shared" si="223"/>
        <v>27.016094481457763</v>
      </c>
      <c r="U760" s="56">
        <f t="shared" si="223"/>
        <v>0</v>
      </c>
      <c r="V760" s="56">
        <f t="shared" si="223"/>
        <v>0</v>
      </c>
      <c r="W760" s="56">
        <f t="shared" si="223"/>
        <v>0</v>
      </c>
      <c r="X760" s="56">
        <f t="shared" si="223"/>
        <v>0</v>
      </c>
      <c r="Y760" s="56">
        <f t="shared" si="223"/>
        <v>0</v>
      </c>
      <c r="Z760" s="56">
        <f t="shared" si="223"/>
        <v>0</v>
      </c>
      <c r="AA760" s="56">
        <f t="shared" si="223"/>
        <v>0</v>
      </c>
      <c r="AB760" s="56">
        <f t="shared" si="223"/>
        <v>0</v>
      </c>
      <c r="AC760" s="56">
        <f t="shared" si="223"/>
        <v>0</v>
      </c>
      <c r="AD760" s="56">
        <f t="shared" si="223"/>
        <v>0</v>
      </c>
      <c r="AE760" s="56">
        <f t="shared" si="223"/>
        <v>0</v>
      </c>
      <c r="AF760" s="56">
        <f t="shared" si="223"/>
        <v>0</v>
      </c>
      <c r="AG760" s="56">
        <f t="shared" si="223"/>
        <v>0</v>
      </c>
      <c r="AH760" s="56">
        <f t="shared" si="223"/>
        <v>0</v>
      </c>
      <c r="AI760" s="56">
        <f t="shared" si="223"/>
        <v>0</v>
      </c>
      <c r="AJ760" s="56">
        <f t="shared" si="223"/>
        <v>0</v>
      </c>
      <c r="AK760" s="56">
        <f t="shared" si="223"/>
        <v>0</v>
      </c>
      <c r="AL760" s="56">
        <f t="shared" si="223"/>
        <v>0</v>
      </c>
      <c r="AM760" s="56">
        <f t="shared" si="223"/>
        <v>0</v>
      </c>
      <c r="AN760" s="56">
        <f t="shared" si="223"/>
        <v>0</v>
      </c>
      <c r="AO760" s="56">
        <f t="shared" si="223"/>
        <v>0</v>
      </c>
      <c r="AP760" s="56">
        <f t="shared" si="223"/>
        <v>0</v>
      </c>
      <c r="AQ760" s="56">
        <f t="shared" si="223"/>
        <v>0</v>
      </c>
    </row>
    <row r="761" spans="1:43" outlineLevel="1" x14ac:dyDescent="0.25">
      <c r="A761" s="54"/>
      <c r="B761" s="13"/>
      <c r="C761" s="14" t="s">
        <v>214</v>
      </c>
      <c r="D761" s="14"/>
      <c r="E761" s="70" t="s">
        <v>352</v>
      </c>
      <c r="F761" s="201">
        <f>Data!E562/1000</f>
        <v>4.1011833239969993E-5</v>
      </c>
      <c r="G761" s="56"/>
      <c r="H761" s="56"/>
      <c r="I761" s="56">
        <f>I$753*$F$761</f>
        <v>3.8387075912611914</v>
      </c>
      <c r="J761" s="56">
        <f t="shared" ref="J761:AQ761" si="224">J$753*$F$761</f>
        <v>3.8387075912611914</v>
      </c>
      <c r="K761" s="56">
        <f t="shared" si="224"/>
        <v>3.8387075912611914</v>
      </c>
      <c r="L761" s="56">
        <f t="shared" si="224"/>
        <v>3.8387075912611914</v>
      </c>
      <c r="M761" s="56">
        <f t="shared" si="224"/>
        <v>3.8387075912611914</v>
      </c>
      <c r="N761" s="56">
        <f t="shared" si="224"/>
        <v>3.8387075912611914</v>
      </c>
      <c r="O761" s="56">
        <f t="shared" si="224"/>
        <v>3.8387075912611914</v>
      </c>
      <c r="P761" s="56">
        <f t="shared" si="224"/>
        <v>3.8387075912611914</v>
      </c>
      <c r="Q761" s="56">
        <f t="shared" si="224"/>
        <v>3.8387075912611914</v>
      </c>
      <c r="R761" s="56">
        <f t="shared" si="224"/>
        <v>3.8387075912611914</v>
      </c>
      <c r="S761" s="56">
        <f t="shared" si="224"/>
        <v>3.8387075912611914</v>
      </c>
      <c r="T761" s="56">
        <f t="shared" si="224"/>
        <v>3.8387075912611914</v>
      </c>
      <c r="U761" s="56">
        <f t="shared" si="224"/>
        <v>0</v>
      </c>
      <c r="V761" s="56">
        <f t="shared" si="224"/>
        <v>0</v>
      </c>
      <c r="W761" s="56">
        <f t="shared" si="224"/>
        <v>0</v>
      </c>
      <c r="X761" s="56">
        <f t="shared" si="224"/>
        <v>0</v>
      </c>
      <c r="Y761" s="56">
        <f t="shared" si="224"/>
        <v>0</v>
      </c>
      <c r="Z761" s="56">
        <f t="shared" si="224"/>
        <v>0</v>
      </c>
      <c r="AA761" s="56">
        <f t="shared" si="224"/>
        <v>0</v>
      </c>
      <c r="AB761" s="56">
        <f t="shared" si="224"/>
        <v>0</v>
      </c>
      <c r="AC761" s="56">
        <f t="shared" si="224"/>
        <v>0</v>
      </c>
      <c r="AD761" s="56">
        <f t="shared" si="224"/>
        <v>0</v>
      </c>
      <c r="AE761" s="56">
        <f t="shared" si="224"/>
        <v>0</v>
      </c>
      <c r="AF761" s="56">
        <f t="shared" si="224"/>
        <v>0</v>
      </c>
      <c r="AG761" s="56">
        <f t="shared" si="224"/>
        <v>0</v>
      </c>
      <c r="AH761" s="56">
        <f t="shared" si="224"/>
        <v>0</v>
      </c>
      <c r="AI761" s="56">
        <f t="shared" si="224"/>
        <v>0</v>
      </c>
      <c r="AJ761" s="56">
        <f t="shared" si="224"/>
        <v>0</v>
      </c>
      <c r="AK761" s="56">
        <f t="shared" si="224"/>
        <v>0</v>
      </c>
      <c r="AL761" s="56">
        <f t="shared" si="224"/>
        <v>0</v>
      </c>
      <c r="AM761" s="56">
        <f t="shared" si="224"/>
        <v>0</v>
      </c>
      <c r="AN761" s="56">
        <f t="shared" si="224"/>
        <v>0</v>
      </c>
      <c r="AO761" s="56">
        <f t="shared" si="224"/>
        <v>0</v>
      </c>
      <c r="AP761" s="56">
        <f t="shared" si="224"/>
        <v>0</v>
      </c>
      <c r="AQ761" s="56">
        <f t="shared" si="224"/>
        <v>0</v>
      </c>
    </row>
    <row r="762" spans="1:43" outlineLevel="1" x14ac:dyDescent="0.25">
      <c r="A762" s="12"/>
      <c r="B762" s="13"/>
      <c r="C762" s="14"/>
      <c r="D762" s="14"/>
      <c r="E762" s="15"/>
      <c r="F762" s="16"/>
      <c r="G762" s="159"/>
      <c r="H762" s="159"/>
      <c r="I762" s="159"/>
      <c r="J762" s="159"/>
      <c r="K762" s="159"/>
      <c r="L762" s="159"/>
      <c r="M762" s="159"/>
      <c r="N762" s="159"/>
      <c r="O762" s="159"/>
      <c r="P762" s="159"/>
      <c r="Q762" s="159"/>
      <c r="R762" s="159"/>
      <c r="S762" s="159"/>
      <c r="T762" s="159"/>
      <c r="U762" s="159"/>
      <c r="V762" s="159"/>
      <c r="W762" s="159"/>
      <c r="X762" s="14"/>
      <c r="Y762" s="14"/>
      <c r="Z762" s="14"/>
      <c r="AA762" s="14"/>
      <c r="AB762" s="14"/>
      <c r="AC762" s="14"/>
      <c r="AD762" s="14"/>
      <c r="AE762" s="14"/>
      <c r="AF762" s="14"/>
      <c r="AG762" s="14"/>
      <c r="AH762" s="14"/>
      <c r="AI762" s="14"/>
      <c r="AJ762" s="14"/>
      <c r="AK762" s="14"/>
      <c r="AL762" s="14"/>
      <c r="AM762" s="14"/>
      <c r="AN762" s="14"/>
      <c r="AO762" s="14"/>
      <c r="AP762" s="14"/>
    </row>
    <row r="763" spans="1:43" outlineLevel="1" x14ac:dyDescent="0.25">
      <c r="A763" s="54"/>
      <c r="B763" s="13"/>
      <c r="C763" s="14" t="s">
        <v>205</v>
      </c>
      <c r="D763" s="14"/>
      <c r="E763" s="70" t="s">
        <v>474</v>
      </c>
      <c r="F763" s="200">
        <f>Data!$E$35/1000</f>
        <v>3.4099438202247192E-3</v>
      </c>
      <c r="G763" s="56"/>
      <c r="H763" s="56"/>
      <c r="I763" s="56">
        <f>I755*$F$763</f>
        <v>0.96093868933092119</v>
      </c>
      <c r="J763" s="56">
        <f t="shared" ref="J763:AP763" si="225">J755*$F$497</f>
        <v>0.96093868933092119</v>
      </c>
      <c r="K763" s="56">
        <f t="shared" si="225"/>
        <v>0.96093868933092119</v>
      </c>
      <c r="L763" s="56">
        <f t="shared" si="225"/>
        <v>0.96093868933092119</v>
      </c>
      <c r="M763" s="56">
        <f t="shared" si="225"/>
        <v>0.96093868933092119</v>
      </c>
      <c r="N763" s="56">
        <f t="shared" si="225"/>
        <v>0.96093868933092119</v>
      </c>
      <c r="O763" s="56">
        <f t="shared" si="225"/>
        <v>0.96093868933092119</v>
      </c>
      <c r="P763" s="56">
        <f t="shared" si="225"/>
        <v>0.96093868933092119</v>
      </c>
      <c r="Q763" s="56">
        <f t="shared" si="225"/>
        <v>0.96093868933092119</v>
      </c>
      <c r="R763" s="56">
        <f t="shared" si="225"/>
        <v>0.96093868933092119</v>
      </c>
      <c r="S763" s="56">
        <f t="shared" si="225"/>
        <v>0.96093868933092119</v>
      </c>
      <c r="T763" s="56">
        <f t="shared" si="225"/>
        <v>0.96093868933092119</v>
      </c>
      <c r="U763" s="56">
        <f t="shared" si="225"/>
        <v>0</v>
      </c>
      <c r="V763" s="56">
        <f t="shared" si="225"/>
        <v>0</v>
      </c>
      <c r="W763" s="56">
        <f t="shared" si="225"/>
        <v>0</v>
      </c>
      <c r="X763" s="56">
        <f t="shared" si="225"/>
        <v>0</v>
      </c>
      <c r="Y763" s="56">
        <f t="shared" si="225"/>
        <v>0</v>
      </c>
      <c r="Z763" s="56">
        <f t="shared" si="225"/>
        <v>0</v>
      </c>
      <c r="AA763" s="56">
        <f t="shared" si="225"/>
        <v>0</v>
      </c>
      <c r="AB763" s="56">
        <f t="shared" si="225"/>
        <v>0</v>
      </c>
      <c r="AC763" s="56">
        <f t="shared" si="225"/>
        <v>0</v>
      </c>
      <c r="AD763" s="56">
        <f t="shared" si="225"/>
        <v>0</v>
      </c>
      <c r="AE763" s="56">
        <f t="shared" si="225"/>
        <v>0</v>
      </c>
      <c r="AF763" s="56">
        <f t="shared" si="225"/>
        <v>0</v>
      </c>
      <c r="AG763" s="56">
        <f t="shared" si="225"/>
        <v>0</v>
      </c>
      <c r="AH763" s="56">
        <f t="shared" si="225"/>
        <v>0</v>
      </c>
      <c r="AI763" s="56">
        <f t="shared" si="225"/>
        <v>0</v>
      </c>
      <c r="AJ763" s="56">
        <f t="shared" si="225"/>
        <v>0</v>
      </c>
      <c r="AK763" s="56">
        <f t="shared" si="225"/>
        <v>0</v>
      </c>
      <c r="AL763" s="56">
        <f t="shared" si="225"/>
        <v>0</v>
      </c>
      <c r="AM763" s="56">
        <f t="shared" si="225"/>
        <v>0</v>
      </c>
      <c r="AN763" s="56">
        <f t="shared" si="225"/>
        <v>0</v>
      </c>
      <c r="AO763" s="56">
        <f t="shared" si="225"/>
        <v>0</v>
      </c>
      <c r="AP763" s="56">
        <f t="shared" si="225"/>
        <v>0</v>
      </c>
    </row>
    <row r="764" spans="1:43" outlineLevel="1" x14ac:dyDescent="0.25">
      <c r="A764" s="54"/>
      <c r="B764" s="13"/>
      <c r="C764" s="14" t="s">
        <v>484</v>
      </c>
      <c r="D764" s="14"/>
      <c r="E764" s="70" t="s">
        <v>474</v>
      </c>
      <c r="F764" s="200"/>
      <c r="G764" s="56"/>
      <c r="H764" s="56"/>
      <c r="I764" s="56">
        <f>I756*Data!H$16/1000</f>
        <v>20487.239203863173</v>
      </c>
      <c r="J764" s="56">
        <f>J756*Data!I$16/1000</f>
        <v>22599.325719725355</v>
      </c>
      <c r="K764" s="56">
        <f>K756*Data!J$16/1000</f>
        <v>24500.203584001316</v>
      </c>
      <c r="L764" s="56">
        <f>L756*Data!K$16/1000</f>
        <v>26612.290099863501</v>
      </c>
      <c r="M764" s="56">
        <f>M756*Data!L$16/1000</f>
        <v>28724.376615725683</v>
      </c>
      <c r="N764" s="56">
        <f>N756*Data!M$16/1000</f>
        <v>30836.463131587865</v>
      </c>
      <c r="O764" s="56">
        <f>O756*Data!N$16/1000</f>
        <v>32737.340995863833</v>
      </c>
      <c r="P764" s="56">
        <f>P756*Data!O$16/1000</f>
        <v>34004.592905381141</v>
      </c>
      <c r="Q764" s="56">
        <f>Q756*Data!P$16/1000</f>
        <v>35271.844814898453</v>
      </c>
      <c r="R764" s="56">
        <f>R756*Data!Q$16/1000</f>
        <v>36750.305376001976</v>
      </c>
      <c r="S764" s="56">
        <f>S756*Data!R$16/1000</f>
        <v>38017.557285519288</v>
      </c>
      <c r="T764" s="56">
        <f>T756*Data!S$16/1000</f>
        <v>39284.8091950366</v>
      </c>
      <c r="U764" s="56">
        <f>U756*Data!T$16/1000</f>
        <v>0</v>
      </c>
      <c r="V764" s="56">
        <f>V756*Data!U$16/1000</f>
        <v>0</v>
      </c>
      <c r="W764" s="56">
        <f>W756*Data!V$16/1000</f>
        <v>0</v>
      </c>
      <c r="X764" s="56">
        <f>X756*Data!W$16/1000</f>
        <v>0</v>
      </c>
      <c r="Y764" s="56">
        <f>Y756*Data!X$16/1000</f>
        <v>0</v>
      </c>
      <c r="Z764" s="56">
        <f>Z756*Data!Y$16/1000</f>
        <v>0</v>
      </c>
      <c r="AA764" s="56">
        <f>AA756*Data!Z$16/1000</f>
        <v>0</v>
      </c>
      <c r="AB764" s="56">
        <f>AB756*Data!AA$16/1000</f>
        <v>0</v>
      </c>
      <c r="AC764" s="56">
        <f>AC756*Data!AB$16/1000</f>
        <v>0</v>
      </c>
      <c r="AD764" s="56">
        <f>AD756*Data!AC$16/1000</f>
        <v>0</v>
      </c>
      <c r="AE764" s="56">
        <f>AE756*Data!AD$16/1000</f>
        <v>0</v>
      </c>
      <c r="AF764" s="56">
        <f>AF756*Data!AE$16/1000</f>
        <v>0</v>
      </c>
      <c r="AG764" s="56">
        <f>AG756*Data!AF$16/1000</f>
        <v>0</v>
      </c>
      <c r="AH764" s="56">
        <f>AH756*Data!AG$16/1000</f>
        <v>0</v>
      </c>
      <c r="AI764" s="56">
        <f>AI756*Data!AH$16/1000</f>
        <v>0</v>
      </c>
      <c r="AJ764" s="56">
        <f>AJ756*Data!AI$16/1000</f>
        <v>0</v>
      </c>
      <c r="AK764" s="56">
        <f>AK756*Data!AJ$16/1000</f>
        <v>0</v>
      </c>
      <c r="AL764" s="56">
        <f>AL756*Data!AK$16/1000</f>
        <v>0</v>
      </c>
      <c r="AM764" s="56">
        <f>AM756*Data!AL$16/1000</f>
        <v>0</v>
      </c>
      <c r="AN764" s="56">
        <f>AN756*Data!AM$16/1000</f>
        <v>0</v>
      </c>
      <c r="AO764" s="56">
        <f>AO756*Data!AN$16/1000</f>
        <v>0</v>
      </c>
      <c r="AP764" s="56">
        <f>AP756*Data!AO$16/1000</f>
        <v>0</v>
      </c>
    </row>
    <row r="765" spans="1:43" outlineLevel="1" x14ac:dyDescent="0.25">
      <c r="A765" s="54"/>
      <c r="B765" s="13"/>
      <c r="C765" s="14" t="s">
        <v>285</v>
      </c>
      <c r="D765" s="14"/>
      <c r="E765" s="70" t="s">
        <v>474</v>
      </c>
      <c r="F765" s="200">
        <f>Data!$E$36/1000</f>
        <v>1.0822865168539326</v>
      </c>
      <c r="G765" s="56"/>
      <c r="H765" s="56"/>
      <c r="I765" s="56">
        <f>I757*$F$765</f>
        <v>24.996134748427973</v>
      </c>
      <c r="J765" s="56">
        <f t="shared" ref="J765:AP765" si="226">J757*$F$499</f>
        <v>24.996134748427973</v>
      </c>
      <c r="K765" s="56">
        <f t="shared" si="226"/>
        <v>24.996134748427973</v>
      </c>
      <c r="L765" s="56">
        <f t="shared" si="226"/>
        <v>24.996134748427973</v>
      </c>
      <c r="M765" s="56">
        <f t="shared" si="226"/>
        <v>24.996134748427973</v>
      </c>
      <c r="N765" s="56">
        <f t="shared" si="226"/>
        <v>24.996134748427973</v>
      </c>
      <c r="O765" s="56">
        <f t="shared" si="226"/>
        <v>24.996134748427973</v>
      </c>
      <c r="P765" s="56">
        <f t="shared" si="226"/>
        <v>24.996134748427973</v>
      </c>
      <c r="Q765" s="56">
        <f t="shared" si="226"/>
        <v>24.996134748427973</v>
      </c>
      <c r="R765" s="56">
        <f t="shared" si="226"/>
        <v>24.996134748427973</v>
      </c>
      <c r="S765" s="56">
        <f t="shared" si="226"/>
        <v>24.996134748427973</v>
      </c>
      <c r="T765" s="56">
        <f t="shared" si="226"/>
        <v>24.996134748427973</v>
      </c>
      <c r="U765" s="56">
        <f t="shared" si="226"/>
        <v>0</v>
      </c>
      <c r="V765" s="56">
        <f t="shared" si="226"/>
        <v>0</v>
      </c>
      <c r="W765" s="56">
        <f t="shared" si="226"/>
        <v>0</v>
      </c>
      <c r="X765" s="56">
        <f t="shared" si="226"/>
        <v>0</v>
      </c>
      <c r="Y765" s="56">
        <f t="shared" si="226"/>
        <v>0</v>
      </c>
      <c r="Z765" s="56">
        <f t="shared" si="226"/>
        <v>0</v>
      </c>
      <c r="AA765" s="56">
        <f t="shared" si="226"/>
        <v>0</v>
      </c>
      <c r="AB765" s="56">
        <f t="shared" si="226"/>
        <v>0</v>
      </c>
      <c r="AC765" s="56">
        <f t="shared" si="226"/>
        <v>0</v>
      </c>
      <c r="AD765" s="56">
        <f t="shared" si="226"/>
        <v>0</v>
      </c>
      <c r="AE765" s="56">
        <f t="shared" si="226"/>
        <v>0</v>
      </c>
      <c r="AF765" s="56">
        <f t="shared" si="226"/>
        <v>0</v>
      </c>
      <c r="AG765" s="56">
        <f t="shared" si="226"/>
        <v>0</v>
      </c>
      <c r="AH765" s="56">
        <f t="shared" si="226"/>
        <v>0</v>
      </c>
      <c r="AI765" s="56">
        <f t="shared" si="226"/>
        <v>0</v>
      </c>
      <c r="AJ765" s="56">
        <f t="shared" si="226"/>
        <v>0</v>
      </c>
      <c r="AK765" s="56">
        <f t="shared" si="226"/>
        <v>0</v>
      </c>
      <c r="AL765" s="56">
        <f t="shared" si="226"/>
        <v>0</v>
      </c>
      <c r="AM765" s="56">
        <f t="shared" si="226"/>
        <v>0</v>
      </c>
      <c r="AN765" s="56">
        <f t="shared" si="226"/>
        <v>0</v>
      </c>
      <c r="AO765" s="56">
        <f t="shared" si="226"/>
        <v>0</v>
      </c>
      <c r="AP765" s="56">
        <f t="shared" si="226"/>
        <v>0</v>
      </c>
    </row>
    <row r="766" spans="1:43" outlineLevel="1" x14ac:dyDescent="0.25">
      <c r="A766" s="54"/>
      <c r="B766" s="13"/>
      <c r="C766" s="14" t="s">
        <v>220</v>
      </c>
      <c r="D766" s="14"/>
      <c r="E766" s="70" t="s">
        <v>474</v>
      </c>
      <c r="F766" s="200">
        <f>Data!$E$37/1000</f>
        <v>371.00188764044947</v>
      </c>
      <c r="G766" s="56"/>
      <c r="H766" s="56"/>
      <c r="I766" s="56">
        <f>I758*$F$766</f>
        <v>360695.91892811091</v>
      </c>
      <c r="J766" s="56">
        <f t="shared" ref="J766:AP766" si="227">J758*$F$500</f>
        <v>360695.91892811091</v>
      </c>
      <c r="K766" s="56">
        <f t="shared" si="227"/>
        <v>360695.91892811091</v>
      </c>
      <c r="L766" s="56">
        <f t="shared" si="227"/>
        <v>360695.91892811091</v>
      </c>
      <c r="M766" s="56">
        <f t="shared" si="227"/>
        <v>360695.91892811091</v>
      </c>
      <c r="N766" s="56">
        <f t="shared" si="227"/>
        <v>360695.91892811091</v>
      </c>
      <c r="O766" s="56">
        <f t="shared" si="227"/>
        <v>360695.91892811091</v>
      </c>
      <c r="P766" s="56">
        <f t="shared" si="227"/>
        <v>360695.91892811091</v>
      </c>
      <c r="Q766" s="56">
        <f t="shared" si="227"/>
        <v>360695.91892811091</v>
      </c>
      <c r="R766" s="56">
        <f t="shared" si="227"/>
        <v>360695.91892811091</v>
      </c>
      <c r="S766" s="56">
        <f t="shared" si="227"/>
        <v>360695.91892811091</v>
      </c>
      <c r="T766" s="56">
        <f t="shared" si="227"/>
        <v>360695.91892811091</v>
      </c>
      <c r="U766" s="56">
        <f t="shared" si="227"/>
        <v>0</v>
      </c>
      <c r="V766" s="56">
        <f t="shared" si="227"/>
        <v>0</v>
      </c>
      <c r="W766" s="56">
        <f t="shared" si="227"/>
        <v>0</v>
      </c>
      <c r="X766" s="56">
        <f t="shared" si="227"/>
        <v>0</v>
      </c>
      <c r="Y766" s="56">
        <f t="shared" si="227"/>
        <v>0</v>
      </c>
      <c r="Z766" s="56">
        <f t="shared" si="227"/>
        <v>0</v>
      </c>
      <c r="AA766" s="56">
        <f t="shared" si="227"/>
        <v>0</v>
      </c>
      <c r="AB766" s="56">
        <f t="shared" si="227"/>
        <v>0</v>
      </c>
      <c r="AC766" s="56">
        <f t="shared" si="227"/>
        <v>0</v>
      </c>
      <c r="AD766" s="56">
        <f t="shared" si="227"/>
        <v>0</v>
      </c>
      <c r="AE766" s="56">
        <f t="shared" si="227"/>
        <v>0</v>
      </c>
      <c r="AF766" s="56">
        <f t="shared" si="227"/>
        <v>0</v>
      </c>
      <c r="AG766" s="56">
        <f t="shared" si="227"/>
        <v>0</v>
      </c>
      <c r="AH766" s="56">
        <f t="shared" si="227"/>
        <v>0</v>
      </c>
      <c r="AI766" s="56">
        <f t="shared" si="227"/>
        <v>0</v>
      </c>
      <c r="AJ766" s="56">
        <f t="shared" si="227"/>
        <v>0</v>
      </c>
      <c r="AK766" s="56">
        <f t="shared" si="227"/>
        <v>0</v>
      </c>
      <c r="AL766" s="56">
        <f t="shared" si="227"/>
        <v>0</v>
      </c>
      <c r="AM766" s="56">
        <f t="shared" si="227"/>
        <v>0</v>
      </c>
      <c r="AN766" s="56">
        <f t="shared" si="227"/>
        <v>0</v>
      </c>
      <c r="AO766" s="56">
        <f t="shared" si="227"/>
        <v>0</v>
      </c>
      <c r="AP766" s="56">
        <f t="shared" si="227"/>
        <v>0</v>
      </c>
    </row>
    <row r="767" spans="1:43" outlineLevel="1" x14ac:dyDescent="0.25">
      <c r="A767" s="54"/>
      <c r="B767" s="13"/>
      <c r="C767" s="14" t="s">
        <v>212</v>
      </c>
      <c r="D767" s="14"/>
      <c r="E767" s="70" t="s">
        <v>474</v>
      </c>
      <c r="F767" s="200">
        <f>Data!$E$39/1000</f>
        <v>0</v>
      </c>
      <c r="G767" s="56"/>
      <c r="H767" s="56"/>
      <c r="I767" s="56">
        <f>I759*$F$767</f>
        <v>0</v>
      </c>
      <c r="J767" s="56">
        <f t="shared" ref="J767:AP767" si="228">J759*$F$501</f>
        <v>0</v>
      </c>
      <c r="K767" s="56">
        <f t="shared" si="228"/>
        <v>0</v>
      </c>
      <c r="L767" s="56">
        <f t="shared" si="228"/>
        <v>0</v>
      </c>
      <c r="M767" s="56">
        <f t="shared" si="228"/>
        <v>0</v>
      </c>
      <c r="N767" s="56">
        <f t="shared" si="228"/>
        <v>0</v>
      </c>
      <c r="O767" s="56">
        <f t="shared" si="228"/>
        <v>0</v>
      </c>
      <c r="P767" s="56">
        <f t="shared" si="228"/>
        <v>0</v>
      </c>
      <c r="Q767" s="56">
        <f t="shared" si="228"/>
        <v>0</v>
      </c>
      <c r="R767" s="56">
        <f t="shared" si="228"/>
        <v>0</v>
      </c>
      <c r="S767" s="56">
        <f t="shared" si="228"/>
        <v>0</v>
      </c>
      <c r="T767" s="56">
        <f t="shared" si="228"/>
        <v>0</v>
      </c>
      <c r="U767" s="56">
        <f t="shared" si="228"/>
        <v>0</v>
      </c>
      <c r="V767" s="56">
        <f t="shared" si="228"/>
        <v>0</v>
      </c>
      <c r="W767" s="56">
        <f t="shared" si="228"/>
        <v>0</v>
      </c>
      <c r="X767" s="56">
        <f t="shared" si="228"/>
        <v>0</v>
      </c>
      <c r="Y767" s="56">
        <f t="shared" si="228"/>
        <v>0</v>
      </c>
      <c r="Z767" s="56">
        <f t="shared" si="228"/>
        <v>0</v>
      </c>
      <c r="AA767" s="56">
        <f t="shared" si="228"/>
        <v>0</v>
      </c>
      <c r="AB767" s="56">
        <f t="shared" si="228"/>
        <v>0</v>
      </c>
      <c r="AC767" s="56">
        <f t="shared" si="228"/>
        <v>0</v>
      </c>
      <c r="AD767" s="56">
        <f t="shared" si="228"/>
        <v>0</v>
      </c>
      <c r="AE767" s="56">
        <f t="shared" si="228"/>
        <v>0</v>
      </c>
      <c r="AF767" s="56">
        <f t="shared" si="228"/>
        <v>0</v>
      </c>
      <c r="AG767" s="56">
        <f t="shared" si="228"/>
        <v>0</v>
      </c>
      <c r="AH767" s="56">
        <f t="shared" si="228"/>
        <v>0</v>
      </c>
      <c r="AI767" s="56">
        <f t="shared" si="228"/>
        <v>0</v>
      </c>
      <c r="AJ767" s="56">
        <f t="shared" si="228"/>
        <v>0</v>
      </c>
      <c r="AK767" s="56">
        <f t="shared" si="228"/>
        <v>0</v>
      </c>
      <c r="AL767" s="56">
        <f t="shared" si="228"/>
        <v>0</v>
      </c>
      <c r="AM767" s="56">
        <f t="shared" si="228"/>
        <v>0</v>
      </c>
      <c r="AN767" s="56">
        <f t="shared" si="228"/>
        <v>0</v>
      </c>
      <c r="AO767" s="56">
        <f t="shared" si="228"/>
        <v>0</v>
      </c>
      <c r="AP767" s="56">
        <f t="shared" si="228"/>
        <v>0</v>
      </c>
    </row>
    <row r="768" spans="1:43" outlineLevel="1" x14ac:dyDescent="0.25">
      <c r="A768" s="54"/>
      <c r="B768" s="13"/>
      <c r="C768" s="14" t="s">
        <v>485</v>
      </c>
      <c r="D768" s="14"/>
      <c r="E768" s="70" t="s">
        <v>474</v>
      </c>
      <c r="F768" s="200">
        <f>Data!$E$40/1000</f>
        <v>605.20914606741576</v>
      </c>
      <c r="G768" s="56"/>
      <c r="H768" s="56"/>
      <c r="I768" s="56">
        <f>I760*$F$768</f>
        <v>16350.387471199676</v>
      </c>
      <c r="J768" s="56">
        <f t="shared" ref="J768:AP768" si="229">J760*$F$502</f>
        <v>16350.387471199676</v>
      </c>
      <c r="K768" s="56">
        <f t="shared" si="229"/>
        <v>16350.387471199676</v>
      </c>
      <c r="L768" s="56">
        <f t="shared" si="229"/>
        <v>16350.387471199676</v>
      </c>
      <c r="M768" s="56">
        <f t="shared" si="229"/>
        <v>16350.387471199676</v>
      </c>
      <c r="N768" s="56">
        <f t="shared" si="229"/>
        <v>16350.387471199676</v>
      </c>
      <c r="O768" s="56">
        <f t="shared" si="229"/>
        <v>16350.387471199676</v>
      </c>
      <c r="P768" s="56">
        <f t="shared" si="229"/>
        <v>16350.387471199676</v>
      </c>
      <c r="Q768" s="56">
        <f t="shared" si="229"/>
        <v>16350.387471199676</v>
      </c>
      <c r="R768" s="56">
        <f t="shared" si="229"/>
        <v>16350.387471199676</v>
      </c>
      <c r="S768" s="56">
        <f t="shared" si="229"/>
        <v>16350.387471199676</v>
      </c>
      <c r="T768" s="56">
        <f t="shared" si="229"/>
        <v>16350.387471199676</v>
      </c>
      <c r="U768" s="56">
        <f t="shared" si="229"/>
        <v>0</v>
      </c>
      <c r="V768" s="56">
        <f t="shared" si="229"/>
        <v>0</v>
      </c>
      <c r="W768" s="56">
        <f t="shared" si="229"/>
        <v>0</v>
      </c>
      <c r="X768" s="56">
        <f t="shared" si="229"/>
        <v>0</v>
      </c>
      <c r="Y768" s="56">
        <f t="shared" si="229"/>
        <v>0</v>
      </c>
      <c r="Z768" s="56">
        <f t="shared" si="229"/>
        <v>0</v>
      </c>
      <c r="AA768" s="56">
        <f t="shared" si="229"/>
        <v>0</v>
      </c>
      <c r="AB768" s="56">
        <f t="shared" si="229"/>
        <v>0</v>
      </c>
      <c r="AC768" s="56">
        <f t="shared" si="229"/>
        <v>0</v>
      </c>
      <c r="AD768" s="56">
        <f t="shared" si="229"/>
        <v>0</v>
      </c>
      <c r="AE768" s="56">
        <f t="shared" si="229"/>
        <v>0</v>
      </c>
      <c r="AF768" s="56">
        <f t="shared" si="229"/>
        <v>0</v>
      </c>
      <c r="AG768" s="56">
        <f t="shared" si="229"/>
        <v>0</v>
      </c>
      <c r="AH768" s="56">
        <f t="shared" si="229"/>
        <v>0</v>
      </c>
      <c r="AI768" s="56">
        <f t="shared" si="229"/>
        <v>0</v>
      </c>
      <c r="AJ768" s="56">
        <f t="shared" si="229"/>
        <v>0</v>
      </c>
      <c r="AK768" s="56">
        <f t="shared" si="229"/>
        <v>0</v>
      </c>
      <c r="AL768" s="56">
        <f t="shared" si="229"/>
        <v>0</v>
      </c>
      <c r="AM768" s="56">
        <f t="shared" si="229"/>
        <v>0</v>
      </c>
      <c r="AN768" s="56">
        <f t="shared" si="229"/>
        <v>0</v>
      </c>
      <c r="AO768" s="56">
        <f t="shared" si="229"/>
        <v>0</v>
      </c>
      <c r="AP768" s="56">
        <f t="shared" si="229"/>
        <v>0</v>
      </c>
    </row>
    <row r="769" spans="1:42" outlineLevel="1" x14ac:dyDescent="0.25">
      <c r="A769" s="54"/>
      <c r="B769" s="13"/>
      <c r="C769" s="14" t="s">
        <v>214</v>
      </c>
      <c r="D769" s="14"/>
      <c r="E769" s="70" t="s">
        <v>474</v>
      </c>
      <c r="F769" s="200">
        <f>Data!$E$41/1000</f>
        <v>0</v>
      </c>
      <c r="G769" s="56"/>
      <c r="H769" s="56"/>
      <c r="I769" s="56">
        <f>I761*$F$769</f>
        <v>0</v>
      </c>
      <c r="J769" s="56">
        <f t="shared" ref="J769:AP769" si="230">J761*$F$503</f>
        <v>0</v>
      </c>
      <c r="K769" s="56">
        <f t="shared" si="230"/>
        <v>0</v>
      </c>
      <c r="L769" s="56">
        <f t="shared" si="230"/>
        <v>0</v>
      </c>
      <c r="M769" s="56">
        <f t="shared" si="230"/>
        <v>0</v>
      </c>
      <c r="N769" s="56">
        <f t="shared" si="230"/>
        <v>0</v>
      </c>
      <c r="O769" s="56">
        <f t="shared" si="230"/>
        <v>0</v>
      </c>
      <c r="P769" s="56">
        <f t="shared" si="230"/>
        <v>0</v>
      </c>
      <c r="Q769" s="56">
        <f t="shared" si="230"/>
        <v>0</v>
      </c>
      <c r="R769" s="56">
        <f t="shared" si="230"/>
        <v>0</v>
      </c>
      <c r="S769" s="56">
        <f t="shared" si="230"/>
        <v>0</v>
      </c>
      <c r="T769" s="56">
        <f t="shared" si="230"/>
        <v>0</v>
      </c>
      <c r="U769" s="56">
        <f t="shared" si="230"/>
        <v>0</v>
      </c>
      <c r="V769" s="56">
        <f t="shared" si="230"/>
        <v>0</v>
      </c>
      <c r="W769" s="56">
        <f t="shared" si="230"/>
        <v>0</v>
      </c>
      <c r="X769" s="56">
        <f t="shared" si="230"/>
        <v>0</v>
      </c>
      <c r="Y769" s="56">
        <f t="shared" si="230"/>
        <v>0</v>
      </c>
      <c r="Z769" s="56">
        <f t="shared" si="230"/>
        <v>0</v>
      </c>
      <c r="AA769" s="56">
        <f t="shared" si="230"/>
        <v>0</v>
      </c>
      <c r="AB769" s="56">
        <f t="shared" si="230"/>
        <v>0</v>
      </c>
      <c r="AC769" s="56">
        <f t="shared" si="230"/>
        <v>0</v>
      </c>
      <c r="AD769" s="56">
        <f t="shared" si="230"/>
        <v>0</v>
      </c>
      <c r="AE769" s="56">
        <f t="shared" si="230"/>
        <v>0</v>
      </c>
      <c r="AF769" s="56">
        <f t="shared" si="230"/>
        <v>0</v>
      </c>
      <c r="AG769" s="56">
        <f t="shared" si="230"/>
        <v>0</v>
      </c>
      <c r="AH769" s="56">
        <f t="shared" si="230"/>
        <v>0</v>
      </c>
      <c r="AI769" s="56">
        <f t="shared" si="230"/>
        <v>0</v>
      </c>
      <c r="AJ769" s="56">
        <f t="shared" si="230"/>
        <v>0</v>
      </c>
      <c r="AK769" s="56">
        <f t="shared" si="230"/>
        <v>0</v>
      </c>
      <c r="AL769" s="56">
        <f t="shared" si="230"/>
        <v>0</v>
      </c>
      <c r="AM769" s="56">
        <f t="shared" si="230"/>
        <v>0</v>
      </c>
      <c r="AN769" s="56">
        <f t="shared" si="230"/>
        <v>0</v>
      </c>
      <c r="AO769" s="56">
        <f t="shared" si="230"/>
        <v>0</v>
      </c>
      <c r="AP769" s="56">
        <f t="shared" si="230"/>
        <v>0</v>
      </c>
    </row>
    <row r="770" spans="1:42" ht="13.5" customHeight="1" outlineLevel="1" x14ac:dyDescent="0.25">
      <c r="A770" s="12"/>
      <c r="B770" s="13"/>
      <c r="C770" s="20" t="s">
        <v>536</v>
      </c>
      <c r="D770" s="14"/>
      <c r="E770" s="70" t="s">
        <v>474</v>
      </c>
      <c r="F770" s="16"/>
      <c r="G770" s="159"/>
      <c r="H770" s="185"/>
      <c r="I770" s="185">
        <f>SUM(I763:I769)</f>
        <v>397559.50267661153</v>
      </c>
      <c r="J770" s="185">
        <f t="shared" ref="J770:AP770" si="231">SUM(J763:J769)</f>
        <v>399671.58919247368</v>
      </c>
      <c r="K770" s="185">
        <f t="shared" si="231"/>
        <v>401572.46705674968</v>
      </c>
      <c r="L770" s="185">
        <f t="shared" si="231"/>
        <v>403684.55357261183</v>
      </c>
      <c r="M770" s="185">
        <f t="shared" si="231"/>
        <v>405796.64008847403</v>
      </c>
      <c r="N770" s="185">
        <f t="shared" si="231"/>
        <v>407908.72660433623</v>
      </c>
      <c r="O770" s="185">
        <f t="shared" si="231"/>
        <v>409809.60446861217</v>
      </c>
      <c r="P770" s="185">
        <f t="shared" si="231"/>
        <v>411076.85637812951</v>
      </c>
      <c r="Q770" s="185">
        <f t="shared" si="231"/>
        <v>412344.10828764678</v>
      </c>
      <c r="R770" s="185">
        <f t="shared" si="231"/>
        <v>413822.56884875032</v>
      </c>
      <c r="S770" s="185">
        <f t="shared" si="231"/>
        <v>415089.82075826766</v>
      </c>
      <c r="T770" s="185">
        <f t="shared" si="231"/>
        <v>416357.07266778493</v>
      </c>
      <c r="U770" s="185">
        <f t="shared" si="231"/>
        <v>0</v>
      </c>
      <c r="V770" s="185">
        <f t="shared" si="231"/>
        <v>0</v>
      </c>
      <c r="W770" s="185">
        <f t="shared" si="231"/>
        <v>0</v>
      </c>
      <c r="X770" s="185">
        <f t="shared" si="231"/>
        <v>0</v>
      </c>
      <c r="Y770" s="185">
        <f t="shared" si="231"/>
        <v>0</v>
      </c>
      <c r="Z770" s="185">
        <f t="shared" si="231"/>
        <v>0</v>
      </c>
      <c r="AA770" s="185">
        <f t="shared" si="231"/>
        <v>0</v>
      </c>
      <c r="AB770" s="185">
        <f t="shared" si="231"/>
        <v>0</v>
      </c>
      <c r="AC770" s="185">
        <f t="shared" si="231"/>
        <v>0</v>
      </c>
      <c r="AD770" s="185">
        <f t="shared" si="231"/>
        <v>0</v>
      </c>
      <c r="AE770" s="185">
        <f t="shared" si="231"/>
        <v>0</v>
      </c>
      <c r="AF770" s="185">
        <f t="shared" si="231"/>
        <v>0</v>
      </c>
      <c r="AG770" s="185">
        <f t="shared" si="231"/>
        <v>0</v>
      </c>
      <c r="AH770" s="185">
        <f t="shared" si="231"/>
        <v>0</v>
      </c>
      <c r="AI770" s="185">
        <f t="shared" si="231"/>
        <v>0</v>
      </c>
      <c r="AJ770" s="185">
        <f t="shared" si="231"/>
        <v>0</v>
      </c>
      <c r="AK770" s="185">
        <f t="shared" si="231"/>
        <v>0</v>
      </c>
      <c r="AL770" s="185">
        <f t="shared" si="231"/>
        <v>0</v>
      </c>
      <c r="AM770" s="185">
        <f t="shared" si="231"/>
        <v>0</v>
      </c>
      <c r="AN770" s="185">
        <f t="shared" si="231"/>
        <v>0</v>
      </c>
      <c r="AO770" s="185">
        <f t="shared" si="231"/>
        <v>0</v>
      </c>
      <c r="AP770" s="185">
        <f t="shared" si="231"/>
        <v>0</v>
      </c>
    </row>
    <row r="771" spans="1:42" outlineLevel="1" x14ac:dyDescent="0.25">
      <c r="A771" s="12"/>
      <c r="B771" s="13"/>
      <c r="C771" s="14"/>
      <c r="D771" s="14"/>
      <c r="E771" s="15"/>
      <c r="F771" s="16"/>
      <c r="G771" s="159"/>
      <c r="H771" s="159"/>
      <c r="I771" s="159"/>
      <c r="J771" s="159"/>
      <c r="K771" s="159"/>
      <c r="L771" s="159"/>
      <c r="M771" s="159"/>
      <c r="N771" s="159"/>
      <c r="O771" s="159"/>
      <c r="P771" s="159"/>
      <c r="Q771" s="159"/>
      <c r="R771" s="159"/>
      <c r="S771" s="159"/>
      <c r="T771" s="159"/>
      <c r="U771" s="159"/>
      <c r="V771" s="159"/>
      <c r="W771" s="159"/>
      <c r="X771" s="14"/>
      <c r="Y771" s="14"/>
      <c r="Z771" s="14"/>
      <c r="AA771" s="14"/>
      <c r="AB771" s="14"/>
      <c r="AC771" s="14"/>
      <c r="AD771" s="14"/>
      <c r="AE771" s="14"/>
      <c r="AF771" s="14"/>
      <c r="AG771" s="14"/>
      <c r="AH771" s="14"/>
      <c r="AI771" s="14"/>
      <c r="AJ771" s="14"/>
      <c r="AK771" s="14"/>
      <c r="AL771" s="14"/>
      <c r="AM771" s="14"/>
      <c r="AN771" s="14"/>
      <c r="AO771" s="14"/>
      <c r="AP771" s="14"/>
    </row>
    <row r="772" spans="1:42" outlineLevel="1" x14ac:dyDescent="0.25">
      <c r="A772" s="12"/>
      <c r="B772" s="13"/>
      <c r="C772" s="14" t="s">
        <v>487</v>
      </c>
      <c r="D772" s="14"/>
      <c r="E772" s="15" t="s">
        <v>474</v>
      </c>
      <c r="F772" s="48"/>
      <c r="G772" s="185"/>
      <c r="H772" s="185"/>
      <c r="I772" s="185">
        <f>I770*Data!H$9</f>
        <v>382268.75257366488</v>
      </c>
      <c r="J772" s="185">
        <f>J770*Data!I$9</f>
        <v>369518.85095457989</v>
      </c>
      <c r="K772" s="185">
        <f>K770*Data!J$9</f>
        <v>356996.46095594636</v>
      </c>
      <c r="L772" s="185">
        <f>L770*Data!K$9</f>
        <v>345071.24824783241</v>
      </c>
      <c r="M772" s="185">
        <f>M770*Data!L$9</f>
        <v>333535.25832058536</v>
      </c>
      <c r="N772" s="185">
        <f>N770*Data!M$9</f>
        <v>322376.19180749368</v>
      </c>
      <c r="O772" s="185">
        <f>O770*Data!N$9</f>
        <v>311421.61845699028</v>
      </c>
      <c r="P772" s="185">
        <f>P770*Data!O$9</f>
        <v>300369.83245850651</v>
      </c>
      <c r="Q772" s="185">
        <f>Q770*Data!P$9</f>
        <v>289707.50097698154</v>
      </c>
      <c r="R772" s="185">
        <f>R770*Data!Q$9</f>
        <v>279563.69976566278</v>
      </c>
      <c r="S772" s="185">
        <f>S770*Data!R$9</f>
        <v>269634.43245058542</v>
      </c>
      <c r="T772" s="185">
        <f>T770*Data!S$9</f>
        <v>260055.39916009124</v>
      </c>
      <c r="U772" s="185">
        <f>U770*Data!T$9</f>
        <v>0</v>
      </c>
      <c r="V772" s="185">
        <f>V770*Data!U$9</f>
        <v>0</v>
      </c>
      <c r="W772" s="185">
        <f>W770*Data!V$9</f>
        <v>0</v>
      </c>
      <c r="X772" s="185">
        <f>X770*Data!W$9</f>
        <v>0</v>
      </c>
      <c r="Y772" s="185">
        <f>Y770*Data!X$9</f>
        <v>0</v>
      </c>
      <c r="Z772" s="185">
        <f>Z770*Data!Y$9</f>
        <v>0</v>
      </c>
      <c r="AA772" s="185">
        <f>AA770*Data!Z$9</f>
        <v>0</v>
      </c>
      <c r="AB772" s="185">
        <f>AB770*Data!AA$9</f>
        <v>0</v>
      </c>
      <c r="AC772" s="185">
        <f>AC770*Data!AB$9</f>
        <v>0</v>
      </c>
      <c r="AD772" s="185">
        <f>AD770*Data!AC$9</f>
        <v>0</v>
      </c>
      <c r="AE772" s="185">
        <f>AE770*Data!AD$9</f>
        <v>0</v>
      </c>
      <c r="AF772" s="185">
        <f>AF770*Data!AE$9</f>
        <v>0</v>
      </c>
      <c r="AG772" s="185">
        <f>AG770*Data!AF$9</f>
        <v>0</v>
      </c>
      <c r="AH772" s="185">
        <f>AH770*Data!AG$9</f>
        <v>0</v>
      </c>
      <c r="AI772" s="185">
        <f>AI770*Data!AH$9</f>
        <v>0</v>
      </c>
      <c r="AJ772" s="185">
        <f>AJ770*Data!AI$9</f>
        <v>0</v>
      </c>
      <c r="AK772" s="185">
        <f>AK770*Data!AJ$9</f>
        <v>0</v>
      </c>
      <c r="AL772" s="185">
        <f>AL770*Data!AK$9</f>
        <v>0</v>
      </c>
      <c r="AM772" s="185">
        <f>AM770*Data!AL$9</f>
        <v>0</v>
      </c>
      <c r="AN772" s="185">
        <f>AN770*Data!AM$9</f>
        <v>0</v>
      </c>
      <c r="AO772" s="185">
        <f>AO770*Data!AN$9</f>
        <v>0</v>
      </c>
      <c r="AP772" s="185">
        <f>AP770*Data!AO$9</f>
        <v>0</v>
      </c>
    </row>
    <row r="773" spans="1:42" outlineLevel="1" x14ac:dyDescent="0.25">
      <c r="A773" s="12"/>
      <c r="B773" s="13"/>
      <c r="C773" s="14" t="s">
        <v>488</v>
      </c>
      <c r="D773" s="13"/>
      <c r="E773" s="15" t="s">
        <v>142</v>
      </c>
      <c r="F773" s="16"/>
      <c r="G773" s="159">
        <f>SUM(H772:AF772)</f>
        <v>3820519.2461289205</v>
      </c>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row>
    <row r="774" spans="1:42" outlineLevel="1" x14ac:dyDescent="0.25">
      <c r="A774" s="12"/>
      <c r="B774" s="13"/>
      <c r="C774" s="20" t="s">
        <v>488</v>
      </c>
      <c r="D774" s="19"/>
      <c r="E774" s="15" t="s">
        <v>261</v>
      </c>
      <c r="F774" s="16"/>
      <c r="G774" s="183">
        <f>G773/(SUM(H753:AP753))</f>
        <v>3.4014594427785974</v>
      </c>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row>
    <row r="775" spans="1:42" outlineLevel="1" x14ac:dyDescent="0.25">
      <c r="A775" s="12"/>
      <c r="B775" s="13"/>
      <c r="C775" s="20"/>
      <c r="D775" s="19"/>
      <c r="E775" s="15"/>
      <c r="F775" s="16"/>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row>
    <row r="776" spans="1:42" ht="18.75" outlineLevel="1" x14ac:dyDescent="0.3">
      <c r="A776" s="12"/>
      <c r="B776" s="13"/>
      <c r="C776" s="226" t="str">
        <f>C684</f>
        <v>TCO 2: Immediate Diesel to HFCB Bus Replacement</v>
      </c>
      <c r="D776" s="225"/>
      <c r="E776" s="15" t="s">
        <v>261</v>
      </c>
      <c r="F776" s="16"/>
      <c r="G776" s="224">
        <f>G716+G747+G723-G774</f>
        <v>-1.6208051604862734</v>
      </c>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row>
    <row r="777" spans="1:42" outlineLevel="1" x14ac:dyDescent="0.25">
      <c r="A777" s="12"/>
      <c r="B777" s="13"/>
      <c r="C777" s="187"/>
      <c r="D777" s="19"/>
      <c r="E777" s="15"/>
      <c r="F777" s="16"/>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row>
    <row r="778" spans="1:42" outlineLevel="1" x14ac:dyDescent="0.25">
      <c r="A778" s="12"/>
      <c r="B778" s="13"/>
      <c r="C778" s="24" t="s">
        <v>525</v>
      </c>
      <c r="D778" s="24"/>
      <c r="E778" s="25"/>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7"/>
    </row>
    <row r="779" spans="1:42" outlineLevel="1" x14ac:dyDescent="0.25">
      <c r="A779" s="12"/>
      <c r="B779" s="13"/>
      <c r="C779" s="13"/>
      <c r="D779" s="14"/>
      <c r="E779" s="15"/>
      <c r="F779" s="16"/>
      <c r="G779" s="14"/>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17"/>
    </row>
    <row r="780" spans="1:42" outlineLevel="1" x14ac:dyDescent="0.25">
      <c r="A780" s="12"/>
      <c r="B780" s="13"/>
      <c r="C780" s="37" t="s">
        <v>537</v>
      </c>
      <c r="D780" s="37"/>
      <c r="E780" s="38"/>
      <c r="F780" s="39"/>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17"/>
    </row>
    <row r="781" spans="1:42" outlineLevel="1" x14ac:dyDescent="0.25">
      <c r="A781" s="12"/>
      <c r="B781" s="13"/>
      <c r="C781" s="96" t="s">
        <v>526</v>
      </c>
      <c r="D781" s="14"/>
      <c r="E781" s="15" t="s">
        <v>142</v>
      </c>
      <c r="F781" s="16"/>
      <c r="G781" s="141">
        <f>G715</f>
        <v>3324197.6164512304</v>
      </c>
      <c r="H781" s="14"/>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17"/>
    </row>
    <row r="782" spans="1:42" outlineLevel="1" x14ac:dyDescent="0.25">
      <c r="A782" s="12"/>
      <c r="B782" s="13"/>
      <c r="C782" s="96" t="s">
        <v>527</v>
      </c>
      <c r="D782" s="14"/>
      <c r="E782" s="15" t="s">
        <v>474</v>
      </c>
      <c r="F782" s="16"/>
      <c r="G782" s="151">
        <f>G781/Data!$E$386</f>
        <v>166209.88082256151</v>
      </c>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17"/>
    </row>
    <row r="783" spans="1:42" outlineLevel="1" x14ac:dyDescent="0.25">
      <c r="A783" s="12"/>
      <c r="B783" s="13"/>
      <c r="C783" s="96" t="s">
        <v>528</v>
      </c>
      <c r="D783" s="14"/>
      <c r="E783" s="15" t="s">
        <v>275</v>
      </c>
      <c r="F783" s="16"/>
      <c r="G783" s="151">
        <f>SUM(I729:AC729)</f>
        <v>0</v>
      </c>
      <c r="H783" s="14"/>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17"/>
    </row>
    <row r="784" spans="1:42" outlineLevel="1" x14ac:dyDescent="0.25">
      <c r="A784" s="12"/>
      <c r="B784" s="13"/>
      <c r="C784" s="96" t="s">
        <v>530</v>
      </c>
      <c r="D784" s="14"/>
      <c r="E784" s="15" t="s">
        <v>604</v>
      </c>
      <c r="F784" s="16"/>
      <c r="G784" s="151">
        <f>G783/Data!$E$386</f>
        <v>0</v>
      </c>
      <c r="H784" s="14"/>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17"/>
    </row>
    <row r="785" spans="1:42" outlineLevel="1" x14ac:dyDescent="0.25">
      <c r="A785" s="12"/>
      <c r="B785" s="13"/>
      <c r="C785" s="96" t="s">
        <v>579</v>
      </c>
      <c r="D785" s="14"/>
      <c r="E785" s="15" t="s">
        <v>604</v>
      </c>
      <c r="F785" s="16"/>
      <c r="G785" s="151">
        <f>SUM(I756:AB756)/Dashboard!$I$31</f>
        <v>211208.65158621827</v>
      </c>
      <c r="H785" s="14"/>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17"/>
    </row>
    <row r="786" spans="1:42" outlineLevel="1" x14ac:dyDescent="0.25">
      <c r="A786" s="12"/>
      <c r="B786" s="13"/>
      <c r="C786" s="14"/>
      <c r="D786" s="14"/>
      <c r="E786" s="15"/>
      <c r="F786" s="16"/>
      <c r="G786" s="14"/>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29"/>
    </row>
    <row r="787" spans="1:42" outlineLevel="1" x14ac:dyDescent="0.25">
      <c r="A787" s="12"/>
      <c r="B787" s="13"/>
      <c r="C787" s="37" t="s">
        <v>538</v>
      </c>
      <c r="D787" s="37"/>
      <c r="E787" s="38"/>
      <c r="F787" s="39"/>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17"/>
    </row>
    <row r="788" spans="1:42" outlineLevel="1" x14ac:dyDescent="0.25">
      <c r="A788" s="12"/>
      <c r="B788" s="13"/>
      <c r="C788" s="14" t="s">
        <v>580</v>
      </c>
      <c r="D788" s="14"/>
      <c r="E788" s="15" t="s">
        <v>142</v>
      </c>
      <c r="F788" s="16"/>
      <c r="G788" s="177">
        <f>G782-'Diesel (BAU)'!$G$268</f>
        <v>-170448.0002923396</v>
      </c>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17"/>
    </row>
    <row r="789" spans="1:42" outlineLevel="1" x14ac:dyDescent="0.25">
      <c r="A789" s="12"/>
      <c r="B789" s="13"/>
      <c r="C789" s="14" t="s">
        <v>540</v>
      </c>
      <c r="D789" s="44"/>
      <c r="E789" s="15" t="s">
        <v>275</v>
      </c>
      <c r="F789" s="16"/>
      <c r="G789" s="177">
        <f>'Diesel (BAU)'!$G$270-G784+G785</f>
        <v>422417.30317243654</v>
      </c>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17"/>
    </row>
    <row r="790" spans="1:42" ht="18.75" outlineLevel="1" x14ac:dyDescent="0.3">
      <c r="A790" s="12"/>
      <c r="B790" s="13"/>
      <c r="C790" s="221" t="s">
        <v>542</v>
      </c>
      <c r="D790" s="45"/>
      <c r="E790" s="15"/>
      <c r="F790" s="16"/>
      <c r="G790" s="220">
        <f>G788/G789</f>
        <v>-0.40350619875711008</v>
      </c>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29"/>
    </row>
    <row r="791" spans="1:42" outlineLevel="1" x14ac:dyDescent="0.25">
      <c r="A791" s="12"/>
      <c r="C791" s="13"/>
      <c r="D791" s="45"/>
      <c r="E791" s="15"/>
      <c r="F791" s="16"/>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29"/>
    </row>
    <row r="792" spans="1:42" outlineLevel="1" x14ac:dyDescent="0.25">
      <c r="A792" s="12"/>
      <c r="B792" s="13"/>
      <c r="C792" s="41"/>
      <c r="D792" s="41"/>
      <c r="E792" s="15"/>
      <c r="F792" s="16"/>
      <c r="G792" s="14"/>
      <c r="H792" s="141"/>
      <c r="I792" s="141"/>
      <c r="J792" s="141"/>
      <c r="K792" s="141"/>
      <c r="L792" s="141"/>
      <c r="M792" s="141"/>
      <c r="N792" s="141"/>
      <c r="O792" s="141"/>
      <c r="P792" s="141"/>
      <c r="Q792" s="141"/>
      <c r="R792" s="141"/>
      <c r="S792" s="141"/>
      <c r="T792" s="141"/>
      <c r="U792" s="141"/>
      <c r="V792" s="141"/>
      <c r="W792" s="141"/>
      <c r="X792" s="141"/>
      <c r="Y792" s="141"/>
      <c r="Z792" s="141"/>
      <c r="AA792" s="141"/>
      <c r="AB792" s="141"/>
      <c r="AC792" s="14"/>
      <c r="AD792" s="14"/>
      <c r="AE792" s="14"/>
      <c r="AF792" s="14"/>
      <c r="AG792" s="14"/>
      <c r="AH792" s="14"/>
      <c r="AI792" s="14"/>
      <c r="AJ792" s="14"/>
      <c r="AK792" s="14"/>
      <c r="AL792" s="14"/>
      <c r="AM792" s="14"/>
      <c r="AN792" s="14"/>
      <c r="AO792" s="14"/>
      <c r="AP792" s="17"/>
    </row>
    <row r="793" spans="1:42" x14ac:dyDescent="0.25">
      <c r="A793" s="261"/>
      <c r="B793" s="261"/>
      <c r="C793" s="261" t="s">
        <v>605</v>
      </c>
      <c r="D793" s="261"/>
      <c r="E793" s="262"/>
      <c r="F793" s="263"/>
      <c r="G793" s="263"/>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3"/>
      <c r="AD793" s="263"/>
      <c r="AE793" s="263"/>
      <c r="AF793" s="263"/>
      <c r="AG793" s="263"/>
      <c r="AH793" s="263"/>
      <c r="AI793" s="263"/>
      <c r="AJ793" s="263"/>
      <c r="AK793" s="263"/>
      <c r="AL793" s="263"/>
      <c r="AM793" s="263"/>
      <c r="AN793" s="263"/>
      <c r="AO793" s="263"/>
      <c r="AP793" s="265"/>
    </row>
    <row r="794" spans="1:42" hidden="1" outlineLevel="1" x14ac:dyDescent="0.25">
      <c r="A794" s="12"/>
      <c r="B794" s="13"/>
      <c r="C794" s="14"/>
      <c r="D794" s="14"/>
      <c r="E794" s="15"/>
      <c r="F794" s="16"/>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7"/>
    </row>
    <row r="795" spans="1:42" hidden="1" outlineLevel="1" x14ac:dyDescent="0.25">
      <c r="A795" s="12"/>
      <c r="B795" s="13"/>
      <c r="C795" s="14" t="s">
        <v>582</v>
      </c>
      <c r="D795" s="14"/>
      <c r="E795" s="15" t="s">
        <v>112</v>
      </c>
      <c r="F795" s="16"/>
      <c r="G795" s="159">
        <f>SUM($I$561:$AB$561)</f>
        <v>1872000</v>
      </c>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row>
    <row r="796" spans="1:42" hidden="1" outlineLevel="1" x14ac:dyDescent="0.25">
      <c r="A796" s="12"/>
      <c r="B796" s="13"/>
      <c r="C796" s="14" t="s">
        <v>595</v>
      </c>
      <c r="D796" s="14"/>
      <c r="E796" s="15" t="s">
        <v>112</v>
      </c>
      <c r="F796" s="16"/>
      <c r="G796" s="141">
        <f>Route!$H$35</f>
        <v>37440</v>
      </c>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row>
    <row r="797" spans="1:42" hidden="1" outlineLevel="1" x14ac:dyDescent="0.25">
      <c r="A797" s="12"/>
      <c r="B797" s="13"/>
      <c r="C797" s="20" t="s">
        <v>584</v>
      </c>
      <c r="D797" s="20"/>
      <c r="E797" s="21" t="s">
        <v>112</v>
      </c>
      <c r="F797" s="48"/>
      <c r="G797" s="378">
        <f>SUM(G795:G796)</f>
        <v>1909440</v>
      </c>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row>
    <row r="798" spans="1:42" hidden="1" outlineLevel="1" x14ac:dyDescent="0.25">
      <c r="A798" s="12"/>
      <c r="B798" s="13"/>
      <c r="C798" s="14"/>
      <c r="D798" s="14"/>
      <c r="E798" s="15"/>
      <c r="F798" s="16"/>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row>
    <row r="799" spans="1:42" hidden="1" outlineLevel="1" x14ac:dyDescent="0.25">
      <c r="A799" s="12"/>
      <c r="B799" s="13"/>
      <c r="C799" s="14" t="s">
        <v>585</v>
      </c>
      <c r="D799" s="19"/>
      <c r="E799" s="15" t="s">
        <v>142</v>
      </c>
      <c r="F799" s="16"/>
      <c r="G799" s="150">
        <f>G715</f>
        <v>3324197.6164512304</v>
      </c>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row>
    <row r="800" spans="1:42" hidden="1" outlineLevel="1" x14ac:dyDescent="0.25">
      <c r="A800" s="12"/>
      <c r="B800" s="13"/>
      <c r="C800" s="14" t="s">
        <v>586</v>
      </c>
      <c r="D800" s="19"/>
      <c r="E800" s="15" t="s">
        <v>142</v>
      </c>
      <c r="F800" s="16"/>
      <c r="G800" s="150">
        <f>Route!$G$61</f>
        <v>32852.076245401164</v>
      </c>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row>
    <row r="801" spans="1:42" hidden="1" outlineLevel="1" x14ac:dyDescent="0.25">
      <c r="A801" s="12"/>
      <c r="B801" s="13"/>
      <c r="C801" s="14" t="s">
        <v>587</v>
      </c>
      <c r="D801" s="19"/>
      <c r="E801" s="15" t="s">
        <v>588</v>
      </c>
      <c r="F801" s="16"/>
      <c r="G801" s="376">
        <f>SUM(G799:G800)</f>
        <v>3357049.6926966314</v>
      </c>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row>
    <row r="802" spans="1:42" hidden="1" outlineLevel="1" x14ac:dyDescent="0.25">
      <c r="A802" s="12"/>
      <c r="B802" s="13"/>
      <c r="C802" s="20" t="s">
        <v>587</v>
      </c>
      <c r="D802" s="19"/>
      <c r="E802" s="15" t="s">
        <v>261</v>
      </c>
      <c r="F802" s="16"/>
      <c r="G802" s="376">
        <f>G801/G797</f>
        <v>1.75813311373839</v>
      </c>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row>
    <row r="803" spans="1:42" hidden="1" outlineLevel="1" x14ac:dyDescent="0.25">
      <c r="A803" s="12"/>
      <c r="B803" s="13"/>
      <c r="C803" s="20"/>
      <c r="D803" s="19"/>
      <c r="E803" s="15"/>
      <c r="F803" s="16"/>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row>
    <row r="804" spans="1:42" hidden="1" outlineLevel="1" x14ac:dyDescent="0.25">
      <c r="A804" s="12"/>
      <c r="B804" s="13"/>
      <c r="C804" s="14" t="s">
        <v>589</v>
      </c>
      <c r="D804" s="19"/>
      <c r="E804" s="15" t="s">
        <v>142</v>
      </c>
      <c r="F804" s="16"/>
      <c r="G804" s="56">
        <f>G723+G747</f>
        <v>4.9076923076923082E-3</v>
      </c>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row>
    <row r="805" spans="1:42" hidden="1" outlineLevel="1" x14ac:dyDescent="0.25">
      <c r="A805" s="12"/>
      <c r="B805" s="13"/>
      <c r="C805" s="14" t="s">
        <v>590</v>
      </c>
      <c r="D805" s="19"/>
      <c r="E805" s="15" t="s">
        <v>142</v>
      </c>
      <c r="F805" s="16"/>
      <c r="G805" s="150">
        <f>Route!$G$119</f>
        <v>100696.94441250921</v>
      </c>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row>
    <row r="806" spans="1:42" hidden="1" outlineLevel="1" x14ac:dyDescent="0.25">
      <c r="A806" s="12"/>
      <c r="B806" s="13"/>
      <c r="C806" s="20" t="s">
        <v>591</v>
      </c>
      <c r="D806" s="19"/>
      <c r="E806" s="15" t="s">
        <v>588</v>
      </c>
      <c r="F806" s="16"/>
      <c r="G806" s="376">
        <f>SUM(G804:G805)</f>
        <v>100696.94932020151</v>
      </c>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row>
    <row r="807" spans="1:42" hidden="1" outlineLevel="1" x14ac:dyDescent="0.25">
      <c r="A807" s="12"/>
      <c r="B807" s="13"/>
      <c r="C807" s="20" t="s">
        <v>592</v>
      </c>
      <c r="D807" s="19"/>
      <c r="E807" s="15" t="s">
        <v>261</v>
      </c>
      <c r="F807" s="16"/>
      <c r="G807" s="376">
        <f>G806/G797</f>
        <v>5.2736377849108382E-2</v>
      </c>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row>
    <row r="808" spans="1:42" hidden="1" outlineLevel="1" x14ac:dyDescent="0.25">
      <c r="A808" s="12"/>
      <c r="B808" s="13"/>
      <c r="C808" s="20" t="s">
        <v>593</v>
      </c>
      <c r="D808" s="19"/>
      <c r="E808" s="15"/>
      <c r="F808" s="16"/>
      <c r="G808" s="377"/>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row>
    <row r="809" spans="1:42" hidden="1" outlineLevel="1" x14ac:dyDescent="0.25">
      <c r="A809" s="12"/>
      <c r="B809" s="13"/>
      <c r="C809" s="20"/>
      <c r="D809" s="19"/>
      <c r="E809" s="15"/>
      <c r="F809" s="16"/>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row>
    <row r="810" spans="1:42" ht="18" hidden="1" customHeight="1" outlineLevel="1" x14ac:dyDescent="0.3">
      <c r="A810" s="12"/>
      <c r="B810" s="13"/>
      <c r="C810" s="226" t="s">
        <v>605</v>
      </c>
      <c r="D810" s="226"/>
      <c r="E810" s="15" t="s">
        <v>261</v>
      </c>
      <c r="F810" s="16"/>
      <c r="G810" s="224">
        <f>+G802+G807</f>
        <v>1.8108694915874983</v>
      </c>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row>
    <row r="811" spans="1:42" hidden="1" outlineLevel="1" x14ac:dyDescent="0.25">
      <c r="A811" s="12"/>
      <c r="B811" s="12"/>
      <c r="C811" s="12"/>
      <c r="D811" s="19"/>
      <c r="E811" s="15"/>
      <c r="F811" s="16"/>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row>
    <row r="812" spans="1:42" hidden="1" outlineLevel="1" x14ac:dyDescent="0.25">
      <c r="A812" s="12"/>
      <c r="B812" s="12"/>
      <c r="C812" s="12"/>
      <c r="D812" s="19"/>
      <c r="E812" s="15"/>
      <c r="F812" s="16"/>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row>
    <row r="813" spans="1:42" collapsed="1" x14ac:dyDescent="0.25"/>
  </sheetData>
  <conditionalFormatting sqref="D39">
    <cfRule type="expression" dxfId="222" priority="49">
      <formula>ISNA(D39)</formula>
    </cfRule>
    <cfRule type="expression" dxfId="221" priority="50">
      <formula>D$2&gt;=start_proj</formula>
    </cfRule>
  </conditionalFormatting>
  <conditionalFormatting sqref="D313">
    <cfRule type="expression" dxfId="220" priority="23">
      <formula>ISNA(D313)</formula>
    </cfRule>
    <cfRule type="expression" dxfId="219" priority="24">
      <formula>D$2&gt;=start_proj</formula>
    </cfRule>
  </conditionalFormatting>
  <conditionalFormatting sqref="D579">
    <cfRule type="expression" dxfId="218" priority="17">
      <formula>ISNA(D579)</formula>
    </cfRule>
    <cfRule type="expression" dxfId="217" priority="18">
      <formula>D$2&gt;=start_proj</formula>
    </cfRule>
  </conditionalFormatting>
  <conditionalFormatting sqref="G91:G93 H176:T178 V176:AB178 AD176:AP178 U177">
    <cfRule type="expression" dxfId="216" priority="242">
      <formula>G$2&gt;=start_proj</formula>
    </cfRule>
  </conditionalFormatting>
  <conditionalFormatting sqref="G91:G93 H176:T178 V176:AP178 U177">
    <cfRule type="expression" dxfId="215" priority="241">
      <formula>ISNA(G91)</formula>
    </cfRule>
  </conditionalFormatting>
  <conditionalFormatting sqref="G257:G259">
    <cfRule type="expression" dxfId="214" priority="260">
      <formula>H$2&gt;=start_proj</formula>
    </cfRule>
  </conditionalFormatting>
  <conditionalFormatting sqref="G257:G260 H259:AP260">
    <cfRule type="expression" dxfId="213" priority="257">
      <formula>ISNA(G257)</formula>
    </cfRule>
  </conditionalFormatting>
  <conditionalFormatting sqref="G363:G365 H444:T444 V444:AB444 AD444:AP444">
    <cfRule type="expression" dxfId="212" priority="165">
      <formula>G$2&gt;=start_proj</formula>
    </cfRule>
  </conditionalFormatting>
  <conditionalFormatting sqref="G363:G365 H444:T444 V444:AP444">
    <cfRule type="expression" dxfId="211" priority="164">
      <formula>ISNA(G363)</formula>
    </cfRule>
  </conditionalFormatting>
  <conditionalFormatting sqref="G522:G524">
    <cfRule type="expression" dxfId="210" priority="180">
      <formula>H$2&gt;=start_proj</formula>
    </cfRule>
  </conditionalFormatting>
  <conditionalFormatting sqref="G522:G525 H524:AP525">
    <cfRule type="expression" dxfId="209" priority="178">
      <formula>ISNA(G522)</formula>
    </cfRule>
  </conditionalFormatting>
  <conditionalFormatting sqref="G629:G631 H710:T710 V710:AB710 AD710:AP710">
    <cfRule type="expression" dxfId="208" priority="84">
      <formula>G$2&gt;=start_proj</formula>
    </cfRule>
  </conditionalFormatting>
  <conditionalFormatting sqref="G629:G631 H710:T710 V710:AP710">
    <cfRule type="expression" dxfId="207" priority="83">
      <formula>ISNA(G629)</formula>
    </cfRule>
  </conditionalFormatting>
  <conditionalFormatting sqref="G788:G790">
    <cfRule type="expression" dxfId="206" priority="99">
      <formula>H$2&gt;=start_proj</formula>
    </cfRule>
  </conditionalFormatting>
  <conditionalFormatting sqref="G788:G791 H790:AP791">
    <cfRule type="expression" dxfId="205" priority="97">
      <formula>ISNA(G788)</formula>
    </cfRule>
  </conditionalFormatting>
  <conditionalFormatting sqref="G108:H114">
    <cfRule type="expression" dxfId="204" priority="237">
      <formula>ISNA(G108)</formula>
    </cfRule>
    <cfRule type="expression" dxfId="203" priority="238">
      <formula>G$2&gt;=start_proj</formula>
    </cfRule>
  </conditionalFormatting>
  <conditionalFormatting sqref="G205:H211">
    <cfRule type="expression" dxfId="202" priority="255">
      <formula>ISNA(G205)</formula>
    </cfRule>
    <cfRule type="expression" dxfId="201" priority="256">
      <formula>G$2&gt;=start_proj</formula>
    </cfRule>
  </conditionalFormatting>
  <conditionalFormatting sqref="G470:H476">
    <cfRule type="expression" dxfId="200" priority="176">
      <formula>ISNA(G470)</formula>
    </cfRule>
    <cfRule type="expression" dxfId="199" priority="177">
      <formula>G$2&gt;=start_proj</formula>
    </cfRule>
  </conditionalFormatting>
  <conditionalFormatting sqref="G736:H742">
    <cfRule type="expression" dxfId="198" priority="95">
      <formula>ISNA(G736)</formula>
    </cfRule>
    <cfRule type="expression" dxfId="197" priority="96">
      <formula>G$2&gt;=start_proj</formula>
    </cfRule>
  </conditionalFormatting>
  <conditionalFormatting sqref="G100:I100 J100:AP106 G101:H106 I101:I114 J107:AB107 J108:AP114">
    <cfRule type="expression" dxfId="196" priority="235">
      <formula>ISNA(G100)</formula>
    </cfRule>
    <cfRule type="expression" dxfId="195" priority="236">
      <formula>G$2&gt;=start_proj</formula>
    </cfRule>
  </conditionalFormatting>
  <conditionalFormatting sqref="G197:I197 J197:AP203 G198:H203 I198:I211 J204:AB204 J205:AP211">
    <cfRule type="expression" dxfId="194" priority="253">
      <formula>ISNA(G197)</formula>
    </cfRule>
    <cfRule type="expression" dxfId="193" priority="254">
      <formula>G$2&gt;=start_proj</formula>
    </cfRule>
  </conditionalFormatting>
  <conditionalFormatting sqref="G372:I372 J372:AP378 G373:H378 I373:I379 J379:AB379">
    <cfRule type="expression" dxfId="192" priority="158">
      <formula>ISNA(G372)</formula>
    </cfRule>
    <cfRule type="expression" dxfId="191" priority="159">
      <formula>G$2&gt;=start_proj</formula>
    </cfRule>
  </conditionalFormatting>
  <conditionalFormatting sqref="G462:I462 J462:AP468 G463:H468 I463:I476 J469:AB469 J470:AP476">
    <cfRule type="expression" dxfId="190" priority="174">
      <formula>ISNA(G462)</formula>
    </cfRule>
    <cfRule type="expression" dxfId="189" priority="175">
      <formula>G$2&gt;=start_proj</formula>
    </cfRule>
  </conditionalFormatting>
  <conditionalFormatting sqref="G638:I638 J638:AP644 G639:H644 I639:I645 J645:AB645">
    <cfRule type="expression" dxfId="188" priority="77">
      <formula>ISNA(G638)</formula>
    </cfRule>
    <cfRule type="expression" dxfId="187" priority="78">
      <formula>G$2&gt;=start_proj</formula>
    </cfRule>
  </conditionalFormatting>
  <conditionalFormatting sqref="G728:AC728 AD728:AP734 G729:H734 I729:AC743 AD736:AP742">
    <cfRule type="expression" dxfId="186" priority="93">
      <formula>ISNA(G728)</formula>
    </cfRule>
    <cfRule type="expression" dxfId="185" priority="94">
      <formula>G$2&gt;=start_proj</formula>
    </cfRule>
  </conditionalFormatting>
  <conditionalFormatting sqref="G123:AP129">
    <cfRule type="expression" dxfId="184" priority="271">
      <formula>ISNA(G123)</formula>
    </cfRule>
    <cfRule type="expression" dxfId="183" priority="272">
      <formula>G$2&gt;=start_proj</formula>
    </cfRule>
  </conditionalFormatting>
  <conditionalFormatting sqref="G131:AP137">
    <cfRule type="expression" dxfId="182" priority="273">
      <formula>ISNA(G131)</formula>
    </cfRule>
    <cfRule type="expression" dxfId="181" priority="274">
      <formula>G$2&gt;=start_proj</formula>
    </cfRule>
  </conditionalFormatting>
  <conditionalFormatting sqref="G380:AP386">
    <cfRule type="expression" dxfId="180" priority="136">
      <formula>ISNA(G380)</formula>
    </cfRule>
    <cfRule type="expression" dxfId="179" priority="137">
      <formula>G$2&gt;=start_proj</formula>
    </cfRule>
  </conditionalFormatting>
  <conditionalFormatting sqref="G395:AP401">
    <cfRule type="expression" dxfId="178" priority="191">
      <formula>ISNA(G395)</formula>
    </cfRule>
    <cfRule type="expression" dxfId="177" priority="192">
      <formula>G$2&gt;=start_proj</formula>
    </cfRule>
  </conditionalFormatting>
  <conditionalFormatting sqref="G403:AP409">
    <cfRule type="expression" dxfId="176" priority="138">
      <formula>ISNA(G403)</formula>
    </cfRule>
    <cfRule type="expression" dxfId="175" priority="139">
      <formula>G$2&gt;=start_proj</formula>
    </cfRule>
  </conditionalFormatting>
  <conditionalFormatting sqref="G646:AP652">
    <cfRule type="expression" dxfId="174" priority="55">
      <formula>ISNA(G646)</formula>
    </cfRule>
    <cfRule type="expression" dxfId="173" priority="56">
      <formula>G$2&gt;=start_proj</formula>
    </cfRule>
  </conditionalFormatting>
  <conditionalFormatting sqref="G661:AP667">
    <cfRule type="expression" dxfId="172" priority="110">
      <formula>ISNA(G661)</formula>
    </cfRule>
    <cfRule type="expression" dxfId="171" priority="111">
      <formula>G$2&gt;=start_proj</formula>
    </cfRule>
  </conditionalFormatting>
  <conditionalFormatting sqref="G669:AP675">
    <cfRule type="expression" dxfId="170" priority="57">
      <formula>ISNA(G669)</formula>
    </cfRule>
    <cfRule type="expression" dxfId="169" priority="58">
      <formula>G$2&gt;=start_proj</formula>
    </cfRule>
  </conditionalFormatting>
  <conditionalFormatting sqref="H72:AO75">
    <cfRule type="expression" dxfId="168" priority="251">
      <formula>ISNA(H72)</formula>
    </cfRule>
    <cfRule type="expression" dxfId="167" priority="252">
      <formula>H$2&gt;=start_proj</formula>
    </cfRule>
  </conditionalFormatting>
  <conditionalFormatting sqref="H248:AO248">
    <cfRule type="expression" dxfId="166" priority="265">
      <formula>ISNA(H248)</formula>
    </cfRule>
    <cfRule type="expression" dxfId="165" priority="266">
      <formula>H$2&gt;=start_proj</formula>
    </cfRule>
  </conditionalFormatting>
  <conditionalFormatting sqref="H346:AO349">
    <cfRule type="expression" dxfId="164" priority="172">
      <formula>ISNA(H346)</formula>
    </cfRule>
    <cfRule type="expression" dxfId="163" priority="173">
      <formula>H$2&gt;=start_proj</formula>
    </cfRule>
  </conditionalFormatting>
  <conditionalFormatting sqref="H513:AO513">
    <cfRule type="expression" dxfId="162" priority="185">
      <formula>ISNA(H513)</formula>
    </cfRule>
    <cfRule type="expression" dxfId="161" priority="186">
      <formula>H$2&gt;=start_proj</formula>
    </cfRule>
  </conditionalFormatting>
  <conditionalFormatting sqref="H612:AO615">
    <cfRule type="expression" dxfId="160" priority="91">
      <formula>ISNA(H612)</formula>
    </cfRule>
    <cfRule type="expression" dxfId="159" priority="92">
      <formula>H$2&gt;=start_proj</formula>
    </cfRule>
  </conditionalFormatting>
  <conditionalFormatting sqref="H779:AO779">
    <cfRule type="expression" dxfId="158" priority="104">
      <formula>ISNA(H779)</formula>
    </cfRule>
    <cfRule type="expression" dxfId="157" priority="105">
      <formula>H$2&gt;=start_proj</formula>
    </cfRule>
  </conditionalFormatting>
  <conditionalFormatting sqref="H2:AP3">
    <cfRule type="cellIs" dxfId="156" priority="285" operator="equal">
      <formula>end_proj</formula>
    </cfRule>
    <cfRule type="expression" dxfId="155" priority="286">
      <formula>ISNA(H2)</formula>
    </cfRule>
    <cfRule type="cellIs" dxfId="154" priority="287" operator="equal">
      <formula>start_proj</formula>
    </cfRule>
    <cfRule type="cellIs" dxfId="153" priority="290" operator="equal">
      <formula>start_hist</formula>
    </cfRule>
    <cfRule type="cellIs" dxfId="152" priority="291" operator="greaterThan">
      <formula>start_proj</formula>
    </cfRule>
  </conditionalFormatting>
  <conditionalFormatting sqref="H29:AP32">
    <cfRule type="expression" dxfId="151" priority="281">
      <formula>ISNA(H29)</formula>
    </cfRule>
    <cfRule type="expression" dxfId="150" priority="282">
      <formula>H$2&gt;=start_proj</formula>
    </cfRule>
  </conditionalFormatting>
  <conditionalFormatting sqref="H34:AP34">
    <cfRule type="expression" dxfId="149" priority="275">
      <formula>ISNA(H34)</formula>
    </cfRule>
    <cfRule type="expression" dxfId="148" priority="276">
      <formula>H$2&gt;=start_proj</formula>
    </cfRule>
  </conditionalFormatting>
  <conditionalFormatting sqref="H37:AP42">
    <cfRule type="expression" dxfId="147" priority="41">
      <formula>ISNA(H37)</formula>
    </cfRule>
    <cfRule type="expression" dxfId="146" priority="42">
      <formula>H$2&gt;=start_proj</formula>
    </cfRule>
  </conditionalFormatting>
  <conditionalFormatting sqref="H46:AP49">
    <cfRule type="expression" dxfId="145" priority="279">
      <formula>ISNA(H46)</formula>
    </cfRule>
    <cfRule type="expression" dxfId="144" priority="280">
      <formula>H$2&gt;=start_proj</formula>
    </cfRule>
  </conditionalFormatting>
  <conditionalFormatting sqref="H51:AP62">
    <cfRule type="expression" dxfId="143" priority="11">
      <formula>ISNA(H51)</formula>
    </cfRule>
    <cfRule type="expression" dxfId="142" priority="12">
      <formula>H$2&gt;=start_proj</formula>
    </cfRule>
  </conditionalFormatting>
  <conditionalFormatting sqref="H71:AP71 AP72:AP74">
    <cfRule type="expression" dxfId="141" priority="247">
      <formula>ISNA(H71)</formula>
    </cfRule>
    <cfRule type="expression" dxfId="140" priority="248">
      <formula>H$2&gt;=start_proj</formula>
    </cfRule>
  </conditionalFormatting>
  <conditionalFormatting sqref="H76:AP82">
    <cfRule type="expression" dxfId="139" priority="33">
      <formula>ISNA(H76)</formula>
    </cfRule>
    <cfRule type="expression" dxfId="138" priority="34">
      <formula>H$2&gt;=start_proj</formula>
    </cfRule>
  </conditionalFormatting>
  <conditionalFormatting sqref="H84:AP87">
    <cfRule type="expression" dxfId="137" priority="35">
      <formula>ISNA(H84)</formula>
    </cfRule>
    <cfRule type="expression" dxfId="136" priority="36">
      <formula>H$2&gt;=start_proj</formula>
    </cfRule>
  </conditionalFormatting>
  <conditionalFormatting sqref="H91:AP95">
    <cfRule type="expression" dxfId="135" priority="239">
      <formula>ISNA(H91)</formula>
    </cfRule>
    <cfRule type="expression" dxfId="134" priority="240">
      <formula>H$2&gt;=start_proj</formula>
    </cfRule>
  </conditionalFormatting>
  <conditionalFormatting sqref="H149:AP152 G232:AP238">
    <cfRule type="expression" dxfId="133" priority="324">
      <formula>ISNA(G149)</formula>
    </cfRule>
    <cfRule type="expression" dxfId="132" priority="325">
      <formula>G$2&gt;=start_proj</formula>
    </cfRule>
  </conditionalFormatting>
  <conditionalFormatting sqref="H154:AP154 G189:G191">
    <cfRule type="expression" dxfId="131" priority="326">
      <formula>ISNA(G154)</formula>
    </cfRule>
    <cfRule type="expression" dxfId="130" priority="327">
      <formula>G$2&gt;=start_proj</formula>
    </cfRule>
  </conditionalFormatting>
  <conditionalFormatting sqref="H161:AP173">
    <cfRule type="expression" dxfId="129" priority="9">
      <formula>ISNA(H161)</formula>
    </cfRule>
    <cfRule type="expression" dxfId="128" priority="10">
      <formula>H$2&gt;=start_proj</formula>
    </cfRule>
  </conditionalFormatting>
  <conditionalFormatting sqref="H179:AP179">
    <cfRule type="expression" dxfId="127" priority="1">
      <formula>ISNA(H179)</formula>
    </cfRule>
    <cfRule type="expression" dxfId="126" priority="2">
      <formula>H$2&gt;=start_proj</formula>
    </cfRule>
  </conditionalFormatting>
  <conditionalFormatting sqref="H182:AP185">
    <cfRule type="expression" dxfId="125" priority="316">
      <formula>ISNA(H182)</formula>
    </cfRule>
    <cfRule type="expression" dxfId="124" priority="317">
      <formula>H$2&gt;=start_proj</formula>
    </cfRule>
  </conditionalFormatting>
  <conditionalFormatting sqref="H189:AP192 H218:AP218 G224:AP230">
    <cfRule type="expression" dxfId="123" priority="283">
      <formula>ISNA(G189)</formula>
    </cfRule>
    <cfRule type="expression" dxfId="122" priority="284">
      <formula>G$2&gt;=start_proj</formula>
    </cfRule>
  </conditionalFormatting>
  <conditionalFormatting sqref="H255:AP255">
    <cfRule type="expression" dxfId="121" priority="261">
      <formula>ISNA(H255)</formula>
    </cfRule>
    <cfRule type="expression" dxfId="120" priority="262">
      <formula>H$2&gt;=start_proj</formula>
    </cfRule>
  </conditionalFormatting>
  <conditionalFormatting sqref="H259:AP260 G260">
    <cfRule type="expression" dxfId="119" priority="258">
      <formula>G$2&gt;=start_proj</formula>
    </cfRule>
  </conditionalFormatting>
  <conditionalFormatting sqref="H303:AP306">
    <cfRule type="expression" dxfId="118" priority="201">
      <formula>ISNA(H303)</formula>
    </cfRule>
    <cfRule type="expression" dxfId="117" priority="202">
      <formula>H$2&gt;=start_proj</formula>
    </cfRule>
  </conditionalFormatting>
  <conditionalFormatting sqref="H308:AP308">
    <cfRule type="expression" dxfId="116" priority="195">
      <formula>ISNA(H308)</formula>
    </cfRule>
    <cfRule type="expression" dxfId="115" priority="196">
      <formula>H$2&gt;=start_proj</formula>
    </cfRule>
  </conditionalFormatting>
  <conditionalFormatting sqref="H311:AP317">
    <cfRule type="expression" dxfId="114" priority="21">
      <formula>ISNA(H311)</formula>
    </cfRule>
    <cfRule type="expression" dxfId="113" priority="22">
      <formula>H$2&gt;=start_proj</formula>
    </cfRule>
  </conditionalFormatting>
  <conditionalFormatting sqref="H321:AP324">
    <cfRule type="expression" dxfId="112" priority="199">
      <formula>ISNA(H321)</formula>
    </cfRule>
    <cfRule type="expression" dxfId="111" priority="200">
      <formula>H$2&gt;=start_proj</formula>
    </cfRule>
  </conditionalFormatting>
  <conditionalFormatting sqref="H326:AP336">
    <cfRule type="expression" dxfId="110" priority="13">
      <formula>ISNA(H326)</formula>
    </cfRule>
    <cfRule type="expression" dxfId="109" priority="14">
      <formula>H$2&gt;=start_proj</formula>
    </cfRule>
  </conditionalFormatting>
  <conditionalFormatting sqref="H345:AP345 AP346:AP348">
    <cfRule type="expression" dxfId="108" priority="168">
      <formula>ISNA(H345)</formula>
    </cfRule>
    <cfRule type="expression" dxfId="107" priority="169">
      <formula>H$2&gt;=start_proj</formula>
    </cfRule>
  </conditionalFormatting>
  <conditionalFormatting sqref="H350:AP354">
    <cfRule type="expression" dxfId="106" priority="31">
      <formula>ISNA(H350)</formula>
    </cfRule>
    <cfRule type="expression" dxfId="105" priority="32">
      <formula>H$2&gt;=start_proj</formula>
    </cfRule>
  </conditionalFormatting>
  <conditionalFormatting sqref="H356:AP359 H421:AP424 G497:AP503">
    <cfRule type="expression" dxfId="104" priority="211">
      <formula>ISNA(G356)</formula>
    </cfRule>
    <cfRule type="expression" dxfId="103" priority="212">
      <formula>G$2&gt;=start_proj</formula>
    </cfRule>
  </conditionalFormatting>
  <conditionalFormatting sqref="H363:AP367 G367">
    <cfRule type="expression" dxfId="102" priority="162">
      <formula>ISNA(G363)</formula>
    </cfRule>
    <cfRule type="expression" dxfId="101" priority="163">
      <formula>G$2&gt;=start_proj</formula>
    </cfRule>
  </conditionalFormatting>
  <conditionalFormatting sqref="H426:AP426 G454:G456">
    <cfRule type="expression" dxfId="100" priority="213">
      <formula>ISNA(G426)</formula>
    </cfRule>
    <cfRule type="expression" dxfId="99" priority="214">
      <formula>G$2&gt;=start_proj</formula>
    </cfRule>
  </conditionalFormatting>
  <conditionalFormatting sqref="H431:AP442">
    <cfRule type="expression" dxfId="98" priority="7">
      <formula>ISNA(H431)</formula>
    </cfRule>
    <cfRule type="expression" dxfId="97" priority="8">
      <formula>H$2&gt;=start_proj</formula>
    </cfRule>
  </conditionalFormatting>
  <conditionalFormatting sqref="H447:AP450">
    <cfRule type="expression" dxfId="96" priority="205">
      <formula>ISNA(H447)</formula>
    </cfRule>
    <cfRule type="expression" dxfId="95" priority="206">
      <formula>H$2&gt;=start_proj</formula>
    </cfRule>
  </conditionalFormatting>
  <conditionalFormatting sqref="H454:AP457 H483:AP483 G489:AP495">
    <cfRule type="expression" dxfId="94" priority="203">
      <formula>ISNA(G454)</formula>
    </cfRule>
    <cfRule type="expression" dxfId="93" priority="204">
      <formula>G$2&gt;=start_proj</formula>
    </cfRule>
  </conditionalFormatting>
  <conditionalFormatting sqref="H520:AP520">
    <cfRule type="expression" dxfId="92" priority="181">
      <formula>ISNA(H520)</formula>
    </cfRule>
    <cfRule type="expression" dxfId="91" priority="182">
      <formula>H$2&gt;=start_proj</formula>
    </cfRule>
  </conditionalFormatting>
  <conditionalFormatting sqref="H524:AP525 G525">
    <cfRule type="expression" dxfId="90" priority="179">
      <formula>G$2&gt;=start_proj</formula>
    </cfRule>
  </conditionalFormatting>
  <conditionalFormatting sqref="H569:AP572">
    <cfRule type="expression" dxfId="89" priority="120">
      <formula>ISNA(H569)</formula>
    </cfRule>
    <cfRule type="expression" dxfId="88" priority="121">
      <formula>H$2&gt;=start_proj</formula>
    </cfRule>
  </conditionalFormatting>
  <conditionalFormatting sqref="H574:AP574">
    <cfRule type="expression" dxfId="87" priority="19">
      <formula>ISNA(H574)</formula>
    </cfRule>
    <cfRule type="expression" dxfId="86" priority="20">
      <formula>H$2&gt;=start_proj</formula>
    </cfRule>
  </conditionalFormatting>
  <conditionalFormatting sqref="H577:AP583">
    <cfRule type="expression" dxfId="85" priority="15">
      <formula>ISNA(H577)</formula>
    </cfRule>
    <cfRule type="expression" dxfId="84" priority="16">
      <formula>H$2&gt;=start_proj</formula>
    </cfRule>
  </conditionalFormatting>
  <conditionalFormatting sqref="H587:AP590">
    <cfRule type="expression" dxfId="83" priority="118">
      <formula>ISNA(H587)</formula>
    </cfRule>
    <cfRule type="expression" dxfId="82" priority="119">
      <formula>H$2&gt;=start_proj</formula>
    </cfRule>
  </conditionalFormatting>
  <conditionalFormatting sqref="H592:AP602">
    <cfRule type="expression" dxfId="81" priority="5">
      <formula>ISNA(H592)</formula>
    </cfRule>
    <cfRule type="expression" dxfId="80" priority="6">
      <formula>H$2&gt;=start_proj</formula>
    </cfRule>
  </conditionalFormatting>
  <conditionalFormatting sqref="H611:AP611 AP612:AP614">
    <cfRule type="expression" dxfId="79" priority="87">
      <formula>ISNA(H611)</formula>
    </cfRule>
    <cfRule type="expression" dxfId="78" priority="88">
      <formula>H$2&gt;=start_proj</formula>
    </cfRule>
  </conditionalFormatting>
  <conditionalFormatting sqref="H616:AP620">
    <cfRule type="expression" dxfId="77" priority="29">
      <formula>ISNA(H616)</formula>
    </cfRule>
    <cfRule type="expression" dxfId="76" priority="30">
      <formula>H$2&gt;=start_proj</formula>
    </cfRule>
  </conditionalFormatting>
  <conditionalFormatting sqref="H622:AP625 H687:AP690 G763:AP769">
    <cfRule type="expression" dxfId="75" priority="130">
      <formula>ISNA(G622)</formula>
    </cfRule>
    <cfRule type="expression" dxfId="74" priority="131">
      <formula>G$2&gt;=start_proj</formula>
    </cfRule>
  </conditionalFormatting>
  <conditionalFormatting sqref="H629:AP633 G633">
    <cfRule type="expression" dxfId="73" priority="81">
      <formula>ISNA(G629)</formula>
    </cfRule>
    <cfRule type="expression" dxfId="72" priority="82">
      <formula>G$2&gt;=start_proj</formula>
    </cfRule>
  </conditionalFormatting>
  <conditionalFormatting sqref="H692:AP692 G720:G722">
    <cfRule type="expression" dxfId="71" priority="132">
      <formula>ISNA(G692)</formula>
    </cfRule>
    <cfRule type="expression" dxfId="70" priority="133">
      <formula>G$2&gt;=start_proj</formula>
    </cfRule>
  </conditionalFormatting>
  <conditionalFormatting sqref="H696:AP708">
    <cfRule type="expression" dxfId="69" priority="3">
      <formula>ISNA(H696)</formula>
    </cfRule>
    <cfRule type="expression" dxfId="68" priority="4">
      <formula>H$2&gt;=start_proj</formula>
    </cfRule>
  </conditionalFormatting>
  <conditionalFormatting sqref="H713:AP716">
    <cfRule type="expression" dxfId="67" priority="124">
      <formula>ISNA(H713)</formula>
    </cfRule>
    <cfRule type="expression" dxfId="66" priority="125">
      <formula>H$2&gt;=start_proj</formula>
    </cfRule>
  </conditionalFormatting>
  <conditionalFormatting sqref="H720:AP723 H749:AP749 G755:AQ761">
    <cfRule type="expression" dxfId="65" priority="122">
      <formula>ISNA(G720)</formula>
    </cfRule>
    <cfRule type="expression" dxfId="64" priority="123">
      <formula>G$2&gt;=start_proj</formula>
    </cfRule>
  </conditionalFormatting>
  <conditionalFormatting sqref="H786:AP786">
    <cfRule type="expression" dxfId="63" priority="100">
      <formula>ISNA(H786)</formula>
    </cfRule>
    <cfRule type="expression" dxfId="62" priority="101">
      <formula>H$2&gt;=start_proj</formula>
    </cfRule>
  </conditionalFormatting>
  <conditionalFormatting sqref="H790:AP791 G791">
    <cfRule type="expression" dxfId="61" priority="98">
      <formula>G$2&gt;=start_proj</formula>
    </cfRule>
  </conditionalFormatting>
  <conditionalFormatting sqref="I250:AO254">
    <cfRule type="expression" dxfId="60" priority="263">
      <formula>ISNA(I250)</formula>
    </cfRule>
    <cfRule type="expression" dxfId="59" priority="264">
      <formula>I$2&gt;=start_proj</formula>
    </cfRule>
  </conditionalFormatting>
  <conditionalFormatting sqref="I515:AO519">
    <cfRule type="expression" dxfId="58" priority="183">
      <formula>ISNA(I515)</formula>
    </cfRule>
    <cfRule type="expression" dxfId="57" priority="184">
      <formula>I$2&gt;=start_proj</formula>
    </cfRule>
  </conditionalFormatting>
  <conditionalFormatting sqref="I781:AO785">
    <cfRule type="expression" dxfId="56" priority="102">
      <formula>ISNA(I781)</formula>
    </cfRule>
    <cfRule type="expression" dxfId="55" priority="103">
      <formula>I$2&gt;=start_proj</formula>
    </cfRule>
  </conditionalFormatting>
  <conditionalFormatting sqref="I64:AP66 H67:AP68">
    <cfRule type="expression" dxfId="54" priority="249">
      <formula>ISNA(H64)</formula>
    </cfRule>
    <cfRule type="expression" dxfId="53" priority="250">
      <formula>H$2&gt;=start_proj</formula>
    </cfRule>
  </conditionalFormatting>
  <conditionalFormatting sqref="I338:AP340 H341:AP342">
    <cfRule type="expression" dxfId="52" priority="170">
      <formula>ISNA(H338)</formula>
    </cfRule>
    <cfRule type="expression" dxfId="51" priority="171">
      <formula>H$2&gt;=start_proj</formula>
    </cfRule>
  </conditionalFormatting>
  <conditionalFormatting sqref="I604:AP606 H607:AP608">
    <cfRule type="expression" dxfId="50" priority="89">
      <formula>ISNA(H604)</formula>
    </cfRule>
    <cfRule type="expression" dxfId="49" priority="90">
      <formula>H$2&gt;=start_proj</formula>
    </cfRule>
  </conditionalFormatting>
  <conditionalFormatting sqref="AC176:AC178">
    <cfRule type="expression" dxfId="48" priority="676">
      <formula>U$2&gt;=start_proj</formula>
    </cfRule>
  </conditionalFormatting>
  <conditionalFormatting sqref="AC444">
    <cfRule type="expression" dxfId="47" priority="216">
      <formula>U$2&gt;=start_proj</formula>
    </cfRule>
  </conditionalFormatting>
  <conditionalFormatting sqref="AC710">
    <cfRule type="expression" dxfId="46" priority="135">
      <formula>U$2&gt;=start_proj</formula>
    </cfRule>
  </conditionalFormatting>
  <conditionalFormatting sqref="AO3">
    <cfRule type="cellIs" dxfId="45" priority="288" operator="equal">
      <formula>start_proj-hist_years</formula>
    </cfRule>
    <cfRule type="cellIs" dxfId="44" priority="289" operator="greaterThan">
      <formula>start_proj</formula>
    </cfRule>
  </conditionalFormatting>
  <hyperlinks>
    <hyperlink ref="C1" location="Dashboard!A1" display="Go to Dashboard" xr:uid="{DA5B32A0-7BDD-4962-B766-DAB496D6255A}"/>
    <hyperlink ref="D1" location="Cover!A1" display="Go to Results" xr:uid="{EF32DCFB-7A93-472C-A04F-4D76C40C3F61}"/>
  </hyperlinks>
  <pageMargins left="0.7" right="0.7" top="0.75" bottom="0.75" header="0.3" footer="0.3"/>
  <pageSetup paperSize="9" orientation="portrait" r:id="rId1"/>
  <ignoredErrors>
    <ignoredError sqref="G252"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C4F6-1143-4C18-A18C-08AFF3D25D9C}">
  <sheetPr codeName="Sheet17">
    <tabColor rgb="FF00B0F0"/>
  </sheetPr>
  <dimension ref="A1"/>
  <sheetViews>
    <sheetView workbookViewId="0">
      <selection activeCell="O48" sqref="O48"/>
    </sheetView>
  </sheetViews>
  <sheetFormatPr defaultColWidth="9.140625" defaultRowHeight="15" x14ac:dyDescent="0.25"/>
  <cols>
    <col min="1" max="16384" width="9.140625" style="14"/>
  </cols>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5358D-5B22-452B-A2ED-CB6BCBAB416E}">
  <sheetPr codeName="Sheet18">
    <tabColor theme="7"/>
  </sheetPr>
  <dimension ref="A1:AS62"/>
  <sheetViews>
    <sheetView zoomScale="85" zoomScaleNormal="85" workbookViewId="0">
      <selection activeCell="C5" sqref="C5"/>
    </sheetView>
  </sheetViews>
  <sheetFormatPr defaultRowHeight="15" x14ac:dyDescent="0.25"/>
  <cols>
    <col min="1" max="1" width="27.140625" style="51" customWidth="1"/>
    <col min="2" max="2" width="12.28515625" style="52" bestFit="1" customWidth="1"/>
    <col min="3" max="3" width="38.140625" customWidth="1"/>
    <col min="4" max="4" width="15.7109375" customWidth="1"/>
    <col min="5" max="5" width="16.28515625" style="53" customWidth="1"/>
    <col min="6" max="6" width="17.140625" customWidth="1"/>
    <col min="7" max="7" width="17.5703125" customWidth="1"/>
    <col min="8" max="9" width="14.5703125" customWidth="1"/>
    <col min="10" max="10" width="42.140625" customWidth="1"/>
    <col min="11" max="11" width="13.140625" customWidth="1"/>
    <col min="12" max="17" width="14.5703125" bestFit="1" customWidth="1"/>
    <col min="18" max="18" width="15.140625" bestFit="1" customWidth="1"/>
    <col min="19" max="19" width="14.5703125" bestFit="1" customWidth="1"/>
    <col min="20" max="25" width="14.28515625" bestFit="1" customWidth="1"/>
    <col min="26" max="26" width="11.42578125" customWidth="1"/>
    <col min="27" max="30" width="5.5703125" bestFit="1" customWidth="1"/>
    <col min="31" max="33" width="13.28515625" customWidth="1"/>
    <col min="34" max="38" width="5.5703125" customWidth="1"/>
    <col min="39" max="42" width="5.5703125" bestFit="1" customWidth="1"/>
    <col min="43" max="43" width="5.5703125" customWidth="1"/>
    <col min="44" max="44" width="5.5703125" bestFit="1" customWidth="1"/>
  </cols>
  <sheetData>
    <row r="1" spans="1:45" x14ac:dyDescent="0.25">
      <c r="A1" s="1"/>
      <c r="B1" s="2"/>
      <c r="C1" s="3" t="s">
        <v>191</v>
      </c>
      <c r="D1" s="3" t="s">
        <v>40</v>
      </c>
      <c r="E1" s="4"/>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5"/>
    </row>
    <row r="2" spans="1:45" x14ac:dyDescent="0.25">
      <c r="A2" s="6"/>
      <c r="B2" s="7"/>
      <c r="C2" s="8"/>
      <c r="D2" s="8"/>
      <c r="E2" s="9"/>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11"/>
    </row>
    <row r="3" spans="1:45" x14ac:dyDescent="0.25">
      <c r="A3" s="12"/>
      <c r="B3" s="13"/>
      <c r="C3" s="14"/>
      <c r="D3" s="14"/>
      <c r="E3" s="15"/>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7"/>
    </row>
    <row r="4" spans="1:45" x14ac:dyDescent="0.25">
      <c r="A4" s="18" t="s">
        <v>192</v>
      </c>
      <c r="B4" s="19"/>
      <c r="C4" s="20" t="s">
        <v>193</v>
      </c>
      <c r="D4" s="21" t="s">
        <v>194</v>
      </c>
      <c r="E4" s="21" t="s">
        <v>110</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7"/>
    </row>
    <row r="5" spans="1:45" x14ac:dyDescent="0.25">
      <c r="A5" s="12"/>
      <c r="B5" s="13"/>
      <c r="C5" s="14"/>
      <c r="D5" s="14"/>
      <c r="E5" s="15"/>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7"/>
    </row>
    <row r="6" spans="1:45" x14ac:dyDescent="0.25">
      <c r="A6" s="23"/>
      <c r="B6" s="23"/>
      <c r="C6" s="24" t="s">
        <v>533</v>
      </c>
      <c r="D6" s="24"/>
      <c r="E6" s="25"/>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7"/>
    </row>
    <row r="7" spans="1:45" x14ac:dyDescent="0.25">
      <c r="A7" s="13"/>
      <c r="B7" s="13"/>
      <c r="C7" s="14"/>
      <c r="D7" s="14"/>
      <c r="E7" s="15"/>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7"/>
    </row>
    <row r="8" spans="1:45" x14ac:dyDescent="0.25">
      <c r="A8" s="90" t="s">
        <v>172</v>
      </c>
      <c r="B8" s="90"/>
      <c r="C8" s="90"/>
      <c r="D8" s="91"/>
      <c r="E8" s="92"/>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3"/>
    </row>
    <row r="9" spans="1:45" x14ac:dyDescent="0.25">
      <c r="A9" s="49" t="str">
        <f>Dashboard!I42</f>
        <v>Flat (Gradient  0%)</v>
      </c>
      <c r="B9" s="13"/>
      <c r="C9" s="44"/>
      <c r="D9" s="44"/>
      <c r="E9" s="15"/>
      <c r="F9" s="14"/>
      <c r="G9" s="43"/>
      <c r="H9" s="43"/>
      <c r="I9" s="28"/>
      <c r="J9" s="14"/>
      <c r="K9" s="14"/>
      <c r="L9" s="14"/>
      <c r="M9" s="14"/>
      <c r="N9" s="14"/>
      <c r="O9" s="42"/>
      <c r="P9" s="42"/>
      <c r="Q9" s="42"/>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17"/>
    </row>
    <row r="10" spans="1:45" x14ac:dyDescent="0.25">
      <c r="A10" s="49" t="str">
        <f>Dashboard!I43</f>
        <v>2 Axle rigid</v>
      </c>
      <c r="B10" s="257"/>
      <c r="C10" s="266" t="s">
        <v>606</v>
      </c>
      <c r="D10" s="256"/>
      <c r="E10" s="266" t="s">
        <v>165</v>
      </c>
      <c r="F10" s="267" t="s">
        <v>62</v>
      </c>
      <c r="G10" s="269" t="s">
        <v>607</v>
      </c>
      <c r="H10" s="268" t="s">
        <v>608</v>
      </c>
      <c r="I10" s="28"/>
      <c r="J10" s="266" t="s">
        <v>606</v>
      </c>
      <c r="K10" s="266" t="s">
        <v>165</v>
      </c>
      <c r="L10" s="266" t="s">
        <v>542</v>
      </c>
      <c r="M10" s="14"/>
      <c r="N10" s="14"/>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29"/>
    </row>
    <row r="11" spans="1:45" x14ac:dyDescent="0.25">
      <c r="A11" s="12"/>
      <c r="B11" s="13" t="s">
        <v>609</v>
      </c>
      <c r="C11" s="14" t="s">
        <v>610</v>
      </c>
      <c r="D11" s="14"/>
      <c r="E11" s="15" t="s">
        <v>261</v>
      </c>
      <c r="F11" s="202">
        <f>'Diesel (BAU)'!G53</f>
        <v>1.6629829831671723</v>
      </c>
      <c r="G11" s="177">
        <f>'Diesel (BAU)'!$G$86</f>
        <v>4.4846460274884885</v>
      </c>
      <c r="H11" s="177">
        <f t="shared" ref="H11:H20" si="0">G11-F11</f>
        <v>2.8216630443213164</v>
      </c>
      <c r="I11" s="28"/>
      <c r="J11" s="14" t="s">
        <v>611</v>
      </c>
      <c r="K11" s="45" t="s">
        <v>137</v>
      </c>
      <c r="L11" s="159">
        <f>'RE Diesel'!G101</f>
        <v>2.0168140214966792</v>
      </c>
      <c r="M11" s="14"/>
      <c r="N11" s="14"/>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29"/>
    </row>
    <row r="12" spans="1:45" x14ac:dyDescent="0.25">
      <c r="A12" s="12"/>
      <c r="B12" s="13" t="s">
        <v>22</v>
      </c>
      <c r="C12" s="14" t="s">
        <v>612</v>
      </c>
      <c r="D12" s="14"/>
      <c r="E12" s="15" t="s">
        <v>261</v>
      </c>
      <c r="F12" s="202">
        <f>'RE Diesel'!G56</f>
        <v>2.9559941027314007</v>
      </c>
      <c r="G12" s="56">
        <f>'RE Diesel'!$G$88</f>
        <v>6.1098054305946174</v>
      </c>
      <c r="H12" s="56">
        <f t="shared" si="0"/>
        <v>3.1538113278632167</v>
      </c>
      <c r="I12" s="28"/>
      <c r="J12" s="14" t="s">
        <v>613</v>
      </c>
      <c r="K12" s="45" t="s">
        <v>137</v>
      </c>
      <c r="L12" s="159">
        <f>'H2 Blending'!G93</f>
        <v>-37.100487167743005</v>
      </c>
      <c r="M12" s="14"/>
      <c r="N12" s="14"/>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29"/>
    </row>
    <row r="13" spans="1:45" ht="14.25" customHeight="1" x14ac:dyDescent="0.25">
      <c r="A13" s="12"/>
      <c r="B13" s="13" t="s">
        <v>24</v>
      </c>
      <c r="C13" s="14" t="s">
        <v>614</v>
      </c>
      <c r="D13" s="14"/>
      <c r="E13" s="15" t="s">
        <v>261</v>
      </c>
      <c r="F13" s="202">
        <f>'H2 Blending'!G48</f>
        <v>1.6063503532844225</v>
      </c>
      <c r="G13" s="56">
        <f>'H2 Blending'!$G$80</f>
        <v>4.7943340279663733</v>
      </c>
      <c r="H13" s="56">
        <f t="shared" si="0"/>
        <v>3.1879836746819508</v>
      </c>
      <c r="I13" s="28"/>
      <c r="J13" s="14" t="s">
        <v>615</v>
      </c>
      <c r="K13" s="45" t="s">
        <v>137</v>
      </c>
      <c r="L13" s="159">
        <f>Repowered!G146</f>
        <v>-0.26788537757585146</v>
      </c>
      <c r="M13" s="14"/>
      <c r="N13" s="14"/>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29"/>
    </row>
    <row r="14" spans="1:45" x14ac:dyDescent="0.25">
      <c r="A14" s="12"/>
      <c r="B14" s="13" t="s">
        <v>26</v>
      </c>
      <c r="C14" s="14" t="s">
        <v>616</v>
      </c>
      <c r="D14" s="14"/>
      <c r="E14" s="15" t="s">
        <v>261</v>
      </c>
      <c r="F14" s="202">
        <f>Repowered!G74</f>
        <v>1.1605356246411285</v>
      </c>
      <c r="G14" s="233">
        <f>Repowered!$G$132</f>
        <v>-2.0431385988760793</v>
      </c>
      <c r="H14" s="233">
        <f t="shared" si="0"/>
        <v>-3.2036742235172078</v>
      </c>
      <c r="I14" s="28"/>
      <c r="J14" s="14" t="s">
        <v>617</v>
      </c>
      <c r="K14" s="45" t="s">
        <v>137</v>
      </c>
      <c r="L14" s="159">
        <f>BEB!G308</f>
        <v>-0.3305678765072454</v>
      </c>
      <c r="M14" s="14"/>
      <c r="N14" s="14"/>
      <c r="O14" s="42"/>
      <c r="P14" s="42"/>
      <c r="Q14" s="42"/>
      <c r="R14" s="42"/>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17"/>
    </row>
    <row r="15" spans="1:45" x14ac:dyDescent="0.25">
      <c r="A15" s="12"/>
      <c r="B15" s="13" t="s">
        <v>28</v>
      </c>
      <c r="C15" s="14" t="str">
        <f>BEB!C15</f>
        <v>TCO 1: End-of-Life Diesel Bus Replacement with BEB</v>
      </c>
      <c r="D15" s="14"/>
      <c r="E15" s="15" t="s">
        <v>261</v>
      </c>
      <c r="F15" s="202">
        <f>BEB!G113</f>
        <v>1.0643938998517943</v>
      </c>
      <c r="G15" s="177">
        <f>BEB!$G$172</f>
        <v>4.3154284119706192</v>
      </c>
      <c r="H15" s="177">
        <f t="shared" si="0"/>
        <v>3.2510345121188249</v>
      </c>
      <c r="I15" s="28"/>
      <c r="J15" s="14" t="s">
        <v>618</v>
      </c>
      <c r="K15" s="45" t="s">
        <v>137</v>
      </c>
      <c r="L15" s="159">
        <f>HFCB!G259</f>
        <v>-8.9061225596086521E-2</v>
      </c>
      <c r="M15" s="14"/>
      <c r="N15" s="14"/>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29"/>
    </row>
    <row r="16" spans="1:45" x14ac:dyDescent="0.25">
      <c r="A16" s="12"/>
      <c r="B16" s="13" t="s">
        <v>28</v>
      </c>
      <c r="C16" s="14" t="str">
        <f>BEB!C20</f>
        <v>TCO 2: Immediate Diesel to BEB Bus Replacement</v>
      </c>
      <c r="D16" s="14"/>
      <c r="E16" s="15" t="s">
        <v>261</v>
      </c>
      <c r="F16" s="202">
        <f>BEB!G231</f>
        <v>1.042967968284175</v>
      </c>
      <c r="G16" s="177">
        <f>BEB!$G$294</f>
        <v>-2.154553846862298</v>
      </c>
      <c r="H16" s="177">
        <f t="shared" si="0"/>
        <v>-3.197521815146473</v>
      </c>
      <c r="I16" s="28"/>
      <c r="J16" s="45"/>
      <c r="K16" s="45"/>
      <c r="L16" s="15"/>
      <c r="M16" s="14"/>
      <c r="N16" s="14"/>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29"/>
    </row>
    <row r="17" spans="1:45" x14ac:dyDescent="0.25">
      <c r="A17" s="12"/>
      <c r="B17" s="13" t="s">
        <v>28</v>
      </c>
      <c r="C17" s="14" t="s">
        <v>581</v>
      </c>
      <c r="D17" s="14"/>
      <c r="E17" s="15" t="s">
        <v>261</v>
      </c>
      <c r="F17" s="202">
        <f>BEB!G320</f>
        <v>1.0397227003065697</v>
      </c>
      <c r="G17" s="233">
        <f>BEB!G328</f>
        <v>1.1194580300486856</v>
      </c>
      <c r="H17" s="233">
        <f t="shared" si="0"/>
        <v>7.9735329742115946E-2</v>
      </c>
      <c r="I17" s="28"/>
      <c r="J17" s="28"/>
      <c r="K17" s="28"/>
      <c r="M17" s="14"/>
      <c r="N17" s="14"/>
      <c r="O17" s="42"/>
      <c r="P17" s="42"/>
      <c r="Q17" s="42"/>
      <c r="R17" s="42"/>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17"/>
    </row>
    <row r="18" spans="1:45" x14ac:dyDescent="0.25">
      <c r="A18" s="12"/>
      <c r="B18" s="13" t="s">
        <v>30</v>
      </c>
      <c r="C18" s="14" t="str">
        <f>HFCB!C15</f>
        <v>TCO 1: End-of-Life Diesel Bus Replacement with HFCB</v>
      </c>
      <c r="D18" s="14"/>
      <c r="E18" s="15" t="s">
        <v>261</v>
      </c>
      <c r="F18" s="202">
        <f>HFCB!G87</f>
        <v>1.2054026249199206</v>
      </c>
      <c r="G18" s="177">
        <f>HFCB!$G$144</f>
        <v>4.4353710659265841</v>
      </c>
      <c r="H18" s="177">
        <f t="shared" si="0"/>
        <v>3.2299684410066636</v>
      </c>
      <c r="I18" s="28"/>
      <c r="J18" s="14"/>
      <c r="K18" s="14"/>
      <c r="L18" s="14"/>
      <c r="M18" s="14"/>
      <c r="N18" s="14"/>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29"/>
    </row>
    <row r="19" spans="1:45" x14ac:dyDescent="0.25">
      <c r="A19" s="12"/>
      <c r="B19" s="13" t="s">
        <v>30</v>
      </c>
      <c r="C19" s="14" t="str">
        <f>HFCB!C20</f>
        <v>TCO 2: Immediate Diesel to HFCB Bus Replacement</v>
      </c>
      <c r="D19" s="14"/>
      <c r="E19" s="15" t="s">
        <v>261</v>
      </c>
      <c r="F19" s="202">
        <f>HFCB!G185</f>
        <v>1.4817177470070486</v>
      </c>
      <c r="G19" s="177">
        <f>HFCB!$G$245</f>
        <v>-1.7384353093842304</v>
      </c>
      <c r="H19" s="177">
        <f t="shared" si="0"/>
        <v>-3.220153056391279</v>
      </c>
      <c r="I19" s="28"/>
      <c r="J19" s="14"/>
      <c r="K19" s="14"/>
      <c r="L19" s="14"/>
      <c r="M19" s="14"/>
      <c r="N19" s="14"/>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29"/>
    </row>
    <row r="20" spans="1:45" x14ac:dyDescent="0.25">
      <c r="A20" s="12"/>
      <c r="B20" s="13" t="s">
        <v>30</v>
      </c>
      <c r="C20" s="14" t="s">
        <v>605</v>
      </c>
      <c r="D20" s="14"/>
      <c r="E20" s="15" t="s">
        <v>261</v>
      </c>
      <c r="F20" s="202">
        <f>HFCB!G271</f>
        <v>1.46986954219174</v>
      </c>
      <c r="G20" s="177">
        <f>HFCB!G279</f>
        <v>1.5226059200408484</v>
      </c>
      <c r="H20" s="177">
        <f t="shared" si="0"/>
        <v>5.273637784910834E-2</v>
      </c>
      <c r="I20" s="28"/>
      <c r="J20" s="14"/>
      <c r="K20" s="14"/>
      <c r="L20" s="14"/>
      <c r="M20" s="14"/>
      <c r="N20" s="14"/>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29"/>
    </row>
    <row r="21" spans="1:45" x14ac:dyDescent="0.25">
      <c r="A21" s="12"/>
      <c r="B21" s="13"/>
      <c r="C21" s="14"/>
      <c r="D21" s="14"/>
      <c r="F21" s="14"/>
      <c r="G21" s="43"/>
      <c r="H21" s="43"/>
      <c r="I21" s="28"/>
      <c r="J21" s="14"/>
      <c r="K21" s="14"/>
      <c r="L21" s="14"/>
      <c r="M21" s="14"/>
      <c r="N21" s="14"/>
      <c r="O21" s="42"/>
      <c r="P21" s="42"/>
      <c r="Q21" s="42"/>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17"/>
    </row>
    <row r="22" spans="1:45" x14ac:dyDescent="0.25">
      <c r="A22" s="12"/>
      <c r="B22" s="13"/>
      <c r="C22" s="14"/>
      <c r="D22" s="14"/>
      <c r="E22" s="15"/>
      <c r="F22" s="14"/>
      <c r="G22" s="159"/>
      <c r="H22" s="14"/>
      <c r="I22" s="14"/>
      <c r="J22" s="14"/>
      <c r="K22" s="14"/>
      <c r="L22" s="14"/>
      <c r="M22" s="14"/>
      <c r="N22" s="14"/>
      <c r="O22" s="42"/>
      <c r="P22" s="42"/>
      <c r="Q22" s="42"/>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17"/>
    </row>
    <row r="23" spans="1:45" x14ac:dyDescent="0.25">
      <c r="A23" s="12"/>
      <c r="B23" s="13"/>
      <c r="C23" s="14"/>
      <c r="D23" s="14"/>
      <c r="E23" s="15"/>
      <c r="F23" s="159"/>
      <c r="G23" s="14"/>
      <c r="H23" s="14"/>
      <c r="I23" s="14"/>
      <c r="J23" s="14"/>
      <c r="K23" s="14"/>
      <c r="L23" s="14"/>
      <c r="M23" s="14"/>
      <c r="N23" s="14"/>
      <c r="O23" s="42"/>
      <c r="P23" s="42"/>
      <c r="Q23" s="42"/>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17"/>
    </row>
    <row r="24" spans="1:45" x14ac:dyDescent="0.25">
      <c r="A24" s="12"/>
      <c r="B24" s="13"/>
      <c r="C24" s="14"/>
      <c r="D24" s="14"/>
      <c r="E24" s="15"/>
      <c r="F24" s="487"/>
      <c r="G24" s="159"/>
      <c r="H24" s="14"/>
      <c r="I24" s="14"/>
      <c r="J24" s="14"/>
      <c r="K24" s="14"/>
      <c r="L24" s="14"/>
      <c r="M24" s="14"/>
      <c r="N24" s="14"/>
      <c r="O24" s="42"/>
      <c r="P24" s="42"/>
      <c r="Q24" s="42"/>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17"/>
    </row>
    <row r="25" spans="1:45" x14ac:dyDescent="0.25">
      <c r="A25" s="12"/>
      <c r="B25" s="13"/>
      <c r="C25" s="14"/>
      <c r="D25" s="14"/>
      <c r="E25" s="15"/>
      <c r="F25" s="14"/>
      <c r="G25" s="14"/>
      <c r="H25" s="43"/>
      <c r="I25" s="28"/>
      <c r="J25" s="14"/>
      <c r="K25" s="14"/>
      <c r="L25" s="14"/>
      <c r="M25" s="14"/>
      <c r="N25" s="14"/>
      <c r="O25" s="42"/>
      <c r="P25" s="42"/>
      <c r="Q25" s="42"/>
      <c r="R25" s="14"/>
      <c r="S25" s="14"/>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17"/>
    </row>
    <row r="26" spans="1:45" x14ac:dyDescent="0.25">
      <c r="A26" s="90" t="s">
        <v>173</v>
      </c>
      <c r="B26" s="90"/>
      <c r="C26" s="90"/>
      <c r="D26" s="91"/>
      <c r="E26" s="92"/>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3"/>
      <c r="AQ26" s="43"/>
      <c r="AR26" s="43"/>
    </row>
    <row r="27" spans="1:45" x14ac:dyDescent="0.25">
      <c r="A27" s="49" t="str">
        <f>Dashboard!I52</f>
        <v>Hilly (Gradient  6%)</v>
      </c>
      <c r="B27" s="12"/>
      <c r="C27" s="12"/>
      <c r="D27" s="12"/>
      <c r="E27" s="12"/>
      <c r="G27" s="28"/>
      <c r="H27" s="12"/>
      <c r="I27" s="28"/>
      <c r="J27" s="14"/>
      <c r="K27" s="14"/>
      <c r="L27" s="14"/>
      <c r="M27" s="14"/>
      <c r="N27" s="14"/>
      <c r="O27" s="42"/>
      <c r="P27" s="42"/>
      <c r="Q27" s="42"/>
      <c r="R27" s="14"/>
      <c r="S27" s="12"/>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3"/>
      <c r="AR27" s="43"/>
      <c r="AS27" s="50"/>
    </row>
    <row r="28" spans="1:45" x14ac:dyDescent="0.25">
      <c r="A28" s="49" t="str">
        <f>Dashboard!I53</f>
        <v>3 Axle rigid</v>
      </c>
      <c r="B28" s="257"/>
      <c r="C28" s="266" t="s">
        <v>606</v>
      </c>
      <c r="D28" s="256"/>
      <c r="E28" s="266" t="s">
        <v>165</v>
      </c>
      <c r="F28" s="267" t="s">
        <v>62</v>
      </c>
      <c r="G28" s="269" t="s">
        <v>607</v>
      </c>
      <c r="H28" s="268" t="s">
        <v>608</v>
      </c>
      <c r="I28" s="28"/>
      <c r="J28" s="266" t="s">
        <v>606</v>
      </c>
      <c r="K28" s="266" t="s">
        <v>165</v>
      </c>
      <c r="L28" s="266" t="s">
        <v>542</v>
      </c>
      <c r="M28" s="14"/>
      <c r="N28" s="14"/>
      <c r="O28" s="42"/>
      <c r="P28" s="42"/>
      <c r="Q28" s="42"/>
      <c r="R28" s="14"/>
      <c r="S28" s="14"/>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17"/>
    </row>
    <row r="29" spans="1:45" x14ac:dyDescent="0.25">
      <c r="A29" s="12"/>
      <c r="B29" s="13" t="s">
        <v>609</v>
      </c>
      <c r="C29" s="14" t="s">
        <v>610</v>
      </c>
      <c r="D29" s="14"/>
      <c r="E29" s="15" t="s">
        <v>261</v>
      </c>
      <c r="F29" s="278">
        <f>'Diesel (BAU)'!G143</f>
        <v>2.6464591800502228</v>
      </c>
      <c r="G29" s="177">
        <f>'Diesel (BAU)'!$G$176</f>
        <v>7.0282470345810744</v>
      </c>
      <c r="H29" s="177">
        <f t="shared" ref="H29:H38" si="1">G29-F29</f>
        <v>4.3817878545308515</v>
      </c>
      <c r="I29" s="28"/>
      <c r="J29" s="14" t="s">
        <v>611</v>
      </c>
      <c r="K29" s="45" t="s">
        <v>137</v>
      </c>
      <c r="L29" s="151">
        <f>'RE Diesel'!G192</f>
        <v>1.4003772904741361</v>
      </c>
      <c r="M29" s="14"/>
      <c r="N29" s="14"/>
      <c r="O29" s="42"/>
      <c r="P29" s="42"/>
      <c r="Q29" s="42"/>
      <c r="R29" s="14"/>
      <c r="S29" s="14"/>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17"/>
    </row>
    <row r="30" spans="1:45" x14ac:dyDescent="0.25">
      <c r="A30" s="12"/>
      <c r="B30" s="13" t="s">
        <v>22</v>
      </c>
      <c r="C30" s="14" t="s">
        <v>612</v>
      </c>
      <c r="D30" s="14"/>
      <c r="E30" s="15" t="s">
        <v>261</v>
      </c>
      <c r="F30" s="202">
        <f>'RE Diesel'!G147</f>
        <v>5.0923334812800594</v>
      </c>
      <c r="G30" s="56">
        <f>'RE Diesel'!$G$179</f>
        <v>9.8849097853391186</v>
      </c>
      <c r="H30" s="56">
        <f t="shared" si="1"/>
        <v>4.7925763040590592</v>
      </c>
      <c r="I30" s="28"/>
      <c r="J30" s="14" t="s">
        <v>613</v>
      </c>
      <c r="K30" s="45" t="s">
        <v>137</v>
      </c>
      <c r="L30" s="151">
        <f>'H2 Blending'!G181</f>
        <v>235.87614158949046</v>
      </c>
      <c r="M30" s="14"/>
      <c r="N30" s="14"/>
      <c r="O30" s="42"/>
      <c r="P30" s="42"/>
      <c r="Q30" s="42"/>
      <c r="R30" s="14"/>
      <c r="S30" s="14"/>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17"/>
    </row>
    <row r="31" spans="1:45" x14ac:dyDescent="0.25">
      <c r="A31" s="12"/>
      <c r="B31" s="13" t="s">
        <v>24</v>
      </c>
      <c r="C31" s="14" t="s">
        <v>614</v>
      </c>
      <c r="D31" s="14"/>
      <c r="E31" s="15" t="s">
        <v>261</v>
      </c>
      <c r="F31" s="202">
        <f>'H2 Blending'!G136</f>
        <v>3.6273570677146982</v>
      </c>
      <c r="G31" s="56">
        <f>'H2 Blending'!$G$168</f>
        <v>8.5537896902051092</v>
      </c>
      <c r="H31" s="56">
        <f t="shared" si="1"/>
        <v>4.9264326224904114</v>
      </c>
      <c r="I31" s="28"/>
      <c r="J31" s="14" t="s">
        <v>615</v>
      </c>
      <c r="K31" s="45" t="s">
        <v>137</v>
      </c>
      <c r="L31" s="151">
        <f>Repowered!G289</f>
        <v>-0.21174827753135883</v>
      </c>
      <c r="M31" s="14"/>
      <c r="N31" s="14"/>
      <c r="O31" s="42"/>
      <c r="P31" s="42"/>
      <c r="Q31" s="42"/>
      <c r="R31" s="14"/>
      <c r="S31" s="14"/>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17"/>
    </row>
    <row r="32" spans="1:45" x14ac:dyDescent="0.25">
      <c r="A32" s="12"/>
      <c r="B32" s="13" t="s">
        <v>26</v>
      </c>
      <c r="C32" s="14" t="s">
        <v>616</v>
      </c>
      <c r="D32" s="14"/>
      <c r="E32" s="15" t="s">
        <v>261</v>
      </c>
      <c r="F32" s="202">
        <f>Repowered!G216</f>
        <v>1.5102529858047551</v>
      </c>
      <c r="G32" s="233">
        <f>Repowered!$G$275</f>
        <v>-3.4499294090488934</v>
      </c>
      <c r="H32" s="233">
        <f t="shared" si="1"/>
        <v>-4.9601823948536481</v>
      </c>
      <c r="I32" s="28"/>
      <c r="J32" s="14" t="s">
        <v>617</v>
      </c>
      <c r="K32" s="45" t="s">
        <v>137</v>
      </c>
      <c r="L32" s="165">
        <f>BEB!G626</f>
        <v>-0.22550028790563276</v>
      </c>
      <c r="M32" s="14"/>
      <c r="N32" s="14"/>
      <c r="O32" s="42"/>
      <c r="P32" s="42"/>
      <c r="Q32" s="42"/>
      <c r="R32" s="14"/>
      <c r="S32" s="14"/>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17"/>
    </row>
    <row r="33" spans="1:45" x14ac:dyDescent="0.25">
      <c r="A33" s="12"/>
      <c r="B33" s="13" t="s">
        <v>28</v>
      </c>
      <c r="C33" s="14" t="s">
        <v>558</v>
      </c>
      <c r="D33" s="14"/>
      <c r="E33" s="15" t="s">
        <v>261</v>
      </c>
      <c r="F33" s="202">
        <f>BEB!G434</f>
        <v>1.5651192789906694</v>
      </c>
      <c r="G33" s="177">
        <f>BEB!$G$493</f>
        <v>6.5875164804568431</v>
      </c>
      <c r="H33" s="177">
        <f t="shared" si="1"/>
        <v>5.0223972014661733</v>
      </c>
      <c r="I33" s="28"/>
      <c r="J33" s="14" t="s">
        <v>618</v>
      </c>
      <c r="K33" s="45" t="s">
        <v>137</v>
      </c>
      <c r="L33" s="151">
        <f>HFCB!G524</f>
        <v>-0.17452590726592584</v>
      </c>
      <c r="M33" s="14"/>
      <c r="N33" s="14"/>
      <c r="O33" s="42"/>
      <c r="P33" s="42"/>
      <c r="Q33" s="42"/>
      <c r="R33" s="14"/>
      <c r="S33" s="14"/>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17"/>
    </row>
    <row r="34" spans="1:45" x14ac:dyDescent="0.25">
      <c r="A34" s="12"/>
      <c r="B34" s="13" t="s">
        <v>28</v>
      </c>
      <c r="C34" s="14" t="s">
        <v>576</v>
      </c>
      <c r="D34" s="14"/>
      <c r="E34" s="15" t="s">
        <v>261</v>
      </c>
      <c r="F34" s="202">
        <f>BEB!G550</f>
        <v>1.4364619753052057</v>
      </c>
      <c r="G34" s="177">
        <f>BEB!$G$612</f>
        <v>-3.5125449257608308</v>
      </c>
      <c r="H34" s="177">
        <f t="shared" si="1"/>
        <v>-4.9490069010660367</v>
      </c>
      <c r="I34" s="28"/>
      <c r="J34" s="14"/>
      <c r="K34" s="14"/>
      <c r="L34" s="14"/>
      <c r="M34" s="14"/>
      <c r="N34" s="14"/>
      <c r="O34" s="42"/>
      <c r="P34" s="42"/>
      <c r="Q34" s="42"/>
      <c r="R34" s="14"/>
      <c r="S34" s="14"/>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17"/>
    </row>
    <row r="35" spans="1:45" x14ac:dyDescent="0.25">
      <c r="A35" s="12"/>
      <c r="B35" s="13" t="s">
        <v>28</v>
      </c>
      <c r="C35" s="14" t="s">
        <v>581</v>
      </c>
      <c r="D35" s="14"/>
      <c r="E35" s="15" t="s">
        <v>261</v>
      </c>
      <c r="F35" s="202">
        <f>BEB!G638</f>
        <v>1.4168478463971743</v>
      </c>
      <c r="G35" s="233">
        <f>BEB!G646</f>
        <v>1.5475695244334107</v>
      </c>
      <c r="H35" s="177">
        <f t="shared" si="1"/>
        <v>0.13072167803623636</v>
      </c>
      <c r="I35" s="28"/>
      <c r="J35" s="14"/>
      <c r="K35" s="14"/>
      <c r="L35" s="14"/>
      <c r="M35" s="14"/>
      <c r="N35" s="14"/>
      <c r="O35" s="42"/>
      <c r="P35" s="42"/>
      <c r="Q35" s="42"/>
      <c r="R35" s="14"/>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17"/>
    </row>
    <row r="36" spans="1:45" x14ac:dyDescent="0.25">
      <c r="A36" s="12"/>
      <c r="B36" s="13" t="s">
        <v>30</v>
      </c>
      <c r="C36" s="14" t="s">
        <v>598</v>
      </c>
      <c r="D36" s="14"/>
      <c r="E36" s="15" t="s">
        <v>261</v>
      </c>
      <c r="F36" s="202">
        <f>HFCB!G359</f>
        <v>1.7881606736667173</v>
      </c>
      <c r="G36" s="177">
        <f>HFCB!$G$416</f>
        <v>6.783763840194367</v>
      </c>
      <c r="H36" s="177">
        <f t="shared" si="1"/>
        <v>4.9956031665276495</v>
      </c>
      <c r="I36" s="28"/>
      <c r="J36" s="14"/>
      <c r="K36" s="14"/>
      <c r="L36" s="14"/>
      <c r="M36" s="14"/>
      <c r="N36" s="14"/>
      <c r="O36" s="42"/>
      <c r="P36" s="42"/>
      <c r="Q36" s="42"/>
      <c r="R36" s="14"/>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17"/>
    </row>
    <row r="37" spans="1:45" x14ac:dyDescent="0.25">
      <c r="A37" s="12"/>
      <c r="B37" s="13" t="s">
        <v>30</v>
      </c>
      <c r="C37" s="14" t="s">
        <v>603</v>
      </c>
      <c r="D37" s="14"/>
      <c r="E37" s="15" t="s">
        <v>261</v>
      </c>
      <c r="F37" s="202">
        <f>HFCB!G450</f>
        <v>1.6787643402851398</v>
      </c>
      <c r="G37" s="177">
        <f>HFCB!$G$510</f>
        <v>-3.2989926723963556</v>
      </c>
      <c r="H37" s="177">
        <f t="shared" si="1"/>
        <v>-4.9777570126814954</v>
      </c>
      <c r="I37" s="28"/>
      <c r="J37" s="14"/>
      <c r="K37" s="14"/>
      <c r="L37" s="14"/>
      <c r="M37" s="14"/>
      <c r="N37" s="14"/>
      <c r="O37" s="42"/>
      <c r="P37" s="42"/>
      <c r="Q37" s="42"/>
      <c r="R37" s="14"/>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17"/>
    </row>
    <row r="38" spans="1:45" x14ac:dyDescent="0.25">
      <c r="A38" s="12"/>
      <c r="B38" s="13" t="s">
        <v>30</v>
      </c>
      <c r="C38" s="14" t="s">
        <v>605</v>
      </c>
      <c r="D38" s="14"/>
      <c r="E38" s="15" t="s">
        <v>261</v>
      </c>
      <c r="F38" s="202">
        <f>HFCB!G536</f>
        <v>1.6506483740093914</v>
      </c>
      <c r="G38" s="177">
        <f>HFCB!G544</f>
        <v>1.7450187381340596</v>
      </c>
      <c r="H38" s="177">
        <f t="shared" si="1"/>
        <v>9.437036412466826E-2</v>
      </c>
      <c r="I38" s="28"/>
      <c r="J38" s="14"/>
      <c r="K38" s="14"/>
      <c r="L38" s="14"/>
      <c r="M38" s="14"/>
      <c r="N38" s="14"/>
      <c r="O38" s="42"/>
      <c r="P38" s="42"/>
      <c r="Q38" s="42"/>
      <c r="R38" s="14"/>
      <c r="S38" s="49"/>
      <c r="T38" s="49"/>
      <c r="U38" s="49"/>
      <c r="V38" s="49"/>
      <c r="W38" s="49"/>
      <c r="X38" s="43"/>
      <c r="Y38" s="43"/>
      <c r="Z38" s="43"/>
      <c r="AA38" s="43"/>
      <c r="AB38" s="43"/>
      <c r="AC38" s="43"/>
      <c r="AD38" s="43"/>
      <c r="AE38" s="43"/>
      <c r="AF38" s="43"/>
      <c r="AG38" s="43"/>
      <c r="AH38" s="43"/>
      <c r="AI38" s="49"/>
      <c r="AJ38" s="49"/>
      <c r="AK38" s="49"/>
      <c r="AL38" s="49"/>
      <c r="AM38" s="49"/>
      <c r="AN38" s="49"/>
      <c r="AO38" s="49"/>
      <c r="AP38" s="49"/>
      <c r="AQ38" s="43"/>
      <c r="AR38" s="43"/>
      <c r="AS38" s="50"/>
    </row>
    <row r="39" spans="1:45" x14ac:dyDescent="0.25">
      <c r="A39" s="12"/>
      <c r="B39" s="12"/>
      <c r="C39" s="12"/>
      <c r="D39" s="12"/>
      <c r="E39" s="12"/>
      <c r="F39" s="12"/>
      <c r="G39" s="12"/>
      <c r="H39" s="12"/>
      <c r="I39" s="28"/>
      <c r="J39" s="14"/>
      <c r="K39" s="14"/>
      <c r="L39" s="14"/>
      <c r="M39" s="14"/>
      <c r="N39" s="14"/>
      <c r="O39" s="42"/>
      <c r="P39" s="42"/>
      <c r="Q39" s="42"/>
      <c r="R39" s="14"/>
      <c r="S39" s="12"/>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3"/>
      <c r="AR39" s="43"/>
      <c r="AS39" s="50"/>
    </row>
    <row r="40" spans="1:45" x14ac:dyDescent="0.25">
      <c r="A40" s="12"/>
      <c r="B40" s="12"/>
      <c r="C40" s="12"/>
      <c r="D40" s="12"/>
      <c r="E40" s="12"/>
      <c r="F40" s="12"/>
      <c r="G40" s="12"/>
      <c r="H40" s="12"/>
      <c r="I40" s="28"/>
      <c r="J40" s="14"/>
      <c r="K40" s="14"/>
      <c r="L40" s="14"/>
      <c r="M40" s="14"/>
      <c r="N40" s="14"/>
      <c r="O40" s="42"/>
      <c r="P40" s="42"/>
      <c r="Q40" s="42"/>
      <c r="R40" s="14"/>
      <c r="S40" s="12"/>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3"/>
      <c r="AR40" s="43"/>
      <c r="AS40" s="50"/>
    </row>
    <row r="41" spans="1:45" x14ac:dyDescent="0.25">
      <c r="A41" s="12"/>
      <c r="B41" s="12"/>
      <c r="C41" s="12"/>
      <c r="D41" s="12"/>
      <c r="E41" s="12"/>
      <c r="F41" s="12"/>
      <c r="G41" s="28"/>
      <c r="H41" s="12"/>
      <c r="I41" s="28"/>
      <c r="J41" s="14"/>
      <c r="K41" s="14"/>
      <c r="L41" s="14"/>
      <c r="M41" s="14"/>
      <c r="N41" s="14"/>
      <c r="O41" s="42"/>
      <c r="P41" s="42"/>
      <c r="Q41" s="42"/>
      <c r="R41" s="14"/>
      <c r="S41" s="12"/>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3"/>
      <c r="AR41" s="43"/>
      <c r="AS41" s="50"/>
    </row>
    <row r="42" spans="1:45" x14ac:dyDescent="0.25">
      <c r="A42" s="12"/>
      <c r="B42" s="12"/>
      <c r="C42" s="12"/>
      <c r="D42" s="12"/>
      <c r="E42" s="12"/>
      <c r="F42" s="12"/>
      <c r="G42" s="28"/>
      <c r="H42" s="12"/>
      <c r="I42" s="12"/>
      <c r="J42" s="14"/>
      <c r="K42" s="14"/>
      <c r="L42" s="14"/>
      <c r="M42" s="14"/>
      <c r="N42" s="14"/>
      <c r="O42" s="42"/>
      <c r="P42" s="42"/>
      <c r="Q42" s="42"/>
      <c r="R42" s="12"/>
      <c r="S42" s="12"/>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3"/>
      <c r="AR42" s="43"/>
      <c r="AS42" s="50"/>
    </row>
    <row r="43" spans="1:45" x14ac:dyDescent="0.25">
      <c r="A43" s="12"/>
      <c r="B43" s="12"/>
      <c r="C43" s="12"/>
      <c r="D43" s="12"/>
      <c r="E43" s="12"/>
      <c r="F43" s="21"/>
      <c r="G43" s="28"/>
      <c r="H43" s="12"/>
      <c r="I43" s="12"/>
      <c r="J43" s="14"/>
      <c r="K43" s="14"/>
      <c r="L43" s="14"/>
      <c r="M43" s="14"/>
      <c r="N43" s="14"/>
      <c r="O43" s="42"/>
      <c r="P43" s="42"/>
      <c r="Q43" s="42"/>
      <c r="R43" s="12"/>
      <c r="S43" s="12"/>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3"/>
      <c r="AR43" s="43"/>
      <c r="AS43" s="50"/>
    </row>
    <row r="44" spans="1:45" x14ac:dyDescent="0.25">
      <c r="A44" s="12"/>
      <c r="B44" s="12"/>
      <c r="C44" s="12"/>
      <c r="D44" s="12"/>
      <c r="E44" s="12"/>
      <c r="F44" s="14"/>
      <c r="G44" s="42"/>
      <c r="H44" s="12"/>
      <c r="I44" s="12"/>
      <c r="J44" s="14"/>
      <c r="K44" s="14"/>
      <c r="L44" s="14"/>
      <c r="M44" s="14"/>
      <c r="N44" s="14"/>
      <c r="O44" s="42"/>
      <c r="P44" s="42"/>
      <c r="Q44" s="42"/>
      <c r="R44" s="12"/>
      <c r="S44" s="12"/>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3"/>
      <c r="AR44" s="43"/>
      <c r="AS44" s="50"/>
    </row>
    <row r="45" spans="1:45" x14ac:dyDescent="0.25">
      <c r="A45" s="90" t="s">
        <v>174</v>
      </c>
      <c r="B45" s="90"/>
      <c r="C45" s="90"/>
      <c r="D45" s="91"/>
      <c r="E45" s="92"/>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3"/>
      <c r="AQ45" s="43"/>
      <c r="AR45" s="43"/>
    </row>
    <row r="46" spans="1:45" x14ac:dyDescent="0.25">
      <c r="A46" s="49" t="str">
        <f>Dashboard!I62</f>
        <v>Hilly (Gradient  6%)</v>
      </c>
      <c r="B46" s="12"/>
      <c r="C46" s="12"/>
      <c r="D46" s="12"/>
      <c r="E46" s="12"/>
      <c r="G46" s="28"/>
      <c r="H46" s="12"/>
      <c r="I46" s="28"/>
      <c r="J46" s="14"/>
      <c r="K46" s="14"/>
      <c r="L46" s="14"/>
      <c r="M46" s="14"/>
      <c r="N46" s="14"/>
      <c r="O46" s="42"/>
      <c r="P46" s="42"/>
      <c r="Q46" s="42"/>
      <c r="R46" s="14"/>
      <c r="S46" s="12"/>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3"/>
      <c r="AR46" s="43"/>
      <c r="AS46" s="50"/>
    </row>
    <row r="47" spans="1:45" x14ac:dyDescent="0.25">
      <c r="A47" s="49" t="str">
        <f>Dashboard!I63</f>
        <v>3 Axle Double Decker Bus</v>
      </c>
      <c r="B47" s="257"/>
      <c r="C47" s="266" t="s">
        <v>606</v>
      </c>
      <c r="D47" s="256"/>
      <c r="E47" s="266" t="s">
        <v>165</v>
      </c>
      <c r="F47" s="267" t="s">
        <v>62</v>
      </c>
      <c r="G47" s="269" t="s">
        <v>607</v>
      </c>
      <c r="H47" s="268" t="s">
        <v>608</v>
      </c>
      <c r="I47" s="12"/>
      <c r="J47" s="266" t="s">
        <v>606</v>
      </c>
      <c r="K47" s="266" t="s">
        <v>165</v>
      </c>
      <c r="L47" s="266" t="s">
        <v>542</v>
      </c>
      <c r="M47" s="14"/>
      <c r="N47" s="14"/>
      <c r="O47" s="42"/>
      <c r="P47" s="42"/>
      <c r="Q47" s="42"/>
      <c r="R47" s="12"/>
      <c r="S47" s="12"/>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3"/>
      <c r="AR47" s="43"/>
      <c r="AS47" s="50"/>
    </row>
    <row r="48" spans="1:45" x14ac:dyDescent="0.25">
      <c r="A48" s="12"/>
      <c r="B48" s="13" t="s">
        <v>609</v>
      </c>
      <c r="C48" s="14" t="s">
        <v>610</v>
      </c>
      <c r="D48" s="14"/>
      <c r="E48" s="15" t="s">
        <v>261</v>
      </c>
      <c r="F48" s="278">
        <f>'Diesel (BAU)'!G230</f>
        <v>3.5967722341335588</v>
      </c>
      <c r="G48" s="177">
        <f>'Diesel (BAU)'!$G$263</f>
        <v>6.5898747034966441</v>
      </c>
      <c r="H48" s="177">
        <f t="shared" ref="H48:H57" si="2">G48-F48</f>
        <v>2.9931024693630852</v>
      </c>
      <c r="I48" s="12"/>
      <c r="J48" s="14" t="s">
        <v>611</v>
      </c>
      <c r="K48" s="45" t="s">
        <v>137</v>
      </c>
      <c r="L48" s="151">
        <f>'RE Diesel'!G282</f>
        <v>2.2988099517527729</v>
      </c>
      <c r="M48" s="14"/>
      <c r="N48" s="14"/>
      <c r="O48" s="42"/>
      <c r="P48" s="42"/>
      <c r="Q48" s="42"/>
      <c r="R48" s="12"/>
      <c r="S48" s="12"/>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3"/>
      <c r="AR48" s="43"/>
      <c r="AS48" s="50"/>
    </row>
    <row r="49" spans="1:45" x14ac:dyDescent="0.25">
      <c r="A49" s="12"/>
      <c r="B49" s="13" t="s">
        <v>22</v>
      </c>
      <c r="C49" s="14" t="s">
        <v>612</v>
      </c>
      <c r="D49" s="14"/>
      <c r="E49" s="15" t="s">
        <v>261</v>
      </c>
      <c r="F49" s="503">
        <f>'RE Diesel'!G237</f>
        <v>6.8647528602285375</v>
      </c>
      <c r="G49" s="165">
        <f>'RE Diesel'!$G$269</f>
        <v>10.108225309193534</v>
      </c>
      <c r="H49" s="165">
        <f t="shared" si="2"/>
        <v>3.2434724489649964</v>
      </c>
      <c r="I49" s="12"/>
      <c r="J49" s="14" t="s">
        <v>613</v>
      </c>
      <c r="K49" s="45" t="s">
        <v>137</v>
      </c>
      <c r="L49" s="151">
        <f>'H2 Blending'!G269</f>
        <v>-40.627879105797334</v>
      </c>
      <c r="M49" s="14"/>
      <c r="N49" s="14"/>
      <c r="O49" s="42"/>
      <c r="P49" s="42"/>
      <c r="Q49" s="42"/>
      <c r="R49" s="12"/>
      <c r="S49" s="12"/>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3"/>
      <c r="AR49" s="43"/>
      <c r="AS49" s="50"/>
    </row>
    <row r="50" spans="1:45" x14ac:dyDescent="0.25">
      <c r="A50" s="12"/>
      <c r="B50" s="13" t="s">
        <v>24</v>
      </c>
      <c r="C50" s="14" t="s">
        <v>614</v>
      </c>
      <c r="D50" s="14"/>
      <c r="E50" s="15" t="s">
        <v>261</v>
      </c>
      <c r="F50" s="503">
        <f>'H2 Blending'!G224</f>
        <v>3.4592568565254895</v>
      </c>
      <c r="G50" s="165">
        <f>'H2 Blending'!$G$256</f>
        <v>6.8152011773395031</v>
      </c>
      <c r="H50" s="165">
        <f t="shared" si="2"/>
        <v>3.3559443208140136</v>
      </c>
      <c r="I50" s="12"/>
      <c r="J50" s="14" t="s">
        <v>615</v>
      </c>
      <c r="K50" s="45" t="s">
        <v>137</v>
      </c>
      <c r="L50" s="151">
        <f>Repowered!G433</f>
        <v>-0.5232886997574705</v>
      </c>
      <c r="M50" s="14"/>
      <c r="N50" s="14"/>
      <c r="O50" s="42"/>
      <c r="P50" s="42"/>
      <c r="Q50" s="42"/>
      <c r="R50" s="12"/>
      <c r="S50" s="12"/>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3"/>
      <c r="AR50" s="43"/>
      <c r="AS50" s="50"/>
    </row>
    <row r="51" spans="1:45" x14ac:dyDescent="0.25">
      <c r="A51" s="12"/>
      <c r="B51" s="13" t="s">
        <v>26</v>
      </c>
      <c r="C51" s="14" t="s">
        <v>616</v>
      </c>
      <c r="D51" s="14"/>
      <c r="E51" s="15" t="s">
        <v>261</v>
      </c>
      <c r="F51" s="503">
        <f>Repowered!G361</f>
        <v>1.3113526071209884</v>
      </c>
      <c r="G51" s="503">
        <f>Repowered!$G$419</f>
        <v>-2.0702865293263208</v>
      </c>
      <c r="H51" s="503">
        <f t="shared" si="2"/>
        <v>-3.3816391364473093</v>
      </c>
      <c r="I51" s="12"/>
      <c r="J51" s="14" t="s">
        <v>617</v>
      </c>
      <c r="K51" s="45" t="s">
        <v>137</v>
      </c>
      <c r="L51" s="165">
        <f>BEB!G944</f>
        <v>-0.53089301929864752</v>
      </c>
      <c r="M51" s="14"/>
      <c r="N51" s="14"/>
      <c r="O51" s="42"/>
      <c r="P51" s="42"/>
      <c r="Q51" s="42"/>
      <c r="R51" s="12"/>
      <c r="S51" s="12"/>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3"/>
      <c r="AR51" s="43"/>
      <c r="AS51" s="50"/>
    </row>
    <row r="52" spans="1:45" x14ac:dyDescent="0.25">
      <c r="A52" s="12"/>
      <c r="B52" s="13" t="s">
        <v>28</v>
      </c>
      <c r="C52" s="14" t="s">
        <v>558</v>
      </c>
      <c r="D52" s="14"/>
      <c r="E52" s="15" t="s">
        <v>261</v>
      </c>
      <c r="F52" s="202">
        <f>BEB!G752</f>
        <v>1.9202596150590976</v>
      </c>
      <c r="G52" s="177">
        <f>BEB!$G$811</f>
        <v>5.3462377425327556</v>
      </c>
      <c r="H52" s="177">
        <f t="shared" si="2"/>
        <v>3.425978127473658</v>
      </c>
      <c r="I52" s="12"/>
      <c r="J52" s="14" t="s">
        <v>618</v>
      </c>
      <c r="K52" s="45" t="s">
        <v>137</v>
      </c>
      <c r="L52" s="151">
        <f>HFCB!G790</f>
        <v>-0.40350619875711008</v>
      </c>
      <c r="M52" s="14"/>
      <c r="N52" s="14"/>
      <c r="O52" s="42"/>
      <c r="P52" s="42"/>
      <c r="Q52" s="42"/>
      <c r="R52" s="12"/>
      <c r="S52" s="12"/>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3"/>
      <c r="AR52" s="43"/>
      <c r="AS52" s="50"/>
    </row>
    <row r="53" spans="1:45" x14ac:dyDescent="0.25">
      <c r="A53" s="12"/>
      <c r="B53" s="13" t="s">
        <v>28</v>
      </c>
      <c r="C53" s="14" t="s">
        <v>576</v>
      </c>
      <c r="D53" s="14"/>
      <c r="E53" s="15" t="s">
        <v>261</v>
      </c>
      <c r="F53" s="202">
        <f>BEB!G868</f>
        <v>1.2781413775692403</v>
      </c>
      <c r="G53" s="177">
        <f>BEB!$G$930</f>
        <v>-2.0973467038432614</v>
      </c>
      <c r="H53" s="177">
        <f>G53-F53</f>
        <v>-3.3754880814125015</v>
      </c>
      <c r="I53" s="12"/>
      <c r="J53" s="14"/>
      <c r="K53" s="14"/>
      <c r="L53" s="14"/>
      <c r="M53" s="14"/>
      <c r="N53" s="14"/>
      <c r="O53" s="42"/>
      <c r="P53" s="42"/>
      <c r="Q53" s="42"/>
      <c r="R53" s="12"/>
      <c r="S53" s="12"/>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3"/>
      <c r="AR53" s="43"/>
      <c r="AS53" s="50"/>
    </row>
    <row r="54" spans="1:45" x14ac:dyDescent="0.25">
      <c r="A54" s="12"/>
      <c r="B54" s="13" t="s">
        <v>28</v>
      </c>
      <c r="C54" s="14" t="s">
        <v>581</v>
      </c>
      <c r="D54" s="14"/>
      <c r="E54" s="15" t="s">
        <v>261</v>
      </c>
      <c r="F54" s="202">
        <f>BEB!G956</f>
        <v>1.2702848662723201</v>
      </c>
      <c r="G54" s="233">
        <f>BEB!G964</f>
        <v>1.3484833605375708</v>
      </c>
      <c r="H54" s="177">
        <f t="shared" si="2"/>
        <v>7.8198494265250718E-2</v>
      </c>
      <c r="I54" s="12"/>
      <c r="J54" s="14"/>
      <c r="K54" s="47"/>
      <c r="L54" s="47"/>
      <c r="M54" s="14"/>
      <c r="N54" s="14"/>
      <c r="O54" s="42"/>
      <c r="P54" s="42"/>
      <c r="Q54" s="42"/>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3"/>
      <c r="AR54" s="43"/>
      <c r="AS54" s="50"/>
    </row>
    <row r="55" spans="1:45" x14ac:dyDescent="0.25">
      <c r="A55" s="12"/>
      <c r="B55" s="13" t="s">
        <v>30</v>
      </c>
      <c r="C55" s="14" t="s">
        <v>598</v>
      </c>
      <c r="D55" s="14"/>
      <c r="E55" s="15" t="s">
        <v>261</v>
      </c>
      <c r="F55" s="202">
        <f>HFCB!G625</f>
        <v>2.0939602675166786</v>
      </c>
      <c r="G55" s="177">
        <f>HFCB!$G$682</f>
        <v>5.5003274026029683</v>
      </c>
      <c r="H55" s="177">
        <f t="shared" si="2"/>
        <v>3.4063671350862896</v>
      </c>
      <c r="I55" s="12"/>
      <c r="J55" s="14"/>
      <c r="K55" s="14"/>
      <c r="L55" s="14"/>
      <c r="M55" s="14"/>
      <c r="N55" s="14"/>
      <c r="O55" s="42"/>
      <c r="P55" s="42"/>
      <c r="Q55" s="42"/>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17"/>
    </row>
    <row r="56" spans="1:45" x14ac:dyDescent="0.25">
      <c r="A56" s="12"/>
      <c r="B56" s="13" t="s">
        <v>30</v>
      </c>
      <c r="C56" s="14" t="s">
        <v>603</v>
      </c>
      <c r="D56" s="14"/>
      <c r="E56" s="15" t="s">
        <v>261</v>
      </c>
      <c r="F56" s="202">
        <f>HFCB!G716</f>
        <v>1.7757465899846316</v>
      </c>
      <c r="G56" s="177">
        <f>HFCB!$G$776</f>
        <v>-1.6208051604862734</v>
      </c>
      <c r="H56" s="177">
        <f>G56-F56</f>
        <v>-3.3965517504709051</v>
      </c>
      <c r="I56" s="12"/>
      <c r="J56" s="14"/>
      <c r="K56" s="14"/>
      <c r="L56" s="14"/>
      <c r="M56" s="14"/>
      <c r="N56" s="14"/>
      <c r="O56" s="42"/>
      <c r="P56" s="42"/>
      <c r="Q56" s="42"/>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17"/>
    </row>
    <row r="57" spans="1:45" x14ac:dyDescent="0.25">
      <c r="A57" s="12"/>
      <c r="B57" s="13" t="s">
        <v>30</v>
      </c>
      <c r="C57" s="14" t="s">
        <v>605</v>
      </c>
      <c r="D57" s="14"/>
      <c r="E57" s="15" t="s">
        <v>261</v>
      </c>
      <c r="F57" s="202">
        <f>HFCB!G802</f>
        <v>1.75813311373839</v>
      </c>
      <c r="G57" s="177">
        <f>HFCB!G810</f>
        <v>1.8108694915874983</v>
      </c>
      <c r="H57" s="177">
        <f t="shared" si="2"/>
        <v>5.273637784910834E-2</v>
      </c>
      <c r="I57" s="12"/>
      <c r="J57" s="14"/>
      <c r="K57" s="14"/>
      <c r="L57" s="14"/>
      <c r="M57" s="14"/>
      <c r="N57" s="14"/>
      <c r="O57" s="42"/>
      <c r="P57" s="42"/>
      <c r="Q57" s="42"/>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17"/>
    </row>
    <row r="58" spans="1:45" x14ac:dyDescent="0.25">
      <c r="A58" s="12"/>
      <c r="B58" s="13"/>
      <c r="C58" s="14"/>
      <c r="D58" s="14"/>
      <c r="E58" s="15"/>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43"/>
      <c r="AR58" s="43"/>
    </row>
    <row r="59" spans="1:45" x14ac:dyDescent="0.25">
      <c r="A59" s="12"/>
      <c r="B59" s="12"/>
      <c r="C59" s="12"/>
      <c r="D59" s="12"/>
      <c r="E59" s="12"/>
      <c r="F59" s="12"/>
      <c r="G59" s="12"/>
      <c r="H59" s="12"/>
      <c r="I59" s="12"/>
      <c r="J59" s="12"/>
      <c r="K59" s="12"/>
      <c r="L59" s="12"/>
      <c r="M59" s="12"/>
      <c r="N59" s="12"/>
      <c r="O59" s="12"/>
      <c r="P59" s="12"/>
      <c r="Q59" s="12"/>
      <c r="R59" s="12"/>
      <c r="S59" s="12"/>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50"/>
    </row>
    <row r="60" spans="1:45" x14ac:dyDescent="0.25">
      <c r="A60" s="12"/>
      <c r="B60" s="12"/>
      <c r="C60" s="12"/>
      <c r="D60" s="12"/>
      <c r="E60" s="12"/>
      <c r="F60" s="12"/>
      <c r="G60" s="12"/>
      <c r="H60" s="12"/>
      <c r="I60" s="12"/>
      <c r="J60" s="12"/>
      <c r="K60" s="12"/>
      <c r="L60" s="12"/>
      <c r="M60" s="12"/>
      <c r="N60" s="12"/>
      <c r="O60" s="12"/>
      <c r="P60" s="12"/>
      <c r="Q60" s="12"/>
      <c r="R60" s="12"/>
      <c r="S60" s="12"/>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50"/>
    </row>
    <row r="61" spans="1:45" x14ac:dyDescent="0.25">
      <c r="A61" s="12"/>
      <c r="B61" s="12"/>
      <c r="C61" s="12"/>
      <c r="D61" s="12"/>
      <c r="E61" s="12"/>
      <c r="F61" s="12"/>
      <c r="G61" s="12"/>
      <c r="H61" s="12"/>
      <c r="I61" s="12"/>
      <c r="J61" s="12"/>
      <c r="K61" s="12"/>
      <c r="L61" s="12"/>
      <c r="M61" s="12"/>
      <c r="N61" s="12"/>
      <c r="O61" s="12"/>
      <c r="P61" s="12"/>
      <c r="Q61" s="12"/>
      <c r="R61" s="12"/>
      <c r="S61" s="12"/>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50"/>
    </row>
    <row r="62" spans="1:45" x14ac:dyDescent="0.25">
      <c r="A62" s="12"/>
      <c r="B62" s="13"/>
      <c r="C62" s="47"/>
      <c r="D62" s="47"/>
      <c r="E62" s="21"/>
      <c r="F62" s="20"/>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50"/>
    </row>
  </sheetData>
  <phoneticPr fontId="30" type="noConversion"/>
  <conditionalFormatting sqref="A9:A10">
    <cfRule type="expression" dxfId="43" priority="24">
      <formula>ISNA(A9)</formula>
    </cfRule>
    <cfRule type="expression" dxfId="42" priority="25">
      <formula>F$2&gt;=start_proj</formula>
    </cfRule>
  </conditionalFormatting>
  <conditionalFormatting sqref="A27:A28">
    <cfRule type="expression" dxfId="41" priority="669">
      <formula>K$2&gt;=start_proj</formula>
    </cfRule>
  </conditionalFormatting>
  <conditionalFormatting sqref="A46:A47">
    <cfRule type="expression" dxfId="40" priority="673">
      <formula>M$2&gt;=start_proj</formula>
    </cfRule>
  </conditionalFormatting>
  <conditionalFormatting sqref="F43">
    <cfRule type="expression" dxfId="39" priority="463">
      <formula>#REF!&gt;=start_proj</formula>
    </cfRule>
  </conditionalFormatting>
  <conditionalFormatting sqref="G27">
    <cfRule type="expression" dxfId="38" priority="9">
      <formula>N$2&gt;=start_proj</formula>
    </cfRule>
  </conditionalFormatting>
  <conditionalFormatting sqref="G41:G42 F43:G43 G44">
    <cfRule type="expression" dxfId="37" priority="665">
      <formula>M$2&gt;=start_proj</formula>
    </cfRule>
  </conditionalFormatting>
  <conditionalFormatting sqref="G46">
    <cfRule type="expression" dxfId="36" priority="14">
      <formula>N$2&gt;=start_proj</formula>
    </cfRule>
  </conditionalFormatting>
  <conditionalFormatting sqref="G10:H13 R10:AS13 R14:R17 G15:H16 S15:AS16 J17:K17 G18:H20 R18:AS20 G27 A27:A28 I27:I41 O27:Q44 L32 G41:G42 F43:G43 G44 A46:A47 L51 G62:AS62">
    <cfRule type="expression" dxfId="35" priority="75">
      <formula>ISNA(A10)</formula>
    </cfRule>
  </conditionalFormatting>
  <conditionalFormatting sqref="G11:H13 G15:H16 G18:H20">
    <cfRule type="expression" dxfId="34" priority="5">
      <formula>F$2&gt;=start_proj</formula>
    </cfRule>
  </conditionalFormatting>
  <conditionalFormatting sqref="G29:H31 G33:H34 H35 G36:H38">
    <cfRule type="expression" dxfId="33" priority="3">
      <formula>F$2&gt;=start_proj</formula>
    </cfRule>
  </conditionalFormatting>
  <conditionalFormatting sqref="G47:H50 G52:H53 H54 G55:H57">
    <cfRule type="expression" dxfId="32" priority="2">
      <formula>ISNA(G47)</formula>
    </cfRule>
  </conditionalFormatting>
  <conditionalFormatting sqref="G48:H50 G52:H53 H54 G55:H57">
    <cfRule type="expression" dxfId="31" priority="1">
      <formula>F$2&gt;=start_proj</formula>
    </cfRule>
  </conditionalFormatting>
  <conditionalFormatting sqref="I9:I21 G46 I46 O46:Q57">
    <cfRule type="expression" dxfId="30" priority="12">
      <formula>ISNA(G9)</formula>
    </cfRule>
  </conditionalFormatting>
  <conditionalFormatting sqref="I9:I21 O9:Q25 R10:AS13 R14:R17 J17:K17 I25 I27:I41 O27:Q44 T59:AS61 G62:AS62">
    <cfRule type="expression" dxfId="29" priority="91">
      <formula>G$2&gt;=start_proj</formula>
    </cfRule>
  </conditionalFormatting>
  <conditionalFormatting sqref="I46 O46:Q57">
    <cfRule type="expression" dxfId="28" priority="13">
      <formula>I$2&gt;=start_proj</formula>
    </cfRule>
  </conditionalFormatting>
  <conditionalFormatting sqref="L32">
    <cfRule type="expression" dxfId="27" priority="496">
      <formula>K$2&gt;=start_proj</formula>
    </cfRule>
  </conditionalFormatting>
  <conditionalFormatting sqref="L51">
    <cfRule type="expression" dxfId="26" priority="661">
      <formula>M$2&gt;=start_proj</formula>
    </cfRule>
    <cfRule type="expression" dxfId="25" priority="663">
      <formula>H$2&gt;=start_proj</formula>
    </cfRule>
  </conditionalFormatting>
  <conditionalFormatting sqref="O9:Q25 I25 G28:H31 G33:H34 H35 G36:H38 T59:AS61">
    <cfRule type="expression" dxfId="24" priority="4">
      <formula>ISNA(G9)</formula>
    </cfRule>
  </conditionalFormatting>
  <conditionalFormatting sqref="S38:W38 AI38:AP38 AS38:AS44 T39:AP44 R54:AP54">
    <cfRule type="expression" dxfId="23" priority="22">
      <formula>ISNA(R38)</formula>
    </cfRule>
    <cfRule type="expression" dxfId="22" priority="23">
      <formula>R$2&gt;=start_proj</formula>
    </cfRule>
  </conditionalFormatting>
  <conditionalFormatting sqref="S15:AS16 R18:AS20">
    <cfRule type="expression" dxfId="21" priority="76">
      <formula>R$2&gt;=start_proj</formula>
    </cfRule>
  </conditionalFormatting>
  <conditionalFormatting sqref="T27:AP27 AS27">
    <cfRule type="expression" dxfId="20" priority="7">
      <formula>ISNA(T27)</formula>
    </cfRule>
    <cfRule type="expression" dxfId="19" priority="8">
      <formula>T$2&gt;=start_proj</formula>
    </cfRule>
  </conditionalFormatting>
  <conditionalFormatting sqref="T46:AP53 AS46:AS54">
    <cfRule type="expression" dxfId="18" priority="10">
      <formula>ISNA(T46)</formula>
    </cfRule>
    <cfRule type="expression" dxfId="17" priority="11">
      <formula>T$2&gt;=start_proj</formula>
    </cfRule>
  </conditionalFormatting>
  <conditionalFormatting sqref="AS2">
    <cfRule type="cellIs" dxfId="16" priority="46" operator="equal">
      <formula>end_proj</formula>
    </cfRule>
    <cfRule type="expression" dxfId="15" priority="47">
      <formula>ISNA(AS2)</formula>
    </cfRule>
    <cfRule type="cellIs" dxfId="14" priority="48" operator="equal">
      <formula>start_proj</formula>
    </cfRule>
    <cfRule type="cellIs" dxfId="13" priority="51" operator="equal">
      <formula>start_hist</formula>
    </cfRule>
    <cfRule type="cellIs" dxfId="12" priority="52" operator="greaterThan">
      <formula>start_proj</formula>
    </cfRule>
  </conditionalFormatting>
  <hyperlinks>
    <hyperlink ref="C1" location="Dashboard!A1" display="Go to Dashboard" xr:uid="{772A42D8-3245-4640-ACB7-950204A145AC}"/>
    <hyperlink ref="D1" location="Cover!A1" display="Go to Results" xr:uid="{E899057E-117C-4A12-AC35-BCE15B04488C}"/>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2445B-3FA8-447E-9BAA-6DFBC28456F8}">
  <sheetPr codeName="Sheet1">
    <tabColor theme="9" tint="0.79998168889431442"/>
  </sheetPr>
  <dimension ref="B1:Q68"/>
  <sheetViews>
    <sheetView zoomScale="85" zoomScaleNormal="85" workbookViewId="0">
      <selection activeCell="C23" sqref="C23:P32"/>
    </sheetView>
  </sheetViews>
  <sheetFormatPr defaultColWidth="9.140625" defaultRowHeight="15" x14ac:dyDescent="0.25"/>
  <cols>
    <col min="1" max="2" width="5.85546875" style="94" customWidth="1"/>
    <col min="3" max="5" width="9.140625" style="94"/>
    <col min="6" max="6" width="11.140625" style="94" customWidth="1"/>
    <col min="7" max="8" width="2.85546875" style="94" customWidth="1"/>
    <col min="9" max="12" width="9.140625" style="94"/>
    <col min="13" max="13" width="11.85546875" style="94" customWidth="1"/>
    <col min="14" max="14" width="10.85546875" style="94" customWidth="1"/>
    <col min="15" max="16" width="9.140625" style="94"/>
    <col min="17" max="17" width="5.85546875" style="94" customWidth="1"/>
    <col min="18" max="16384" width="9.140625" style="94"/>
  </cols>
  <sheetData>
    <row r="1" spans="2:17" ht="20.100000000000001" customHeight="1" x14ac:dyDescent="0.25"/>
    <row r="2" spans="2:17" x14ac:dyDescent="0.25">
      <c r="B2" s="14"/>
      <c r="C2" s="14"/>
      <c r="D2" s="14"/>
      <c r="E2" s="14"/>
      <c r="F2" s="14"/>
      <c r="G2" s="14"/>
      <c r="H2" s="14"/>
      <c r="I2" s="14"/>
      <c r="J2" s="14"/>
      <c r="K2" s="14"/>
      <c r="L2" s="14"/>
      <c r="M2" s="14"/>
      <c r="N2" s="14"/>
      <c r="O2" s="14"/>
      <c r="P2" s="14"/>
      <c r="Q2" s="14"/>
    </row>
    <row r="3" spans="2:17" x14ac:dyDescent="0.25">
      <c r="B3" s="14"/>
      <c r="C3" s="14"/>
      <c r="D3" s="14"/>
      <c r="E3" s="14"/>
      <c r="F3" s="14"/>
      <c r="G3" s="14"/>
      <c r="H3" s="14"/>
      <c r="I3" s="14"/>
      <c r="J3" s="14"/>
      <c r="K3" s="14"/>
      <c r="L3" s="14"/>
      <c r="M3" s="14"/>
      <c r="N3" s="14"/>
      <c r="O3" s="14"/>
      <c r="P3" s="14"/>
      <c r="Q3" s="14"/>
    </row>
    <row r="4" spans="2:17" x14ac:dyDescent="0.25">
      <c r="B4" s="14"/>
      <c r="C4" s="14"/>
      <c r="D4" s="14"/>
      <c r="E4" s="14"/>
      <c r="F4" s="14"/>
      <c r="G4" s="14"/>
      <c r="H4" s="14"/>
      <c r="I4" s="14"/>
      <c r="J4" s="14"/>
      <c r="K4" s="14"/>
      <c r="L4" s="14"/>
      <c r="M4" s="14"/>
      <c r="N4" s="14"/>
      <c r="O4" s="14"/>
      <c r="P4" s="14"/>
      <c r="Q4" s="14"/>
    </row>
    <row r="5" spans="2:17" x14ac:dyDescent="0.25">
      <c r="B5" s="14"/>
      <c r="C5" s="14"/>
      <c r="D5" s="14"/>
      <c r="E5" s="14"/>
      <c r="F5" s="14"/>
      <c r="G5" s="14"/>
      <c r="H5" s="14"/>
      <c r="I5" s="14"/>
      <c r="J5" s="14"/>
      <c r="K5" s="14"/>
      <c r="L5" s="14"/>
      <c r="M5" s="14"/>
      <c r="N5" s="14"/>
      <c r="O5" s="14"/>
      <c r="P5" s="14"/>
      <c r="Q5" s="14"/>
    </row>
    <row r="6" spans="2:17" x14ac:dyDescent="0.25">
      <c r="B6" s="14"/>
      <c r="C6" s="14"/>
      <c r="D6" s="14"/>
      <c r="E6" s="14"/>
      <c r="F6" s="14"/>
      <c r="G6" s="14"/>
      <c r="H6" s="14"/>
      <c r="I6" s="14"/>
      <c r="J6" s="14"/>
      <c r="K6" s="14"/>
      <c r="L6" s="14"/>
      <c r="M6" s="14"/>
      <c r="N6" s="14"/>
      <c r="O6" s="14"/>
      <c r="P6" s="14"/>
      <c r="Q6" s="14"/>
    </row>
    <row r="7" spans="2:17" x14ac:dyDescent="0.25">
      <c r="B7" s="14"/>
      <c r="C7" s="14"/>
      <c r="D7" s="14"/>
      <c r="E7" s="14"/>
      <c r="F7" s="14"/>
      <c r="G7" s="14"/>
      <c r="H7" s="14"/>
      <c r="I7" s="14"/>
      <c r="J7" s="14"/>
      <c r="K7" s="14"/>
      <c r="L7" s="14"/>
      <c r="M7" s="14"/>
      <c r="N7" s="14"/>
      <c r="O7" s="14"/>
      <c r="P7" s="14"/>
      <c r="Q7" s="14"/>
    </row>
    <row r="8" spans="2:17" x14ac:dyDescent="0.25">
      <c r="B8" s="14"/>
      <c r="C8" s="14"/>
      <c r="D8" s="14"/>
      <c r="E8" s="14"/>
      <c r="F8" s="14"/>
      <c r="G8" s="14"/>
      <c r="H8" s="14"/>
      <c r="I8" s="14"/>
      <c r="J8" s="14"/>
      <c r="K8" s="14"/>
      <c r="L8" s="14"/>
      <c r="M8" s="14"/>
      <c r="N8" s="14"/>
      <c r="O8" s="14"/>
      <c r="P8" s="14"/>
      <c r="Q8" s="14"/>
    </row>
    <row r="9" spans="2:17" x14ac:dyDescent="0.25">
      <c r="B9" s="14"/>
      <c r="C9" s="14"/>
      <c r="D9" s="14"/>
      <c r="E9" s="14"/>
      <c r="F9" s="14"/>
      <c r="G9" s="14"/>
      <c r="H9" s="14"/>
      <c r="I9" s="14"/>
      <c r="J9" s="14"/>
      <c r="K9" s="14"/>
      <c r="L9" s="14"/>
      <c r="M9" s="14"/>
      <c r="N9" s="14"/>
      <c r="O9" s="14"/>
      <c r="P9" s="14"/>
      <c r="Q9" s="14"/>
    </row>
    <row r="10" spans="2:17" x14ac:dyDescent="0.25">
      <c r="B10" s="14"/>
      <c r="C10" s="14"/>
      <c r="D10" s="14"/>
      <c r="E10" s="14"/>
      <c r="F10" s="14"/>
      <c r="G10" s="14"/>
      <c r="H10" s="14"/>
      <c r="I10" s="14"/>
      <c r="J10" s="14"/>
      <c r="K10" s="14"/>
      <c r="L10" s="14"/>
      <c r="M10" s="14"/>
      <c r="N10" s="14"/>
      <c r="O10" s="14"/>
      <c r="P10" s="14"/>
      <c r="Q10" s="14"/>
    </row>
    <row r="11" spans="2:17" x14ac:dyDescent="0.25">
      <c r="B11" s="14"/>
      <c r="C11" s="14"/>
      <c r="D11" s="14"/>
      <c r="E11" s="14"/>
      <c r="F11" s="14"/>
      <c r="G11" s="14"/>
      <c r="H11" s="14"/>
      <c r="I11" s="14"/>
      <c r="J11" s="14"/>
      <c r="K11" s="14"/>
      <c r="L11" s="14"/>
      <c r="M11" s="14"/>
      <c r="N11" s="14"/>
      <c r="O11" s="14"/>
      <c r="P11" s="14"/>
      <c r="Q11" s="14"/>
    </row>
    <row r="12" spans="2:17" x14ac:dyDescent="0.25">
      <c r="B12" s="14"/>
      <c r="C12" s="14"/>
      <c r="D12" s="14"/>
      <c r="E12" s="14"/>
      <c r="F12" s="14"/>
      <c r="G12" s="14"/>
      <c r="H12" s="14"/>
      <c r="I12" s="14"/>
      <c r="J12" s="14"/>
      <c r="K12" s="14"/>
      <c r="L12" s="14"/>
      <c r="M12" s="14"/>
      <c r="N12" s="14"/>
      <c r="O12" s="14"/>
      <c r="P12" s="14"/>
      <c r="Q12" s="14"/>
    </row>
    <row r="13" spans="2:17" x14ac:dyDescent="0.25">
      <c r="B13" s="14"/>
      <c r="C13" s="14"/>
      <c r="D13" s="14"/>
      <c r="E13" s="14"/>
      <c r="F13" s="14"/>
      <c r="G13" s="14"/>
      <c r="H13" s="14"/>
      <c r="I13" s="14"/>
      <c r="J13" s="14"/>
      <c r="K13" s="14"/>
      <c r="L13" s="14"/>
      <c r="M13" s="14"/>
      <c r="N13" s="14"/>
      <c r="O13" s="14"/>
      <c r="P13" s="14"/>
      <c r="Q13" s="14"/>
    </row>
    <row r="14" spans="2:17" x14ac:dyDescent="0.25">
      <c r="B14" s="14"/>
      <c r="C14" s="14"/>
      <c r="D14" s="14"/>
      <c r="E14" s="14"/>
      <c r="F14" s="14"/>
      <c r="G14" s="14"/>
      <c r="H14" s="14"/>
      <c r="I14" s="14"/>
      <c r="J14" s="14"/>
      <c r="K14" s="14"/>
      <c r="L14" s="14"/>
      <c r="M14" s="14"/>
      <c r="N14" s="14"/>
      <c r="O14" s="14"/>
      <c r="P14" s="14"/>
      <c r="Q14" s="14"/>
    </row>
    <row r="15" spans="2:17" x14ac:dyDescent="0.25">
      <c r="B15" s="14"/>
      <c r="C15" s="14"/>
      <c r="D15" s="14"/>
      <c r="E15" s="14"/>
      <c r="F15" s="14"/>
      <c r="G15" s="14"/>
      <c r="H15" s="14"/>
      <c r="I15" s="14"/>
      <c r="J15" s="14"/>
      <c r="K15" s="14"/>
      <c r="L15" s="14"/>
      <c r="M15" s="14"/>
      <c r="N15" s="14"/>
      <c r="O15" s="14"/>
      <c r="P15" s="14"/>
      <c r="Q15" s="14"/>
    </row>
    <row r="16" spans="2:17" x14ac:dyDescent="0.25">
      <c r="B16" s="14"/>
      <c r="C16" s="14"/>
      <c r="D16" s="14"/>
      <c r="E16" s="14"/>
      <c r="F16" s="14"/>
      <c r="G16" s="14"/>
      <c r="H16" s="14"/>
      <c r="I16" s="14"/>
      <c r="J16" s="14"/>
      <c r="K16" s="14"/>
      <c r="L16" s="14"/>
      <c r="M16" s="14"/>
      <c r="N16" s="14"/>
      <c r="O16" s="14"/>
      <c r="P16" s="14"/>
      <c r="Q16" s="14"/>
    </row>
    <row r="17" spans="2:17" x14ac:dyDescent="0.25">
      <c r="B17" s="14"/>
      <c r="C17" s="14"/>
      <c r="D17" s="14"/>
      <c r="E17" s="14"/>
      <c r="F17" s="14"/>
      <c r="G17" s="14"/>
      <c r="H17" s="14"/>
      <c r="I17" s="14"/>
      <c r="J17" s="14"/>
      <c r="K17" s="14"/>
      <c r="L17" s="14"/>
      <c r="M17" s="14"/>
      <c r="N17" s="14"/>
      <c r="O17" s="14"/>
      <c r="P17" s="14"/>
      <c r="Q17" s="14"/>
    </row>
    <row r="18" spans="2:17" x14ac:dyDescent="0.25">
      <c r="B18" s="14"/>
      <c r="C18" s="14"/>
      <c r="D18" s="14"/>
      <c r="E18" s="14"/>
      <c r="F18" s="14"/>
      <c r="G18" s="14"/>
      <c r="H18" s="14"/>
      <c r="I18" s="14"/>
      <c r="J18" s="14"/>
      <c r="K18" s="14"/>
      <c r="L18" s="14"/>
      <c r="M18" s="14"/>
      <c r="N18" s="14"/>
      <c r="O18" s="14"/>
      <c r="P18" s="14"/>
      <c r="Q18" s="14"/>
    </row>
    <row r="19" spans="2:17" x14ac:dyDescent="0.25">
      <c r="B19" s="14"/>
      <c r="C19" s="14"/>
      <c r="D19" s="14"/>
      <c r="E19" s="14"/>
      <c r="F19" s="14"/>
      <c r="G19" s="14"/>
      <c r="H19" s="14"/>
      <c r="I19" s="14"/>
      <c r="J19" s="14"/>
      <c r="K19" s="14"/>
      <c r="L19" s="14"/>
      <c r="M19" s="14"/>
      <c r="N19" s="14"/>
      <c r="O19" s="14"/>
      <c r="P19" s="14"/>
      <c r="Q19" s="14"/>
    </row>
    <row r="20" spans="2:17" ht="18.75" x14ac:dyDescent="0.3">
      <c r="B20" s="14"/>
      <c r="C20" s="120"/>
      <c r="D20" s="20"/>
      <c r="E20" s="14"/>
      <c r="F20" s="14"/>
      <c r="G20" s="14"/>
      <c r="H20" s="14"/>
      <c r="I20" s="14"/>
      <c r="J20" s="14"/>
      <c r="K20" s="14"/>
      <c r="L20" s="121"/>
      <c r="M20" s="121"/>
      <c r="N20" s="122"/>
      <c r="O20" s="122"/>
      <c r="P20" s="14"/>
      <c r="Q20" s="14"/>
    </row>
    <row r="21" spans="2:17" x14ac:dyDescent="0.25">
      <c r="B21" s="14"/>
      <c r="C21" s="14"/>
      <c r="D21" s="14"/>
      <c r="E21" s="14"/>
      <c r="F21" s="14"/>
      <c r="G21" s="14"/>
      <c r="H21" s="14"/>
      <c r="I21" s="14"/>
      <c r="J21" s="14"/>
      <c r="K21" s="14"/>
      <c r="L21" s="14"/>
      <c r="M21" s="14"/>
      <c r="N21" s="14"/>
      <c r="O21" s="14"/>
      <c r="P21" s="14"/>
      <c r="Q21" s="14"/>
    </row>
    <row r="22" spans="2:17" ht="16.5" customHeight="1" x14ac:dyDescent="0.25">
      <c r="B22" s="14"/>
      <c r="C22" s="14"/>
      <c r="D22" s="14"/>
      <c r="E22" s="14"/>
      <c r="F22" s="14"/>
      <c r="G22" s="14"/>
      <c r="H22" s="14"/>
      <c r="I22" s="14"/>
      <c r="J22" s="14"/>
      <c r="K22" s="14"/>
      <c r="L22" s="14"/>
      <c r="M22" s="14"/>
      <c r="N22" s="14"/>
      <c r="O22" s="14"/>
      <c r="P22" s="14"/>
      <c r="Q22" s="14"/>
    </row>
    <row r="23" spans="2:17" ht="38.25" customHeight="1" x14ac:dyDescent="0.25">
      <c r="B23" s="14"/>
      <c r="C23" s="521" t="s">
        <v>0</v>
      </c>
      <c r="D23" s="521"/>
      <c r="E23" s="521"/>
      <c r="F23" s="521"/>
      <c r="G23" s="521"/>
      <c r="H23" s="521"/>
      <c r="I23" s="521"/>
      <c r="J23" s="521"/>
      <c r="K23" s="521"/>
      <c r="L23" s="521"/>
      <c r="M23" s="521"/>
      <c r="N23" s="521"/>
      <c r="O23" s="521"/>
      <c r="P23" s="521"/>
      <c r="Q23" s="14"/>
    </row>
    <row r="24" spans="2:17" ht="38.25" customHeight="1" x14ac:dyDescent="0.25">
      <c r="B24" s="14"/>
      <c r="C24" s="521"/>
      <c r="D24" s="521"/>
      <c r="E24" s="521"/>
      <c r="F24" s="521"/>
      <c r="G24" s="521"/>
      <c r="H24" s="521"/>
      <c r="I24" s="521"/>
      <c r="J24" s="521"/>
      <c r="K24" s="521"/>
      <c r="L24" s="521"/>
      <c r="M24" s="521"/>
      <c r="N24" s="521"/>
      <c r="O24" s="521"/>
      <c r="P24" s="521"/>
      <c r="Q24" s="14"/>
    </row>
    <row r="25" spans="2:17" ht="38.25" customHeight="1" x14ac:dyDescent="0.25">
      <c r="B25" s="14"/>
      <c r="C25" s="521"/>
      <c r="D25" s="521"/>
      <c r="E25" s="521"/>
      <c r="F25" s="521"/>
      <c r="G25" s="521"/>
      <c r="H25" s="521"/>
      <c r="I25" s="521"/>
      <c r="J25" s="521"/>
      <c r="K25" s="521"/>
      <c r="L25" s="521"/>
      <c r="M25" s="521"/>
      <c r="N25" s="521"/>
      <c r="O25" s="521"/>
      <c r="P25" s="521"/>
      <c r="Q25" s="14"/>
    </row>
    <row r="26" spans="2:17" ht="38.25" customHeight="1" x14ac:dyDescent="0.25">
      <c r="B26" s="14"/>
      <c r="C26" s="521"/>
      <c r="D26" s="521"/>
      <c r="E26" s="521"/>
      <c r="F26" s="521"/>
      <c r="G26" s="521"/>
      <c r="H26" s="521"/>
      <c r="I26" s="521"/>
      <c r="J26" s="521"/>
      <c r="K26" s="521"/>
      <c r="L26" s="521"/>
      <c r="M26" s="521"/>
      <c r="N26" s="521"/>
      <c r="O26" s="521"/>
      <c r="P26" s="521"/>
      <c r="Q26" s="14"/>
    </row>
    <row r="27" spans="2:17" ht="38.25" customHeight="1" x14ac:dyDescent="0.25">
      <c r="B27" s="14"/>
      <c r="C27" s="521"/>
      <c r="D27" s="521"/>
      <c r="E27" s="521"/>
      <c r="F27" s="521"/>
      <c r="G27" s="521"/>
      <c r="H27" s="521"/>
      <c r="I27" s="521"/>
      <c r="J27" s="521"/>
      <c r="K27" s="521"/>
      <c r="L27" s="521"/>
      <c r="M27" s="521"/>
      <c r="N27" s="521"/>
      <c r="O27" s="521"/>
      <c r="P27" s="521"/>
      <c r="Q27" s="14"/>
    </row>
    <row r="28" spans="2:17" x14ac:dyDescent="0.25">
      <c r="B28" s="14"/>
      <c r="C28" s="521"/>
      <c r="D28" s="521"/>
      <c r="E28" s="521"/>
      <c r="F28" s="521"/>
      <c r="G28" s="521"/>
      <c r="H28" s="521"/>
      <c r="I28" s="521"/>
      <c r="J28" s="521"/>
      <c r="K28" s="521"/>
      <c r="L28" s="521"/>
      <c r="M28" s="521"/>
      <c r="N28" s="521"/>
      <c r="O28" s="521"/>
      <c r="P28" s="521"/>
      <c r="Q28" s="14"/>
    </row>
    <row r="29" spans="2:17" x14ac:dyDescent="0.25">
      <c r="B29" s="14"/>
      <c r="C29" s="521"/>
      <c r="D29" s="521"/>
      <c r="E29" s="521"/>
      <c r="F29" s="521"/>
      <c r="G29" s="521"/>
      <c r="H29" s="521"/>
      <c r="I29" s="521"/>
      <c r="J29" s="521"/>
      <c r="K29" s="521"/>
      <c r="L29" s="521"/>
      <c r="M29" s="521"/>
      <c r="N29" s="521"/>
      <c r="O29" s="521"/>
      <c r="P29" s="521"/>
      <c r="Q29" s="14"/>
    </row>
    <row r="30" spans="2:17" x14ac:dyDescent="0.25">
      <c r="B30" s="14"/>
      <c r="C30" s="521"/>
      <c r="D30" s="521"/>
      <c r="E30" s="521"/>
      <c r="F30" s="521"/>
      <c r="G30" s="521"/>
      <c r="H30" s="521"/>
      <c r="I30" s="521"/>
      <c r="J30" s="521"/>
      <c r="K30" s="521"/>
      <c r="L30" s="521"/>
      <c r="M30" s="521"/>
      <c r="N30" s="521"/>
      <c r="O30" s="521"/>
      <c r="P30" s="521"/>
      <c r="Q30" s="14"/>
    </row>
    <row r="31" spans="2:17" x14ac:dyDescent="0.25">
      <c r="B31" s="14"/>
      <c r="C31" s="521"/>
      <c r="D31" s="521"/>
      <c r="E31" s="521"/>
      <c r="F31" s="521"/>
      <c r="G31" s="521"/>
      <c r="H31" s="521"/>
      <c r="I31" s="521"/>
      <c r="J31" s="521"/>
      <c r="K31" s="521"/>
      <c r="L31" s="521"/>
      <c r="M31" s="521"/>
      <c r="N31" s="521"/>
      <c r="O31" s="521"/>
      <c r="P31" s="521"/>
      <c r="Q31" s="14"/>
    </row>
    <row r="32" spans="2:17" x14ac:dyDescent="0.25">
      <c r="B32" s="14"/>
      <c r="C32" s="521"/>
      <c r="D32" s="521"/>
      <c r="E32" s="521"/>
      <c r="F32" s="521"/>
      <c r="G32" s="521"/>
      <c r="H32" s="521"/>
      <c r="I32" s="521"/>
      <c r="J32" s="521"/>
      <c r="K32" s="521"/>
      <c r="L32" s="521"/>
      <c r="M32" s="521"/>
      <c r="N32" s="521"/>
      <c r="O32" s="521"/>
      <c r="P32" s="521"/>
      <c r="Q32" s="14"/>
    </row>
    <row r="33" spans="2:17" x14ac:dyDescent="0.25">
      <c r="B33" s="14"/>
      <c r="C33" s="14" t="s">
        <v>1</v>
      </c>
      <c r="D33" s="14"/>
      <c r="E33" s="14"/>
      <c r="F33" s="14"/>
      <c r="G33" s="14"/>
      <c r="H33" s="14"/>
      <c r="I33" s="14"/>
      <c r="J33" s="14"/>
      <c r="K33" s="14"/>
      <c r="L33" s="14"/>
      <c r="M33" s="14"/>
      <c r="N33" s="14"/>
      <c r="O33" s="14"/>
      <c r="P33" s="14"/>
      <c r="Q33" s="14"/>
    </row>
    <row r="34" spans="2:17" x14ac:dyDescent="0.25">
      <c r="B34" s="14"/>
      <c r="C34" s="21" t="s">
        <v>2</v>
      </c>
      <c r="D34" s="14"/>
      <c r="E34" s="14"/>
      <c r="F34" s="14"/>
      <c r="G34" s="14"/>
      <c r="H34" s="14"/>
      <c r="I34" s="123" t="s">
        <v>3</v>
      </c>
      <c r="J34" s="14"/>
      <c r="K34" s="14"/>
      <c r="L34" s="14"/>
      <c r="M34" s="14"/>
      <c r="N34" s="14"/>
      <c r="O34" s="14"/>
      <c r="P34" s="14"/>
      <c r="Q34" s="14"/>
    </row>
    <row r="35" spans="2:17" s="106" customFormat="1" x14ac:dyDescent="0.25">
      <c r="B35" s="101"/>
      <c r="C35" s="124">
        <v>1</v>
      </c>
      <c r="D35" s="125" t="s">
        <v>4</v>
      </c>
      <c r="E35" s="126"/>
      <c r="F35" s="127"/>
      <c r="G35" s="127"/>
      <c r="H35" s="128"/>
      <c r="I35" s="129" t="s">
        <v>5</v>
      </c>
      <c r="J35" s="101"/>
      <c r="K35" s="101"/>
      <c r="L35" s="101"/>
      <c r="M35" s="101"/>
      <c r="N35" s="101"/>
      <c r="O35" s="101"/>
      <c r="P35" s="101"/>
      <c r="Q35" s="101"/>
    </row>
    <row r="36" spans="2:17" s="106" customFormat="1" x14ac:dyDescent="0.25">
      <c r="B36" s="101"/>
      <c r="C36" s="124">
        <v>2</v>
      </c>
      <c r="D36" s="125" t="s">
        <v>6</v>
      </c>
      <c r="E36" s="126"/>
      <c r="F36" s="127"/>
      <c r="G36" s="127"/>
      <c r="H36" s="128"/>
      <c r="I36" s="129" t="s">
        <v>7</v>
      </c>
      <c r="J36" s="101"/>
      <c r="K36" s="101"/>
      <c r="L36" s="101"/>
      <c r="M36" s="101"/>
      <c r="N36" s="101"/>
      <c r="O36" s="101"/>
      <c r="P36" s="101"/>
      <c r="Q36" s="101"/>
    </row>
    <row r="37" spans="2:17" s="106" customFormat="1" x14ac:dyDescent="0.25">
      <c r="B37" s="101"/>
      <c r="C37" s="124">
        <v>3</v>
      </c>
      <c r="D37" s="125" t="s">
        <v>8</v>
      </c>
      <c r="E37" s="126"/>
      <c r="F37" s="127"/>
      <c r="G37" s="127"/>
      <c r="H37" s="128"/>
      <c r="I37" s="129" t="s">
        <v>9</v>
      </c>
      <c r="J37" s="101"/>
      <c r="K37" s="101"/>
      <c r="L37" s="101"/>
      <c r="M37" s="101"/>
      <c r="N37" s="101"/>
      <c r="O37" s="101"/>
      <c r="P37" s="101"/>
      <c r="Q37" s="101"/>
    </row>
    <row r="38" spans="2:17" s="106" customFormat="1" x14ac:dyDescent="0.25">
      <c r="B38" s="101"/>
      <c r="C38" s="124">
        <v>4</v>
      </c>
      <c r="D38" s="125" t="s">
        <v>10</v>
      </c>
      <c r="E38" s="126"/>
      <c r="F38" s="127"/>
      <c r="G38" s="127"/>
      <c r="H38" s="128"/>
      <c r="I38" s="129" t="s">
        <v>11</v>
      </c>
      <c r="J38" s="101"/>
      <c r="K38" s="101"/>
      <c r="L38" s="101"/>
      <c r="M38" s="101"/>
      <c r="N38" s="101"/>
      <c r="O38" s="101"/>
      <c r="P38" s="101"/>
      <c r="Q38" s="101"/>
    </row>
    <row r="39" spans="2:17" s="106" customFormat="1" x14ac:dyDescent="0.25">
      <c r="B39" s="101"/>
      <c r="C39" s="124">
        <v>5</v>
      </c>
      <c r="D39" s="125" t="s">
        <v>12</v>
      </c>
      <c r="E39" s="126"/>
      <c r="F39" s="127"/>
      <c r="G39" s="127"/>
      <c r="H39" s="128"/>
      <c r="I39" s="129" t="s">
        <v>13</v>
      </c>
      <c r="J39" s="101"/>
      <c r="K39" s="101"/>
      <c r="L39" s="101"/>
      <c r="M39" s="101"/>
      <c r="N39" s="101"/>
      <c r="O39" s="101"/>
      <c r="P39" s="101"/>
      <c r="Q39" s="101"/>
    </row>
    <row r="40" spans="2:17" s="106" customFormat="1" x14ac:dyDescent="0.25">
      <c r="B40" s="101"/>
      <c r="C40" s="124">
        <v>6</v>
      </c>
      <c r="D40" s="125" t="s">
        <v>14</v>
      </c>
      <c r="E40" s="126"/>
      <c r="F40" s="127"/>
      <c r="G40" s="127"/>
      <c r="H40" s="128"/>
      <c r="I40" s="129" t="s">
        <v>15</v>
      </c>
      <c r="J40" s="101"/>
      <c r="K40" s="101"/>
      <c r="L40" s="101"/>
      <c r="M40" s="101"/>
      <c r="N40" s="101"/>
      <c r="O40" s="101"/>
      <c r="P40" s="101"/>
      <c r="Q40" s="101"/>
    </row>
    <row r="41" spans="2:17" s="106" customFormat="1" x14ac:dyDescent="0.25">
      <c r="B41" s="101"/>
      <c r="C41" s="124">
        <v>7</v>
      </c>
      <c r="D41" s="127" t="s">
        <v>16</v>
      </c>
      <c r="E41" s="126"/>
      <c r="F41" s="127"/>
      <c r="G41" s="127"/>
      <c r="H41" s="128"/>
      <c r="I41" s="129" t="s">
        <v>17</v>
      </c>
      <c r="J41" s="101"/>
      <c r="K41" s="101"/>
      <c r="L41" s="101"/>
      <c r="M41" s="101"/>
      <c r="N41" s="101"/>
      <c r="O41" s="101"/>
      <c r="P41" s="101"/>
      <c r="Q41" s="101"/>
    </row>
    <row r="42" spans="2:17" s="106" customFormat="1" x14ac:dyDescent="0.25">
      <c r="B42" s="101"/>
      <c r="C42" s="124"/>
      <c r="D42" s="125" t="s">
        <v>18</v>
      </c>
      <c r="E42" s="126"/>
      <c r="F42" s="127"/>
      <c r="G42" s="127"/>
      <c r="H42" s="128"/>
      <c r="I42" s="130" t="s">
        <v>19</v>
      </c>
      <c r="J42" s="101"/>
      <c r="K42" s="101"/>
      <c r="L42" s="101"/>
      <c r="M42" s="101"/>
      <c r="N42" s="101"/>
      <c r="O42" s="101"/>
      <c r="P42" s="101"/>
      <c r="Q42" s="101"/>
    </row>
    <row r="43" spans="2:17" s="106" customFormat="1" x14ac:dyDescent="0.25">
      <c r="B43" s="101"/>
      <c r="C43" s="124"/>
      <c r="D43" s="125" t="s">
        <v>20</v>
      </c>
      <c r="E43" s="126"/>
      <c r="F43" s="127"/>
      <c r="G43" s="127"/>
      <c r="H43" s="128"/>
      <c r="I43" s="130" t="s">
        <v>21</v>
      </c>
      <c r="J43" s="101"/>
      <c r="K43" s="101"/>
      <c r="L43" s="101"/>
      <c r="M43" s="101"/>
      <c r="N43" s="101"/>
      <c r="O43" s="101"/>
      <c r="P43" s="101"/>
      <c r="Q43" s="101"/>
    </row>
    <row r="44" spans="2:17" s="106" customFormat="1" x14ac:dyDescent="0.25">
      <c r="B44" s="101"/>
      <c r="C44" s="124"/>
      <c r="D44" s="125" t="s">
        <v>22</v>
      </c>
      <c r="E44" s="126"/>
      <c r="F44" s="127"/>
      <c r="G44" s="127"/>
      <c r="H44" s="128"/>
      <c r="I44" s="130" t="s">
        <v>23</v>
      </c>
      <c r="J44" s="101"/>
      <c r="K44" s="101"/>
      <c r="L44" s="101"/>
      <c r="M44" s="101"/>
      <c r="N44" s="101"/>
      <c r="O44" s="101"/>
      <c r="P44" s="101"/>
      <c r="Q44" s="101"/>
    </row>
    <row r="45" spans="2:17" s="106" customFormat="1" x14ac:dyDescent="0.25">
      <c r="B45" s="101"/>
      <c r="C45" s="124"/>
      <c r="D45" s="125" t="s">
        <v>24</v>
      </c>
      <c r="E45" s="126"/>
      <c r="F45" s="127"/>
      <c r="G45" s="127"/>
      <c r="H45" s="128"/>
      <c r="I45" s="130" t="s">
        <v>25</v>
      </c>
      <c r="J45" s="101"/>
      <c r="K45" s="101"/>
      <c r="L45" s="101"/>
      <c r="M45" s="101"/>
      <c r="N45" s="101"/>
      <c r="O45" s="101"/>
      <c r="P45" s="101"/>
      <c r="Q45" s="101"/>
    </row>
    <row r="46" spans="2:17" s="106" customFormat="1" x14ac:dyDescent="0.25">
      <c r="B46" s="101"/>
      <c r="C46" s="124"/>
      <c r="D46" s="125" t="s">
        <v>26</v>
      </c>
      <c r="E46" s="126"/>
      <c r="F46" s="127"/>
      <c r="G46" s="127"/>
      <c r="H46" s="128"/>
      <c r="I46" s="130" t="s">
        <v>27</v>
      </c>
      <c r="J46" s="101"/>
      <c r="K46" s="101"/>
      <c r="L46" s="101"/>
      <c r="M46" s="101"/>
      <c r="N46" s="101"/>
      <c r="O46" s="101"/>
      <c r="P46" s="101"/>
      <c r="Q46" s="101"/>
    </row>
    <row r="47" spans="2:17" s="106" customFormat="1" x14ac:dyDescent="0.25">
      <c r="B47" s="101"/>
      <c r="C47" s="124"/>
      <c r="D47" s="125" t="s">
        <v>28</v>
      </c>
      <c r="E47" s="126"/>
      <c r="F47" s="127"/>
      <c r="G47" s="127"/>
      <c r="H47" s="128"/>
      <c r="I47" s="130" t="s">
        <v>29</v>
      </c>
      <c r="J47" s="101"/>
      <c r="K47" s="101"/>
      <c r="L47" s="101"/>
      <c r="M47" s="101"/>
      <c r="N47" s="101"/>
      <c r="O47" s="101"/>
      <c r="P47" s="101"/>
      <c r="Q47" s="101"/>
    </row>
    <row r="48" spans="2:17" s="106" customFormat="1" x14ac:dyDescent="0.25">
      <c r="B48" s="101"/>
      <c r="C48" s="124"/>
      <c r="D48" s="125" t="s">
        <v>30</v>
      </c>
      <c r="E48" s="126"/>
      <c r="F48" s="127"/>
      <c r="G48" s="127"/>
      <c r="H48" s="128"/>
      <c r="I48" s="130" t="s">
        <v>31</v>
      </c>
      <c r="J48" s="101"/>
      <c r="K48" s="101"/>
      <c r="L48" s="101"/>
      <c r="M48" s="101"/>
      <c r="N48" s="101"/>
      <c r="O48" s="101"/>
      <c r="P48" s="101"/>
      <c r="Q48" s="101"/>
    </row>
    <row r="49" spans="2:17" s="106" customFormat="1" x14ac:dyDescent="0.25">
      <c r="B49" s="101"/>
      <c r="C49" s="124">
        <v>9</v>
      </c>
      <c r="D49" s="125" t="s">
        <v>32</v>
      </c>
      <c r="E49" s="126"/>
      <c r="F49" s="127"/>
      <c r="G49" s="127"/>
      <c r="H49" s="128"/>
      <c r="I49" s="129" t="s">
        <v>33</v>
      </c>
      <c r="J49" s="101"/>
      <c r="K49" s="101"/>
      <c r="L49" s="101"/>
      <c r="M49" s="101"/>
      <c r="N49" s="101"/>
      <c r="O49" s="101"/>
      <c r="P49" s="101"/>
      <c r="Q49" s="101"/>
    </row>
    <row r="50" spans="2:17" s="106" customFormat="1" x14ac:dyDescent="0.25">
      <c r="B50" s="101"/>
      <c r="C50" s="124">
        <v>10</v>
      </c>
      <c r="D50" s="125" t="s">
        <v>34</v>
      </c>
      <c r="E50" s="126"/>
      <c r="F50" s="127"/>
      <c r="G50" s="127"/>
      <c r="H50" s="128"/>
      <c r="I50" s="129" t="s">
        <v>35</v>
      </c>
      <c r="J50" s="101"/>
      <c r="K50" s="101"/>
      <c r="L50" s="101"/>
      <c r="M50" s="101"/>
      <c r="N50" s="101"/>
      <c r="O50" s="101"/>
      <c r="P50" s="101"/>
      <c r="Q50" s="101"/>
    </row>
    <row r="51" spans="2:17" s="106" customFormat="1" x14ac:dyDescent="0.25">
      <c r="B51" s="101"/>
      <c r="C51" s="124">
        <v>11</v>
      </c>
      <c r="D51" s="125" t="s">
        <v>36</v>
      </c>
      <c r="E51" s="126"/>
      <c r="F51" s="127"/>
      <c r="G51" s="127"/>
      <c r="H51" s="128"/>
      <c r="I51" s="129" t="s">
        <v>37</v>
      </c>
      <c r="J51" s="101"/>
      <c r="K51" s="101"/>
      <c r="L51" s="101"/>
      <c r="M51" s="101"/>
      <c r="N51" s="101"/>
      <c r="O51" s="101"/>
      <c r="P51" s="101"/>
      <c r="Q51" s="101"/>
    </row>
    <row r="52" spans="2:17" x14ac:dyDescent="0.25">
      <c r="B52" s="14"/>
      <c r="C52" s="115"/>
      <c r="D52" s="131"/>
      <c r="E52" s="131"/>
      <c r="F52" s="14"/>
      <c r="G52" s="14"/>
      <c r="H52" s="14"/>
      <c r="I52" s="14"/>
      <c r="J52" s="14"/>
      <c r="K52" s="14"/>
      <c r="L52" s="14"/>
      <c r="M52" s="14"/>
      <c r="N52" s="14"/>
      <c r="O52" s="14"/>
      <c r="P52" s="14"/>
      <c r="Q52" s="14"/>
    </row>
    <row r="53" spans="2:17" x14ac:dyDescent="0.25">
      <c r="B53" s="14"/>
      <c r="C53" s="14"/>
      <c r="D53" s="14"/>
      <c r="E53" s="14"/>
      <c r="F53" s="14"/>
      <c r="G53" s="14"/>
      <c r="H53" s="14"/>
      <c r="I53" s="14"/>
      <c r="J53" s="14"/>
      <c r="K53" s="14"/>
      <c r="L53" s="14"/>
      <c r="M53" s="14"/>
      <c r="N53" s="14"/>
      <c r="O53" s="14"/>
      <c r="P53" s="14"/>
      <c r="Q53" s="14"/>
    </row>
    <row r="54" spans="2:17" x14ac:dyDescent="0.25">
      <c r="B54" s="14"/>
      <c r="C54" s="14"/>
      <c r="D54" s="14"/>
      <c r="E54" s="20"/>
      <c r="F54" s="14"/>
      <c r="G54" s="14"/>
      <c r="H54" s="14"/>
      <c r="I54" s="14"/>
      <c r="J54" s="14"/>
      <c r="K54" s="20"/>
      <c r="L54" s="14"/>
      <c r="M54" s="14"/>
      <c r="N54" s="14"/>
      <c r="O54" s="20"/>
      <c r="P54" s="14"/>
      <c r="Q54" s="14"/>
    </row>
    <row r="55" spans="2:17" x14ac:dyDescent="0.25">
      <c r="B55" s="14"/>
      <c r="C55" s="14"/>
      <c r="D55" s="14"/>
      <c r="E55" s="14"/>
      <c r="F55" s="14"/>
      <c r="G55" s="14"/>
      <c r="H55" s="14"/>
      <c r="I55" s="14"/>
      <c r="J55" s="14"/>
      <c r="K55" s="14"/>
      <c r="L55" s="14"/>
      <c r="M55" s="14"/>
      <c r="N55" s="14"/>
      <c r="O55" s="14"/>
      <c r="P55" s="14"/>
      <c r="Q55" s="14"/>
    </row>
    <row r="56" spans="2:17" x14ac:dyDescent="0.25">
      <c r="B56" s="14"/>
      <c r="C56" s="14"/>
      <c r="D56" s="14"/>
      <c r="E56" s="14"/>
      <c r="F56" s="14"/>
      <c r="G56" s="14"/>
      <c r="H56" s="14"/>
      <c r="I56" s="14"/>
      <c r="J56" s="14"/>
      <c r="K56" s="14"/>
      <c r="L56" s="14"/>
      <c r="M56" s="14"/>
      <c r="N56" s="14"/>
      <c r="O56" s="14"/>
      <c r="P56" s="14"/>
      <c r="Q56" s="14"/>
    </row>
    <row r="57" spans="2:17" x14ac:dyDescent="0.25">
      <c r="B57" s="14"/>
      <c r="C57" s="14"/>
      <c r="D57" s="14"/>
      <c r="E57" s="14"/>
      <c r="F57" s="14"/>
      <c r="G57" s="14"/>
      <c r="H57" s="14"/>
      <c r="I57" s="14"/>
      <c r="J57" s="14"/>
      <c r="K57" s="14"/>
      <c r="L57" s="14"/>
      <c r="M57" s="14"/>
      <c r="N57" s="14"/>
      <c r="O57" s="14"/>
      <c r="P57" s="14"/>
      <c r="Q57" s="14"/>
    </row>
    <row r="58" spans="2:17" x14ac:dyDescent="0.25">
      <c r="B58" s="14"/>
      <c r="C58" s="14"/>
      <c r="D58" s="14"/>
      <c r="E58" s="14"/>
      <c r="F58" s="14"/>
      <c r="G58" s="14"/>
      <c r="H58" s="14"/>
      <c r="I58" s="14"/>
      <c r="J58" s="14"/>
      <c r="K58" s="14"/>
      <c r="L58" s="14"/>
      <c r="M58" s="14"/>
      <c r="N58" s="14"/>
      <c r="O58" s="14"/>
      <c r="P58" s="14"/>
      <c r="Q58" s="14"/>
    </row>
    <row r="59" spans="2:17" x14ac:dyDescent="0.25">
      <c r="B59" s="14"/>
      <c r="C59" s="14"/>
      <c r="D59" s="14"/>
      <c r="E59" s="14"/>
      <c r="F59" s="14"/>
      <c r="G59" s="14"/>
      <c r="H59" s="14"/>
      <c r="I59" s="14"/>
      <c r="J59" s="14"/>
      <c r="K59" s="14"/>
      <c r="L59" s="14"/>
      <c r="M59" s="14"/>
      <c r="N59" s="14"/>
      <c r="O59" s="14"/>
      <c r="P59" s="14"/>
      <c r="Q59" s="14"/>
    </row>
    <row r="60" spans="2:17" x14ac:dyDescent="0.25">
      <c r="B60" s="14"/>
      <c r="C60" s="14"/>
      <c r="D60" s="14"/>
      <c r="E60" s="14"/>
      <c r="F60" s="14"/>
      <c r="G60" s="14"/>
      <c r="H60" s="14"/>
      <c r="I60" s="14"/>
      <c r="J60" s="14"/>
      <c r="K60" s="14"/>
      <c r="L60" s="14"/>
      <c r="M60" s="14"/>
      <c r="N60" s="14"/>
      <c r="O60" s="14"/>
      <c r="P60" s="14"/>
      <c r="Q60" s="14"/>
    </row>
    <row r="61" spans="2:17" x14ac:dyDescent="0.25">
      <c r="B61" s="14"/>
      <c r="C61" s="14"/>
      <c r="D61" s="14"/>
      <c r="E61" s="14"/>
      <c r="F61" s="14"/>
      <c r="G61" s="14"/>
      <c r="H61" s="14"/>
      <c r="I61" s="14"/>
      <c r="J61" s="14"/>
      <c r="K61" s="14"/>
      <c r="L61" s="14"/>
      <c r="M61" s="14"/>
      <c r="N61" s="14"/>
      <c r="O61" s="14"/>
      <c r="P61" s="14"/>
      <c r="Q61" s="14"/>
    </row>
    <row r="62" spans="2:17" x14ac:dyDescent="0.25">
      <c r="B62" s="14"/>
      <c r="C62" s="20"/>
      <c r="D62" s="14"/>
      <c r="E62" s="14"/>
      <c r="F62" s="14"/>
      <c r="G62" s="14"/>
      <c r="H62" s="14"/>
      <c r="I62" s="14"/>
      <c r="J62" s="14"/>
      <c r="K62" s="14"/>
      <c r="L62" s="14"/>
      <c r="M62" s="14"/>
      <c r="N62" s="14"/>
      <c r="O62" s="14"/>
      <c r="P62" s="14"/>
      <c r="Q62" s="14"/>
    </row>
    <row r="63" spans="2:17" x14ac:dyDescent="0.25">
      <c r="B63" s="14"/>
      <c r="C63" s="132"/>
      <c r="D63" s="132"/>
      <c r="E63" s="132"/>
      <c r="F63" s="132"/>
      <c r="G63" s="132"/>
      <c r="H63" s="132"/>
      <c r="I63" s="132"/>
      <c r="J63" s="132"/>
      <c r="K63" s="132"/>
      <c r="L63" s="132"/>
      <c r="M63" s="132"/>
      <c r="N63" s="132"/>
      <c r="O63" s="132"/>
      <c r="P63" s="132"/>
      <c r="Q63" s="14"/>
    </row>
    <row r="64" spans="2:17" ht="14.45" customHeight="1" x14ac:dyDescent="0.25">
      <c r="B64" s="14"/>
      <c r="C64" s="520"/>
      <c r="D64" s="520"/>
      <c r="E64" s="520"/>
      <c r="F64" s="520"/>
      <c r="G64" s="520"/>
      <c r="H64" s="520"/>
      <c r="I64" s="520"/>
      <c r="J64" s="520"/>
      <c r="K64" s="520"/>
      <c r="L64" s="520"/>
      <c r="M64" s="520"/>
      <c r="N64" s="520"/>
      <c r="O64" s="520"/>
      <c r="P64" s="520"/>
      <c r="Q64" s="14"/>
    </row>
    <row r="65" spans="2:17" x14ac:dyDescent="0.25">
      <c r="B65" s="14"/>
      <c r="C65" s="520"/>
      <c r="D65" s="520"/>
      <c r="E65" s="520"/>
      <c r="F65" s="520"/>
      <c r="G65" s="520"/>
      <c r="H65" s="520"/>
      <c r="I65" s="520"/>
      <c r="J65" s="520"/>
      <c r="K65" s="520"/>
      <c r="L65" s="520"/>
      <c r="M65" s="520"/>
      <c r="N65" s="520"/>
      <c r="O65" s="520"/>
      <c r="P65" s="520"/>
      <c r="Q65" s="14"/>
    </row>
    <row r="66" spans="2:17" ht="14.45" customHeight="1" x14ac:dyDescent="0.25">
      <c r="B66" s="14"/>
      <c r="C66" s="520"/>
      <c r="D66" s="520"/>
      <c r="E66" s="520"/>
      <c r="F66" s="520"/>
      <c r="G66" s="520"/>
      <c r="H66" s="520"/>
      <c r="I66" s="520"/>
      <c r="J66" s="520"/>
      <c r="K66" s="520"/>
      <c r="L66" s="520"/>
      <c r="M66" s="520"/>
      <c r="N66" s="520"/>
      <c r="O66" s="520"/>
      <c r="P66" s="520"/>
      <c r="Q66" s="14"/>
    </row>
    <row r="67" spans="2:17" x14ac:dyDescent="0.25">
      <c r="B67" s="14"/>
      <c r="C67" s="132"/>
      <c r="D67" s="132"/>
      <c r="E67" s="132"/>
      <c r="F67" s="132"/>
      <c r="G67" s="132"/>
      <c r="H67" s="132"/>
      <c r="I67" s="132"/>
      <c r="J67" s="132"/>
      <c r="K67" s="132"/>
      <c r="L67" s="132"/>
      <c r="M67" s="132"/>
      <c r="N67" s="132"/>
      <c r="O67" s="132"/>
      <c r="P67" s="132"/>
      <c r="Q67" s="14"/>
    </row>
    <row r="68" spans="2:17" x14ac:dyDescent="0.25">
      <c r="B68" s="14"/>
      <c r="C68" s="132"/>
      <c r="D68" s="132"/>
      <c r="E68" s="132"/>
      <c r="F68" s="132"/>
      <c r="G68" s="132"/>
      <c r="H68" s="132"/>
      <c r="I68" s="132"/>
      <c r="J68" s="132"/>
      <c r="K68" s="132"/>
      <c r="L68" s="132"/>
      <c r="M68" s="132"/>
      <c r="N68" s="132"/>
      <c r="O68" s="132"/>
      <c r="P68" s="132"/>
      <c r="Q68" s="14"/>
    </row>
  </sheetData>
  <mergeCells count="2">
    <mergeCell ref="C64:P66"/>
    <mergeCell ref="C23:P32"/>
  </mergeCells>
  <hyperlinks>
    <hyperlink ref="D35" location="Documentation!A1" display="Documentation" xr:uid="{6E6A761C-1AEA-43DE-BFB9-8559F8EA3BB8}"/>
    <hyperlink ref="D39" location="Data!A1" display="Data " xr:uid="{BF316CE3-E459-420A-93B1-9BC0B3251109}"/>
    <hyperlink ref="D49" location="Results!A1" display="Results" xr:uid="{F0131A5F-7300-4079-9F02-C05516E6E04B}"/>
    <hyperlink ref="D50" location="Sensitivity!A1" display="Sensitivity" xr:uid="{205153C3-3CB4-4748-A7CC-E008FDC72FCB}"/>
    <hyperlink ref="D38" location="'Control pannel'!A1" display="Control Panel" xr:uid="{F1444D2B-C202-45DF-B9F1-F76139C4E002}"/>
    <hyperlink ref="D42" location="Route!A1" display="A. Route" xr:uid="{A0CC9E5F-F3F6-4C3E-9535-19339489F721}"/>
    <hyperlink ref="D43" location="'Diesel (BAU)'!A1" display="B. Diesel (BAU)" xr:uid="{E8946F68-FB0B-4DAA-B488-11B6231DD2E9}"/>
    <hyperlink ref="D44" location="'RE Diesel'!A1" display="C. RE Diesel" xr:uid="{B9F75045-81F0-4BFA-89ED-B52342B9C023}"/>
    <hyperlink ref="D45" location="H2_Diesel!A1" display="D. H2 Blending" xr:uid="{DC6159FD-08A9-46B6-9755-F34CE61E1649}"/>
    <hyperlink ref="D46" location="Repowered!A1" display="E. Repowered" xr:uid="{BF55E3EB-8071-402D-9CB2-AF9D1EDA9A9B}"/>
    <hyperlink ref="D47" location="BEB!A1" display="F. BEB" xr:uid="{A4214744-18D8-4592-A7EC-0631673798A8}"/>
    <hyperlink ref="D48" location="HFCB!A1" display="G. HFCB" xr:uid="{BA70D0DE-25EC-4BE7-8B6A-9C00FA8BA37A}"/>
    <hyperlink ref="D40" location="'Bus research'!A1" display="Bus research" xr:uid="{DD31F3D6-FA6D-4C35-A40D-493DC55AE593}"/>
    <hyperlink ref="D37" location="Dashboard!A1" display="Dashbord" xr:uid="{C2B6BB35-B596-47B6-89CD-B93AA9AE2D5B}"/>
    <hyperlink ref="D36" location="'Version log'!A1" display="Version log" xr:uid="{0789D480-38B6-49F2-A2BB-20B959E93F6D}"/>
    <hyperlink ref="D51" location="Graphs!A1" display="Graphs" xr:uid="{0FB0502A-A807-42F0-9DC0-810209B23B1A}"/>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8D0B6-06B2-47EB-BF8D-D5EBDD2DC316}">
  <sheetPr codeName="Sheet19">
    <tabColor theme="7"/>
    <pageSetUpPr autoPageBreaks="0"/>
  </sheetPr>
  <dimension ref="B1:AZ115"/>
  <sheetViews>
    <sheetView zoomScale="85" zoomScaleNormal="85" workbookViewId="0">
      <selection activeCell="D3" sqref="D3"/>
    </sheetView>
  </sheetViews>
  <sheetFormatPr defaultColWidth="9.140625" defaultRowHeight="15" x14ac:dyDescent="0.25"/>
  <cols>
    <col min="1" max="3" width="9.140625" style="94"/>
    <col min="4" max="4" width="15.140625" style="94" customWidth="1"/>
    <col min="5" max="5" width="15" style="94" customWidth="1"/>
    <col min="6" max="6" width="14.85546875" style="94" customWidth="1"/>
    <col min="7" max="7" width="14.140625" style="94" customWidth="1"/>
    <col min="8" max="8" width="15" style="94" customWidth="1"/>
    <col min="9" max="9" width="16.140625" style="94" customWidth="1"/>
    <col min="10" max="11" width="14.85546875" style="94" customWidth="1"/>
    <col min="12" max="12" width="14" style="94" customWidth="1"/>
    <col min="13" max="13" width="9.140625" style="94" customWidth="1"/>
    <col min="14" max="14" width="9.5703125" style="94" bestFit="1" customWidth="1"/>
    <col min="15" max="15" width="9.140625" style="94" customWidth="1"/>
    <col min="16" max="21" width="9.140625" style="94"/>
    <col min="22" max="22" width="11.28515625" style="94" customWidth="1"/>
    <col min="23" max="23" width="9.140625" style="94"/>
    <col min="24" max="24" width="10.85546875" style="94" customWidth="1"/>
    <col min="25" max="27" width="9.140625" style="94"/>
    <col min="28" max="28" width="10.85546875" style="94" customWidth="1"/>
    <col min="29" max="16384" width="9.140625" style="94"/>
  </cols>
  <sheetData>
    <row r="1" spans="2:52" x14ac:dyDescent="0.25">
      <c r="B1" s="14"/>
      <c r="C1" s="14"/>
      <c r="D1" s="144" t="s">
        <v>40</v>
      </c>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row>
    <row r="2" spans="2:52" x14ac:dyDescent="0.25">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row>
    <row r="3" spans="2:52" x14ac:dyDescent="0.25">
      <c r="B3" s="14"/>
      <c r="C3" s="14"/>
      <c r="D3" s="14"/>
      <c r="E3" s="15"/>
      <c r="F3" s="15"/>
      <c r="G3" s="21"/>
      <c r="H3" s="15"/>
      <c r="I3" s="15"/>
      <c r="J3" s="15"/>
      <c r="K3" s="15"/>
      <c r="L3" s="15"/>
      <c r="M3" s="15"/>
      <c r="N3" s="15"/>
      <c r="O3" s="79"/>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row>
    <row r="5" spans="2:52" x14ac:dyDescent="0.25">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row>
    <row r="6" spans="2:52" x14ac:dyDescent="0.25">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row>
    <row r="7" spans="2:52" x14ac:dyDescent="0.25">
      <c r="B7" s="14"/>
      <c r="C7" s="24" t="s">
        <v>619</v>
      </c>
      <c r="D7" s="24"/>
      <c r="E7" s="26"/>
      <c r="F7" s="26" t="s">
        <v>620</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307"/>
      <c r="AU7" s="307"/>
      <c r="AV7" s="307"/>
      <c r="AW7" s="307"/>
      <c r="AX7" s="307"/>
      <c r="AY7" s="307"/>
      <c r="AZ7" s="307"/>
    </row>
    <row r="8" spans="2:52" x14ac:dyDescent="0.25">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row>
    <row r="9" spans="2:52" x14ac:dyDescent="0.25">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row>
    <row r="10" spans="2:52" x14ac:dyDescent="0.25">
      <c r="B10" s="14"/>
      <c r="C10" s="14"/>
      <c r="D10" s="19"/>
      <c r="E10" s="19"/>
      <c r="F10" s="19"/>
      <c r="G10" s="19"/>
      <c r="H10" s="19"/>
      <c r="I10" s="19"/>
      <c r="J10" s="19"/>
      <c r="K10" s="19"/>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row>
    <row r="11" spans="2:52" x14ac:dyDescent="0.25">
      <c r="B11" s="14"/>
      <c r="C11" s="14"/>
      <c r="D11" s="490"/>
      <c r="E11" s="490"/>
      <c r="F11" s="490"/>
      <c r="G11" s="497" t="s">
        <v>165</v>
      </c>
      <c r="H11" s="490" t="s">
        <v>508</v>
      </c>
      <c r="I11" s="490" t="s">
        <v>472</v>
      </c>
      <c r="J11" s="492" t="s">
        <v>515</v>
      </c>
      <c r="K11" s="491" t="s">
        <v>522</v>
      </c>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row>
    <row r="12" spans="2:52" x14ac:dyDescent="0.25">
      <c r="B12" s="14"/>
      <c r="C12" s="14"/>
      <c r="D12" s="13" t="s">
        <v>609</v>
      </c>
      <c r="E12" s="14" t="s">
        <v>610</v>
      </c>
      <c r="F12" s="14"/>
      <c r="G12" s="84" t="s">
        <v>142</v>
      </c>
      <c r="H12" s="165">
        <f>'Diesel (BAU)'!$H$24</f>
        <v>350000</v>
      </c>
      <c r="I12" s="151">
        <f>'Diesel (BAU)'!$G$52-'Diesel (BAU)'!$H$24</f>
        <v>2763104.1444889465</v>
      </c>
      <c r="J12" s="493">
        <f>'Diesel (BAU)'!$G$83</f>
        <v>5273453.2189695034</v>
      </c>
      <c r="K12" s="182">
        <f t="shared" ref="K12:K21" si="0">SUM(H12:J12)</f>
        <v>8386557.36345845</v>
      </c>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row>
    <row r="13" spans="2:52" x14ac:dyDescent="0.25">
      <c r="B13" s="14"/>
      <c r="C13" s="14"/>
      <c r="D13" s="13" t="s">
        <v>22</v>
      </c>
      <c r="E13" s="14" t="s">
        <v>612</v>
      </c>
      <c r="F13" s="14"/>
      <c r="G13" s="84" t="s">
        <v>142</v>
      </c>
      <c r="H13" s="165">
        <f>'RE Diesel'!$H$28</f>
        <v>0</v>
      </c>
      <c r="I13" s="151">
        <f>'RE Diesel'!$G$55</f>
        <v>3320172.5761879091</v>
      </c>
      <c r="J13" s="493">
        <f>'RE Diesel'!$G$85</f>
        <v>3542360.8834559657</v>
      </c>
      <c r="K13" s="182">
        <f t="shared" si="0"/>
        <v>6862533.4596438743</v>
      </c>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row>
    <row r="14" spans="2:52" x14ac:dyDescent="0.25">
      <c r="B14" s="14"/>
      <c r="C14" s="14"/>
      <c r="D14" s="13" t="s">
        <v>24</v>
      </c>
      <c r="E14" s="14" t="s">
        <v>614</v>
      </c>
      <c r="F14" s="14"/>
      <c r="G14" s="84" t="s">
        <v>142</v>
      </c>
      <c r="H14" s="165">
        <f>'H2 Blending'!$H$22</f>
        <v>19041.599999999999</v>
      </c>
      <c r="I14" s="151">
        <f>'H2 Blending'!$G$47-'H2 Blending'!$H$22</f>
        <v>1785211.1168090634</v>
      </c>
      <c r="J14" s="493">
        <f>'H2 Blending'!$G$77</f>
        <v>3580743.2634027675</v>
      </c>
      <c r="K14" s="182">
        <f t="shared" si="0"/>
        <v>5384995.9802118307</v>
      </c>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row>
    <row r="15" spans="2:52" x14ac:dyDescent="0.25">
      <c r="B15" s="14"/>
      <c r="C15" s="14"/>
      <c r="D15" s="13" t="s">
        <v>26</v>
      </c>
      <c r="E15" s="14" t="s">
        <v>616</v>
      </c>
      <c r="F15" s="14"/>
      <c r="G15" s="84" t="s">
        <v>142</v>
      </c>
      <c r="H15" s="504">
        <f>Repowered!$G$73-Repowered!$G$68</f>
        <v>505279.86888888886</v>
      </c>
      <c r="I15" s="505">
        <f>Repowered!$G$68</f>
        <v>798233.74470802664</v>
      </c>
      <c r="J15" s="506">
        <f>Repowered!$G$103-Repowered!$G$129</f>
        <v>-3602455.8878545277</v>
      </c>
      <c r="K15" s="182">
        <f t="shared" si="0"/>
        <v>-2298942.2742576124</v>
      </c>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row>
    <row r="16" spans="2:52" x14ac:dyDescent="0.25">
      <c r="B16" s="14"/>
      <c r="C16" s="14"/>
      <c r="D16" s="13" t="s">
        <v>28</v>
      </c>
      <c r="E16" s="14" t="s">
        <v>558</v>
      </c>
      <c r="F16" s="14"/>
      <c r="G16" s="84" t="s">
        <v>142</v>
      </c>
      <c r="H16" s="165">
        <f>BEB!$G$112-BEB!$G$107</f>
        <v>510601.50316115329</v>
      </c>
      <c r="I16" s="151">
        <f>BEB!$G$107</f>
        <v>2677471.1056749411</v>
      </c>
      <c r="J16" s="493">
        <f>BEB!G120+BEB!$G$145+BEB!$G$168</f>
        <v>3666040.4498494752</v>
      </c>
      <c r="K16" s="182">
        <f t="shared" si="0"/>
        <v>6854113.0586855691</v>
      </c>
      <c r="M16" s="14"/>
      <c r="N16" s="159"/>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row>
    <row r="17" spans="2:52" x14ac:dyDescent="0.25">
      <c r="B17" s="14"/>
      <c r="C17" s="14"/>
      <c r="D17" s="13" t="s">
        <v>28</v>
      </c>
      <c r="E17" s="14" t="s">
        <v>576</v>
      </c>
      <c r="F17" s="44"/>
      <c r="G17" s="84" t="s">
        <v>142</v>
      </c>
      <c r="H17" s="498">
        <f>BEB!$G$230-BEB!$G$225</f>
        <v>762402.36709250323</v>
      </c>
      <c r="I17" s="499">
        <f>BEB!$G$225</f>
        <v>1190033.6695354723</v>
      </c>
      <c r="J17" s="500">
        <f>BEB!$G$238+BEB!$G$264-BEB!$G$291</f>
        <v>-3576349.9526159661</v>
      </c>
      <c r="K17" s="182">
        <f t="shared" si="0"/>
        <v>-1623913.9159879906</v>
      </c>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row>
    <row r="18" spans="2:52" x14ac:dyDescent="0.25">
      <c r="B18" s="14"/>
      <c r="C18" s="14"/>
      <c r="D18" s="13" t="s">
        <v>28</v>
      </c>
      <c r="E18" s="14" t="s">
        <v>581</v>
      </c>
      <c r="F18" s="44"/>
      <c r="G18" s="84" t="s">
        <v>142</v>
      </c>
      <c r="H18" s="165">
        <f>BEB!$G$230-BEB!$G$225</f>
        <v>762402.36709250323</v>
      </c>
      <c r="I18" s="151">
        <f>BEB!$G$225+BEB!$G$318</f>
        <v>1222885.7457808733</v>
      </c>
      <c r="J18" s="493">
        <f>BEB!$G$324</f>
        <v>152249.82802278598</v>
      </c>
      <c r="K18" s="182">
        <f t="shared" si="0"/>
        <v>2137537.9408961628</v>
      </c>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row>
    <row r="19" spans="2:52" x14ac:dyDescent="0.25">
      <c r="B19" s="14"/>
      <c r="C19" s="14"/>
      <c r="D19" s="13" t="s">
        <v>30</v>
      </c>
      <c r="E19" s="14" t="s">
        <v>598</v>
      </c>
      <c r="F19" s="44"/>
      <c r="G19" s="84" t="s">
        <v>142</v>
      </c>
      <c r="H19" s="165">
        <f>HFCB!$G$86-HFCB!$G$81</f>
        <v>532656.36388187995</v>
      </c>
      <c r="I19" s="151">
        <f>HFCB!$G$81</f>
        <v>3077765.5782782659</v>
      </c>
      <c r="J19" s="493">
        <f>HFCB!$G$93+HFCB!$G$118+HFCB!$G$140</f>
        <v>3631575.4329386847</v>
      </c>
      <c r="K19" s="182">
        <f t="shared" si="0"/>
        <v>7241997.3750988301</v>
      </c>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row>
    <row r="20" spans="2:52" x14ac:dyDescent="0.25">
      <c r="B20" s="14"/>
      <c r="C20" s="14"/>
      <c r="D20" s="13" t="s">
        <v>30</v>
      </c>
      <c r="E20" s="14" t="s">
        <v>603</v>
      </c>
      <c r="F20" s="14"/>
      <c r="G20" s="84" t="s">
        <v>142</v>
      </c>
      <c r="H20" s="165">
        <f>HFCB!$G$184-HFCB!$G$179</f>
        <v>767499.99999999907</v>
      </c>
      <c r="I20" s="151">
        <f>HFCB!$G$179</f>
        <v>2006275.622397196</v>
      </c>
      <c r="J20" s="493">
        <f>HFCB!$G$191+HFCB!$G$215-HFCB!$G$242</f>
        <v>-3613201.0329386843</v>
      </c>
      <c r="K20" s="182">
        <f t="shared" si="0"/>
        <v>-839425.41054148925</v>
      </c>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row>
    <row r="21" spans="2:52" x14ac:dyDescent="0.25">
      <c r="B21" s="14"/>
      <c r="C21" s="14"/>
      <c r="D21" s="13" t="s">
        <v>30</v>
      </c>
      <c r="E21" s="14" t="s">
        <v>605</v>
      </c>
      <c r="F21" s="14"/>
      <c r="G21" s="84" t="s">
        <v>142</v>
      </c>
      <c r="H21" s="165">
        <f>HFCB!$G$184-HFCB!$G$179</f>
        <v>767499.99999999907</v>
      </c>
      <c r="I21" s="165">
        <f>HFCB!$G$179+HFCB!$G$269</f>
        <v>2039127.6986425971</v>
      </c>
      <c r="J21" s="493">
        <f>HFCB!$G$275</f>
        <v>100696.94932020151</v>
      </c>
      <c r="K21" s="182">
        <f t="shared" si="0"/>
        <v>2907324.6479627974</v>
      </c>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row>
    <row r="22" spans="2:52" x14ac:dyDescent="0.25">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row>
    <row r="23" spans="2:52" x14ac:dyDescent="0.25">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row>
    <row r="24" spans="2:52" x14ac:dyDescent="0.25">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row>
    <row r="25" spans="2:52" x14ac:dyDescent="0.2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row>
    <row r="26" spans="2:52" x14ac:dyDescent="0.2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row>
    <row r="27" spans="2:52" x14ac:dyDescent="0.25">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row>
    <row r="28" spans="2:52" x14ac:dyDescent="0.25">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row>
    <row r="29" spans="2:52" x14ac:dyDescent="0.25">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row>
    <row r="30" spans="2:52" x14ac:dyDescent="0.2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row>
    <row r="31" spans="2:52" x14ac:dyDescent="0.2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row>
    <row r="32" spans="2:52" x14ac:dyDescent="0.25">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row>
    <row r="33" spans="2:52" x14ac:dyDescent="0.25">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row>
    <row r="34" spans="2:52" x14ac:dyDescent="0.25">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row>
    <row r="35" spans="2:52" x14ac:dyDescent="0.25">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row>
    <row r="36" spans="2:52" x14ac:dyDescent="0.25">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row>
    <row r="37" spans="2:52" x14ac:dyDescent="0.25">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row>
    <row r="38" spans="2:52" x14ac:dyDescent="0.25">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row>
    <row r="39" spans="2:52" x14ac:dyDescent="0.25">
      <c r="B39" s="14"/>
      <c r="C39" s="24" t="s">
        <v>621</v>
      </c>
      <c r="D39" s="24"/>
      <c r="E39" s="26"/>
      <c r="F39" s="26" t="s">
        <v>620</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307"/>
      <c r="AU39" s="307"/>
      <c r="AV39" s="307"/>
      <c r="AW39" s="307"/>
      <c r="AX39" s="307"/>
      <c r="AY39" s="307"/>
      <c r="AZ39" s="307"/>
    </row>
    <row r="40" spans="2:52" x14ac:dyDescent="0.25">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row>
    <row r="41" spans="2:52" x14ac:dyDescent="0.25">
      <c r="B41" s="14"/>
      <c r="C41" s="20" t="s">
        <v>622</v>
      </c>
      <c r="D41" s="14"/>
      <c r="E41" s="488">
        <f>Route!I11</f>
        <v>93600</v>
      </c>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row>
    <row r="42" spans="2:52" x14ac:dyDescent="0.25">
      <c r="B42" s="14"/>
      <c r="C42" s="14" t="s">
        <v>119</v>
      </c>
      <c r="D42" s="14"/>
      <c r="E42" s="14" t="str">
        <f>Dashboard!I43</f>
        <v>2 Axle rigid</v>
      </c>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row>
    <row r="43" spans="2:52" ht="30" x14ac:dyDescent="0.25">
      <c r="B43" s="14"/>
      <c r="C43" s="12"/>
      <c r="D43" s="494" t="s">
        <v>606</v>
      </c>
      <c r="E43" s="494"/>
      <c r="F43" s="494"/>
      <c r="G43" s="494" t="s">
        <v>623</v>
      </c>
      <c r="H43" s="494" t="s">
        <v>624</v>
      </c>
      <c r="I43" s="494" t="s">
        <v>625</v>
      </c>
      <c r="J43" s="494" t="s">
        <v>626</v>
      </c>
      <c r="K43" s="49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row>
    <row r="44" spans="2:52" x14ac:dyDescent="0.25">
      <c r="B44" s="14"/>
      <c r="C44" s="12"/>
      <c r="D44" s="495"/>
      <c r="E44" s="495"/>
      <c r="F44" s="495"/>
      <c r="G44" s="496" t="s">
        <v>261</v>
      </c>
      <c r="H44" s="495" t="s">
        <v>318</v>
      </c>
      <c r="I44" s="495" t="s">
        <v>142</v>
      </c>
      <c r="J44" s="495" t="s">
        <v>266</v>
      </c>
      <c r="K44" s="519"/>
      <c r="L44" s="14" t="s">
        <v>627</v>
      </c>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row>
    <row r="45" spans="2:52" x14ac:dyDescent="0.25">
      <c r="B45" s="14"/>
      <c r="C45" s="12"/>
      <c r="D45" s="13" t="s">
        <v>609</v>
      </c>
      <c r="E45" s="14" t="s">
        <v>628</v>
      </c>
      <c r="F45" s="14"/>
      <c r="G45" s="489"/>
      <c r="H45" s="56"/>
      <c r="I45" s="28"/>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row>
    <row r="46" spans="2:52" x14ac:dyDescent="0.25">
      <c r="B46" s="14"/>
      <c r="C46" s="12"/>
      <c r="D46" s="13" t="s">
        <v>22</v>
      </c>
      <c r="E46" s="14" t="s">
        <v>22</v>
      </c>
      <c r="F46" s="14"/>
      <c r="G46" s="489">
        <f>Results!$G$11-Results!G12</f>
        <v>-1.6251594031061289</v>
      </c>
      <c r="H46" s="56">
        <f>G46*$E$41</f>
        <v>-152114.92013073366</v>
      </c>
      <c r="I46" s="28">
        <f>H13-$H$12</f>
        <v>-350000</v>
      </c>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row>
    <row r="47" spans="2:52" x14ac:dyDescent="0.25">
      <c r="B47" s="14"/>
      <c r="C47" s="12"/>
      <c r="D47" s="13" t="s">
        <v>24</v>
      </c>
      <c r="E47" s="14" t="s">
        <v>24</v>
      </c>
      <c r="F47" s="14"/>
      <c r="G47" s="489">
        <f>Results!$G$11-Results!G13</f>
        <v>-0.30968800047788481</v>
      </c>
      <c r="H47" s="56">
        <f>G47*$E$41</f>
        <v>-28986.796844730019</v>
      </c>
      <c r="I47" s="28">
        <f>H14</f>
        <v>19041.599999999999</v>
      </c>
      <c r="J47" s="202">
        <f>I47/H47</f>
        <v>-0.65690597350227331</v>
      </c>
      <c r="K47" s="202"/>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row>
    <row r="48" spans="2:52" x14ac:dyDescent="0.25">
      <c r="B48" s="14"/>
      <c r="C48" s="12"/>
      <c r="D48" s="13" t="s">
        <v>26</v>
      </c>
      <c r="E48" s="14" t="s">
        <v>26</v>
      </c>
      <c r="F48" s="14"/>
      <c r="G48" s="489">
        <f>Results!$G$11-Results!G14</f>
        <v>6.5277846263645678</v>
      </c>
      <c r="H48" s="56">
        <f t="shared" ref="H48:H54" si="1">G48*$E$41</f>
        <v>611000.64102772356</v>
      </c>
      <c r="I48" s="28">
        <f t="shared" ref="I48:I54" si="2">H15-$H$12</f>
        <v>155279.86888888886</v>
      </c>
      <c r="J48" s="202">
        <f>I48/H48</f>
        <v>0.25414027164963837</v>
      </c>
      <c r="K48" s="202"/>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row>
    <row r="49" spans="2:52" hidden="1" x14ac:dyDescent="0.25">
      <c r="B49" s="14"/>
      <c r="C49" s="12"/>
      <c r="D49" s="13" t="s">
        <v>28</v>
      </c>
      <c r="E49" s="14" t="s">
        <v>558</v>
      </c>
      <c r="F49" s="14"/>
      <c r="G49" s="489">
        <f>Results!$G$11-Results!G15</f>
        <v>0.16921761551786929</v>
      </c>
      <c r="H49" s="56">
        <f>G49*$E$41</f>
        <v>15838.768812472566</v>
      </c>
      <c r="I49" s="28">
        <f>H16-$H$12</f>
        <v>160601.50316115329</v>
      </c>
      <c r="J49" s="202"/>
      <c r="K49" s="202"/>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row>
    <row r="50" spans="2:52" x14ac:dyDescent="0.25">
      <c r="B50" s="14"/>
      <c r="C50" s="12"/>
      <c r="D50" s="13" t="s">
        <v>28</v>
      </c>
      <c r="E50" s="14" t="s">
        <v>637</v>
      </c>
      <c r="F50" s="14"/>
      <c r="G50" s="489">
        <f>Results!$G$11-Results!G16</f>
        <v>6.639199874350787</v>
      </c>
      <c r="H50" s="56">
        <f t="shared" si="1"/>
        <v>621429.10823923361</v>
      </c>
      <c r="I50" s="28">
        <f t="shared" si="2"/>
        <v>412402.36709250323</v>
      </c>
      <c r="J50" s="202">
        <f>I50/H50</f>
        <v>0.66363541975207785</v>
      </c>
      <c r="K50" s="202"/>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row>
    <row r="51" spans="2:52" x14ac:dyDescent="0.25">
      <c r="B51" s="14"/>
      <c r="C51" s="12"/>
      <c r="D51" s="13" t="s">
        <v>28</v>
      </c>
      <c r="E51" s="14" t="s">
        <v>638</v>
      </c>
      <c r="F51" s="14"/>
      <c r="G51" s="489">
        <f>Results!$G$11-Results!G17</f>
        <v>3.3651879974398029</v>
      </c>
      <c r="H51" s="56">
        <f t="shared" si="1"/>
        <v>314981.59656036558</v>
      </c>
      <c r="I51" s="28">
        <f t="shared" si="2"/>
        <v>412402.36709250323</v>
      </c>
      <c r="J51" s="202">
        <f t="shared" ref="J51:J54" si="3">I51/H51</f>
        <v>1.3092903572652606</v>
      </c>
      <c r="K51" s="202"/>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row>
    <row r="52" spans="2:52" hidden="1" x14ac:dyDescent="0.25">
      <c r="B52" s="14"/>
      <c r="C52" s="12"/>
      <c r="D52" s="13" t="s">
        <v>30</v>
      </c>
      <c r="E52" s="14" t="s">
        <v>598</v>
      </c>
      <c r="F52" s="14"/>
      <c r="G52" s="489">
        <f>Results!$G$11-Results!G18</f>
        <v>4.9274961561904362E-2</v>
      </c>
      <c r="H52" s="56">
        <f t="shared" si="1"/>
        <v>4612.1364021942481</v>
      </c>
      <c r="I52" s="28">
        <f t="shared" si="2"/>
        <v>182656.36388187995</v>
      </c>
      <c r="J52" s="202"/>
      <c r="K52" s="202"/>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row>
    <row r="53" spans="2:52" x14ac:dyDescent="0.25">
      <c r="B53" s="14"/>
      <c r="C53" s="12"/>
      <c r="D53" s="13" t="s">
        <v>30</v>
      </c>
      <c r="E53" s="14" t="s">
        <v>639</v>
      </c>
      <c r="F53" s="14"/>
      <c r="G53" s="489">
        <f>Results!$G$11-Results!G19</f>
        <v>6.2230813368727187</v>
      </c>
      <c r="H53" s="56">
        <f t="shared" si="1"/>
        <v>582480.41313128651</v>
      </c>
      <c r="I53" s="28">
        <f t="shared" si="2"/>
        <v>417499.99999999907</v>
      </c>
      <c r="J53" s="202">
        <f t="shared" si="3"/>
        <v>0.71676229893398635</v>
      </c>
      <c r="K53" s="202"/>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row>
    <row r="54" spans="2:52" x14ac:dyDescent="0.25">
      <c r="B54" s="14"/>
      <c r="C54" s="12"/>
      <c r="D54" s="13" t="s">
        <v>30</v>
      </c>
      <c r="E54" s="14" t="s">
        <v>640</v>
      </c>
      <c r="F54" s="14"/>
      <c r="G54" s="489">
        <f>Results!$G$11-Results!G20</f>
        <v>2.9620401074476401</v>
      </c>
      <c r="H54" s="56">
        <f t="shared" si="1"/>
        <v>277246.95405709912</v>
      </c>
      <c r="I54" s="28">
        <f t="shared" si="2"/>
        <v>417499.99999999907</v>
      </c>
      <c r="J54" s="202">
        <f t="shared" si="3"/>
        <v>1.5058776801349989</v>
      </c>
      <c r="K54" s="202"/>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row>
    <row r="55" spans="2:52" x14ac:dyDescent="0.25">
      <c r="B55" s="14"/>
      <c r="C55" s="12"/>
      <c r="D55" s="13"/>
      <c r="E55" s="14"/>
      <c r="F55" s="14"/>
      <c r="G55" s="15"/>
      <c r="H55" s="56"/>
      <c r="I55" s="28"/>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row>
    <row r="56" spans="2:52" x14ac:dyDescent="0.25">
      <c r="B56" s="14"/>
      <c r="C56" s="12"/>
      <c r="D56" s="13"/>
      <c r="E56" s="14"/>
      <c r="F56" s="14"/>
      <c r="G56" s="15"/>
      <c r="H56" s="14"/>
      <c r="I56" s="28"/>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row>
    <row r="57" spans="2:52" x14ac:dyDescent="0.25">
      <c r="B57" s="14"/>
      <c r="C57" s="14"/>
      <c r="D57" s="14"/>
      <c r="E57" s="14"/>
      <c r="F57" s="14"/>
      <c r="G57" s="14"/>
      <c r="H57" s="14"/>
      <c r="I57" s="28"/>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row>
    <row r="58" spans="2:52" x14ac:dyDescent="0.25">
      <c r="B58" s="14"/>
      <c r="C58" s="14"/>
      <c r="D58" s="14"/>
      <c r="E58" s="14"/>
      <c r="F58" s="14"/>
      <c r="G58" s="14"/>
      <c r="H58" s="14"/>
      <c r="I58" s="28"/>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row>
    <row r="59" spans="2:52" x14ac:dyDescent="0.25">
      <c r="B59" s="14"/>
      <c r="C59" s="14"/>
      <c r="D59" s="14"/>
      <c r="E59" s="14"/>
      <c r="F59" s="14"/>
      <c r="G59" s="14"/>
      <c r="H59" s="14"/>
      <c r="I59" s="28"/>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row>
    <row r="60" spans="2:52" x14ac:dyDescent="0.25">
      <c r="B60" s="14"/>
      <c r="C60" s="14"/>
      <c r="D60" s="14"/>
      <c r="E60" s="14"/>
      <c r="F60" s="14"/>
      <c r="G60" s="14"/>
      <c r="H60" s="14"/>
      <c r="I60" s="28"/>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row>
    <row r="61" spans="2:52" x14ac:dyDescent="0.2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row>
    <row r="62" spans="2:52" x14ac:dyDescent="0.25">
      <c r="B62" s="14"/>
      <c r="C62" s="24" t="s">
        <v>664</v>
      </c>
      <c r="D62" s="24"/>
      <c r="E62" s="26"/>
      <c r="F62" s="26" t="s">
        <v>620</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307"/>
      <c r="AU62" s="307"/>
      <c r="AV62" s="307"/>
      <c r="AW62" s="307"/>
      <c r="AX62" s="307"/>
      <c r="AY62" s="307"/>
      <c r="AZ62" s="307"/>
    </row>
    <row r="63" spans="2:52" x14ac:dyDescent="0.2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row>
    <row r="64" spans="2:52" s="463" customFormat="1" x14ac:dyDescent="0.25">
      <c r="B64" s="20"/>
      <c r="C64" s="142" t="s">
        <v>20</v>
      </c>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
      <c r="AC64" s="142" t="s">
        <v>26</v>
      </c>
      <c r="AD64" s="142"/>
      <c r="AE64" s="142"/>
      <c r="AF64" s="142"/>
      <c r="AG64" s="142"/>
      <c r="AH64" s="142"/>
      <c r="AI64" s="142"/>
      <c r="AJ64" s="142"/>
      <c r="AK64" s="142"/>
      <c r="AL64" s="142"/>
      <c r="AM64" s="142"/>
      <c r="AN64" s="142"/>
      <c r="AO64" s="142"/>
      <c r="AP64" s="20"/>
      <c r="AQ64" s="20"/>
      <c r="AR64" s="20"/>
      <c r="AS64" s="20"/>
      <c r="AT64" s="20"/>
      <c r="AU64" s="20"/>
      <c r="AV64" s="20"/>
      <c r="AW64" s="20"/>
      <c r="AX64" s="20"/>
      <c r="AY64" s="20"/>
      <c r="AZ64" s="20"/>
    </row>
    <row r="65" spans="2:52" x14ac:dyDescent="0.2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t="s">
        <v>629</v>
      </c>
      <c r="AD65" s="14"/>
      <c r="AE65" s="14"/>
      <c r="AF65" s="14"/>
      <c r="AG65" s="14"/>
      <c r="AH65" s="14"/>
      <c r="AI65" s="14"/>
      <c r="AJ65" s="14"/>
      <c r="AK65" s="14"/>
      <c r="AL65" s="14"/>
      <c r="AM65" s="14"/>
      <c r="AN65" s="14"/>
      <c r="AO65" s="14"/>
      <c r="AP65" s="14"/>
      <c r="AQ65" s="14"/>
      <c r="AR65" s="14"/>
      <c r="AS65" s="14"/>
      <c r="AT65" s="14"/>
      <c r="AU65" s="14"/>
      <c r="AV65" s="14"/>
      <c r="AW65" s="14"/>
      <c r="AX65" s="14"/>
      <c r="AY65" s="14"/>
      <c r="AZ65" s="14"/>
    </row>
    <row r="66" spans="2:52" ht="73.5" customHeight="1" x14ac:dyDescent="0.25">
      <c r="B66" s="14"/>
      <c r="C66" s="473" t="s">
        <v>630</v>
      </c>
      <c r="D66" s="474" t="str">
        <f>Results!F10</f>
        <v>TCO</v>
      </c>
      <c r="E66" s="474" t="str">
        <f>Results!$G$10</f>
        <v>TCO Inc. Emissions</v>
      </c>
      <c r="F66" s="482" t="s">
        <v>658</v>
      </c>
      <c r="G66" s="482" t="s">
        <v>659</v>
      </c>
      <c r="H66" s="14"/>
      <c r="I66" s="473" t="s">
        <v>253</v>
      </c>
      <c r="J66" s="474" t="s">
        <v>62</v>
      </c>
      <c r="K66" s="474"/>
      <c r="L66" s="475" t="str">
        <f>Results!$G$10</f>
        <v>TCO Inc. Emissions</v>
      </c>
      <c r="M66" s="482" t="s">
        <v>663</v>
      </c>
      <c r="N66" s="482" t="s">
        <v>662</v>
      </c>
      <c r="O66" s="14"/>
      <c r="P66" s="14"/>
      <c r="Q66" s="14"/>
      <c r="R66" s="14"/>
      <c r="S66" s="14"/>
      <c r="T66" s="14"/>
      <c r="U66" s="14"/>
      <c r="V66" s="14"/>
      <c r="W66" s="14"/>
      <c r="X66" s="14"/>
      <c r="Y66" s="14"/>
      <c r="Z66" s="14"/>
      <c r="AA66" s="14"/>
      <c r="AB66" s="14"/>
      <c r="AC66" s="14"/>
      <c r="AD66" s="473" t="s">
        <v>227</v>
      </c>
      <c r="AE66" s="474" t="s">
        <v>62</v>
      </c>
      <c r="AF66" s="474" t="str">
        <f>Results!$G$10</f>
        <v>TCO Inc. Emissions</v>
      </c>
      <c r="AG66" s="482" t="s">
        <v>660</v>
      </c>
      <c r="AH66" s="482" t="s">
        <v>661</v>
      </c>
      <c r="AI66" s="14"/>
      <c r="AJ66" s="14"/>
      <c r="AK66" s="473" t="s">
        <v>253</v>
      </c>
      <c r="AL66" s="474" t="s">
        <v>62</v>
      </c>
      <c r="AM66" s="475" t="str">
        <f>Results!$G$10</f>
        <v>TCO Inc. Emissions</v>
      </c>
      <c r="AN66" s="482" t="s">
        <v>663</v>
      </c>
      <c r="AO66" s="482" t="s">
        <v>662</v>
      </c>
      <c r="AP66" s="14"/>
      <c r="AQ66" s="14"/>
      <c r="AR66" s="14"/>
      <c r="AS66" s="14"/>
      <c r="AT66" s="14"/>
      <c r="AU66" s="14"/>
      <c r="AV66" s="14"/>
      <c r="AW66" s="14"/>
      <c r="AX66" s="14"/>
      <c r="AY66" s="14"/>
      <c r="AZ66" s="14"/>
    </row>
    <row r="67" spans="2:52" x14ac:dyDescent="0.25">
      <c r="B67" s="14"/>
      <c r="C67" s="508">
        <v>-0.2</v>
      </c>
      <c r="D67" s="511">
        <v>1.516225126239293</v>
      </c>
      <c r="E67" s="511">
        <v>4.3378881705606087</v>
      </c>
      <c r="F67" s="509">
        <f>D67/$D$71-1</f>
        <v>-8.8249764677914566E-2</v>
      </c>
      <c r="G67" s="509">
        <f>E67/$E$71-1</f>
        <v>-3.2724512933313465E-2</v>
      </c>
      <c r="H67" s="14"/>
      <c r="I67" s="508">
        <v>-0.2</v>
      </c>
      <c r="J67" s="511">
        <v>1.6280512271961387</v>
      </c>
      <c r="K67" s="511"/>
      <c r="L67" s="511">
        <v>4.4497142715174549</v>
      </c>
      <c r="M67" s="509">
        <f>J67/$J$71-1</f>
        <v>-2.1005480106901397E-2</v>
      </c>
      <c r="N67" s="509">
        <f>L67/$L$71-1</f>
        <v>-7.7891891036484528E-3</v>
      </c>
      <c r="O67" s="14"/>
      <c r="P67" s="14"/>
      <c r="Q67" s="14"/>
      <c r="R67" s="14"/>
      <c r="S67" s="14"/>
      <c r="T67" s="14"/>
      <c r="U67" s="14"/>
      <c r="V67" s="14"/>
      <c r="W67" s="14"/>
      <c r="X67" s="14"/>
      <c r="Y67" s="14"/>
      <c r="Z67" s="14"/>
      <c r="AA67" s="14"/>
      <c r="AB67" s="14"/>
      <c r="AC67" s="14"/>
      <c r="AD67" s="508">
        <v>-0.2</v>
      </c>
      <c r="AE67" s="511">
        <v>1.133722315342272</v>
      </c>
      <c r="AF67" s="511">
        <v>-2.0699519081749358</v>
      </c>
      <c r="AG67" s="509">
        <f>AE67/$AE$71-1</f>
        <v>-2.3104253527028051E-2</v>
      </c>
      <c r="AH67" s="509">
        <f>AF67/$AF$71-1</f>
        <v>1.3123588049095858E-2</v>
      </c>
      <c r="AI67" s="14"/>
      <c r="AJ67" s="14"/>
      <c r="AK67" s="508">
        <v>-0.2</v>
      </c>
      <c r="AL67" s="511">
        <v>1.0705641380156141</v>
      </c>
      <c r="AM67" s="511">
        <v>-2.1331100855015936</v>
      </c>
      <c r="AN67" s="509">
        <f>AL67/$AE$71-1</f>
        <v>-7.7525829207816144E-2</v>
      </c>
      <c r="AO67" s="509">
        <f>AM67/$AM$71-1</f>
        <v>4.4035919381586464E-2</v>
      </c>
      <c r="AP67" s="14"/>
      <c r="AQ67" s="14"/>
      <c r="AR67" s="14"/>
      <c r="AS67" s="14"/>
      <c r="AT67" s="14"/>
      <c r="AU67" s="14"/>
      <c r="AV67" s="14"/>
      <c r="AW67" s="14"/>
      <c r="AX67" s="14"/>
      <c r="AY67" s="14"/>
      <c r="AZ67" s="14"/>
    </row>
    <row r="68" spans="2:52" x14ac:dyDescent="0.25">
      <c r="B68" s="14"/>
      <c r="C68" s="508">
        <v>-0.15</v>
      </c>
      <c r="D68" s="511">
        <v>1.5529145904712627</v>
      </c>
      <c r="E68" s="511">
        <v>4.3745776347925789</v>
      </c>
      <c r="F68" s="509">
        <f t="shared" ref="F68:F69" si="4">D68/$D$71-1</f>
        <v>-6.6187323508436036E-2</v>
      </c>
      <c r="G68" s="509">
        <f t="shared" ref="G68:G70" si="5">E68/$E$71-1</f>
        <v>-2.4543384699985071E-2</v>
      </c>
      <c r="H68" s="14"/>
      <c r="I68" s="508">
        <v>-0.15</v>
      </c>
      <c r="J68" s="511">
        <v>1.6367841661888973</v>
      </c>
      <c r="K68" s="511"/>
      <c r="L68" s="511">
        <v>4.4584472105102133</v>
      </c>
      <c r="M68" s="509">
        <f>J68/$J$71-1</f>
        <v>-1.5754110080175909E-2</v>
      </c>
      <c r="N68" s="509">
        <f t="shared" ref="N68:N70" si="6">L68/$L$71-1</f>
        <v>-5.8418918277363119E-3</v>
      </c>
      <c r="O68" s="14"/>
      <c r="P68" s="14"/>
      <c r="Q68" s="14"/>
      <c r="R68" s="14"/>
      <c r="S68" s="14"/>
      <c r="T68" s="14"/>
      <c r="U68" s="14"/>
      <c r="V68" s="14"/>
      <c r="W68" s="14"/>
      <c r="X68" s="14"/>
      <c r="Y68" s="14"/>
      <c r="Z68" s="14"/>
      <c r="AA68" s="14"/>
      <c r="AB68" s="14"/>
      <c r="AC68" s="14"/>
      <c r="AD68" s="508">
        <v>-0.15</v>
      </c>
      <c r="AE68" s="511">
        <v>1.1404256426669863</v>
      </c>
      <c r="AF68" s="511">
        <v>-2.0632485808502214</v>
      </c>
      <c r="AG68" s="509">
        <f>AE68/$AE$71-1</f>
        <v>-1.7328190145270872E-2</v>
      </c>
      <c r="AH68" s="509">
        <f>AF68/$AF$71-1</f>
        <v>9.8426910368216713E-3</v>
      </c>
      <c r="AI68" s="14"/>
      <c r="AJ68" s="14"/>
      <c r="AK68" s="508">
        <v>-0.15</v>
      </c>
      <c r="AL68" s="511">
        <v>1.0930570096719929</v>
      </c>
      <c r="AM68" s="511">
        <v>-2.1106172138452148</v>
      </c>
      <c r="AN68" s="509">
        <f>AL68/$AE$71-1</f>
        <v>-5.8144371905861969E-2</v>
      </c>
      <c r="AO68" s="509">
        <f>AM68/$AM$71-1</f>
        <v>3.3026939536189737E-2</v>
      </c>
      <c r="AP68" s="14"/>
      <c r="AQ68" s="14"/>
      <c r="AR68" s="14"/>
      <c r="AS68" s="14"/>
      <c r="AT68" s="14"/>
      <c r="AU68" s="14"/>
      <c r="AV68" s="14"/>
      <c r="AW68" s="14"/>
      <c r="AX68" s="14"/>
      <c r="AY68" s="14"/>
      <c r="AZ68" s="14"/>
    </row>
    <row r="69" spans="2:52" x14ac:dyDescent="0.25">
      <c r="B69" s="14"/>
      <c r="C69" s="508">
        <v>-0.1</v>
      </c>
      <c r="D69" s="511">
        <v>1.5896040547032328</v>
      </c>
      <c r="E69" s="511">
        <v>4.4112670990245491</v>
      </c>
      <c r="F69" s="509">
        <f t="shared" si="4"/>
        <v>-4.4124882338957172E-2</v>
      </c>
      <c r="G69" s="509">
        <f t="shared" si="5"/>
        <v>-1.6362256466656677E-2</v>
      </c>
      <c r="H69" s="14"/>
      <c r="I69" s="508">
        <v>-0.1</v>
      </c>
      <c r="J69" s="511">
        <v>1.6455171051816559</v>
      </c>
      <c r="K69" s="511"/>
      <c r="L69" s="511">
        <v>4.4671801495029726</v>
      </c>
      <c r="M69" s="509">
        <f>J69/$J$71-1</f>
        <v>-1.0502740053450421E-2</v>
      </c>
      <c r="N69" s="509">
        <f t="shared" si="6"/>
        <v>-3.8945945518240599E-3</v>
      </c>
      <c r="O69" s="14"/>
      <c r="P69" s="14"/>
      <c r="Q69" s="14"/>
      <c r="R69" s="14"/>
      <c r="S69" s="14"/>
      <c r="T69" s="14"/>
      <c r="U69" s="14"/>
      <c r="V69" s="14"/>
      <c r="W69" s="14"/>
      <c r="X69" s="14"/>
      <c r="Y69" s="14"/>
      <c r="Z69" s="14"/>
      <c r="AA69" s="14"/>
      <c r="AB69" s="14"/>
      <c r="AC69" s="14"/>
      <c r="AD69" s="508">
        <v>-0.1</v>
      </c>
      <c r="AE69" s="511">
        <v>1.1471289699917002</v>
      </c>
      <c r="AF69" s="511">
        <v>-2.0565452535255075</v>
      </c>
      <c r="AG69" s="509">
        <f>AE69/$AE$71-1</f>
        <v>-1.1552126763514026E-2</v>
      </c>
      <c r="AH69" s="509">
        <f>AF69/$AF$71-1</f>
        <v>6.5617940245479289E-3</v>
      </c>
      <c r="AI69" s="14"/>
      <c r="AJ69" s="14"/>
      <c r="AK69" s="508">
        <v>-0.1</v>
      </c>
      <c r="AL69" s="511">
        <v>1.1155498813283711</v>
      </c>
      <c r="AM69" s="511">
        <v>-2.0881243421888369</v>
      </c>
      <c r="AN69" s="509">
        <f>AL69/$AE$71-1</f>
        <v>-3.8762914603908238E-2</v>
      </c>
      <c r="AO69" s="509">
        <f>AM69/$AM$71-1</f>
        <v>2.2017959690793454E-2</v>
      </c>
      <c r="AP69" s="14"/>
      <c r="AQ69" s="14"/>
      <c r="AR69" s="14"/>
      <c r="AS69" s="14"/>
      <c r="AT69" s="14"/>
      <c r="AU69" s="14"/>
      <c r="AV69" s="14"/>
      <c r="AW69" s="14"/>
      <c r="AX69" s="14"/>
      <c r="AY69" s="14"/>
      <c r="AZ69" s="14"/>
    </row>
    <row r="70" spans="2:52" x14ac:dyDescent="0.25">
      <c r="B70" s="14"/>
      <c r="C70" s="508">
        <v>-0.05</v>
      </c>
      <c r="D70" s="511">
        <v>1.6262935189352028</v>
      </c>
      <c r="E70" s="511">
        <v>4.4479565632565192</v>
      </c>
      <c r="F70" s="509">
        <f>D70/$D$71-1</f>
        <v>-2.2062441169478419E-2</v>
      </c>
      <c r="G70" s="509">
        <f t="shared" si="5"/>
        <v>-8.1811282333281721E-3</v>
      </c>
      <c r="H70" s="14"/>
      <c r="I70" s="508">
        <v>-0.05</v>
      </c>
      <c r="J70" s="511">
        <v>1.6542500441744146</v>
      </c>
      <c r="K70" s="511"/>
      <c r="L70" s="511">
        <v>4.475913088495731</v>
      </c>
      <c r="M70" s="509">
        <f>J70/$J$71-1</f>
        <v>-5.251370026724933E-3</v>
      </c>
      <c r="N70" s="509">
        <f t="shared" si="6"/>
        <v>-1.9472972759119189E-3</v>
      </c>
      <c r="O70" s="14"/>
      <c r="P70" s="14"/>
      <c r="Q70" s="14"/>
      <c r="R70" s="14"/>
      <c r="S70" s="14"/>
      <c r="T70" s="14"/>
      <c r="U70" s="14"/>
      <c r="V70" s="14"/>
      <c r="W70" s="14"/>
      <c r="X70" s="14"/>
      <c r="Y70" s="14"/>
      <c r="Z70" s="14"/>
      <c r="AA70" s="14"/>
      <c r="AB70" s="14"/>
      <c r="AC70" s="14"/>
      <c r="AD70" s="508">
        <v>-0.05</v>
      </c>
      <c r="AE70" s="511">
        <v>1.1538322973164141</v>
      </c>
      <c r="AF70" s="511">
        <v>-2.0498419262007936</v>
      </c>
      <c r="AG70" s="509">
        <f>AE70/$AE$71-1</f>
        <v>-5.7760633817571794E-3</v>
      </c>
      <c r="AH70" s="509">
        <f>AF70/$AF$71-1</f>
        <v>3.2808970122739645E-3</v>
      </c>
      <c r="AI70" s="14"/>
      <c r="AJ70" s="14"/>
      <c r="AK70" s="508">
        <v>-0.05</v>
      </c>
      <c r="AL70" s="511">
        <v>1.1380427529847499</v>
      </c>
      <c r="AM70" s="511">
        <v>-2.0656314705324581</v>
      </c>
      <c r="AN70" s="509">
        <f>AL70/$AE$71-1</f>
        <v>-1.9381457301954064E-2</v>
      </c>
      <c r="AO70" s="509">
        <f>AM70/$AM$71-1</f>
        <v>1.1008979845396727E-2</v>
      </c>
      <c r="AP70" s="14"/>
      <c r="AQ70" s="14"/>
      <c r="AR70" s="14"/>
      <c r="AS70" s="14"/>
      <c r="AT70" s="14"/>
      <c r="AU70" s="14"/>
      <c r="AV70" s="14"/>
      <c r="AW70" s="14"/>
      <c r="AX70" s="14"/>
      <c r="AY70" s="14"/>
      <c r="AZ70" s="14"/>
    </row>
    <row r="71" spans="2:52" x14ac:dyDescent="0.25">
      <c r="B71" s="14"/>
      <c r="C71" s="510">
        <v>0</v>
      </c>
      <c r="D71" s="511">
        <v>1.6629829831671723</v>
      </c>
      <c r="E71" s="511">
        <v>4.4846460274884885</v>
      </c>
      <c r="F71" s="512">
        <v>0</v>
      </c>
      <c r="G71" s="512">
        <v>0</v>
      </c>
      <c r="H71" s="14"/>
      <c r="I71" s="510">
        <v>0</v>
      </c>
      <c r="J71" s="511">
        <v>1.6629829831671723</v>
      </c>
      <c r="K71" s="511"/>
      <c r="L71" s="511">
        <v>4.4846460274884885</v>
      </c>
      <c r="M71" s="512">
        <v>0</v>
      </c>
      <c r="N71" s="512">
        <v>0</v>
      </c>
      <c r="O71" s="14"/>
      <c r="P71" s="14"/>
      <c r="Q71" s="14"/>
      <c r="R71" s="14"/>
      <c r="S71" s="14"/>
      <c r="T71" s="14"/>
      <c r="U71" s="14"/>
      <c r="V71" s="14"/>
      <c r="W71" s="14"/>
      <c r="X71" s="14"/>
      <c r="Y71" s="14"/>
      <c r="Z71" s="14"/>
      <c r="AA71" s="14"/>
      <c r="AB71" s="14"/>
      <c r="AC71" s="14"/>
      <c r="AD71" s="510">
        <v>0</v>
      </c>
      <c r="AE71" s="511">
        <v>1.1605356246411285</v>
      </c>
      <c r="AF71" s="511">
        <v>-2.0431385988760793</v>
      </c>
      <c r="AG71" s="512">
        <v>0</v>
      </c>
      <c r="AH71" s="512">
        <v>0</v>
      </c>
      <c r="AI71" s="14"/>
      <c r="AJ71" s="14"/>
      <c r="AK71" s="510">
        <v>0</v>
      </c>
      <c r="AL71" s="511">
        <v>1.1605356246411285</v>
      </c>
      <c r="AM71" s="511">
        <v>-2.0431385988760793</v>
      </c>
      <c r="AN71" s="512">
        <v>0</v>
      </c>
      <c r="AO71" s="512">
        <v>0</v>
      </c>
      <c r="AP71" s="14"/>
      <c r="AQ71" s="14"/>
      <c r="AR71" s="14"/>
      <c r="AS71" s="14"/>
      <c r="AT71" s="14"/>
      <c r="AU71" s="14"/>
      <c r="AV71" s="14"/>
      <c r="AW71" s="14"/>
      <c r="AX71" s="14"/>
      <c r="AY71" s="14"/>
      <c r="AZ71" s="14"/>
    </row>
    <row r="72" spans="2:52" x14ac:dyDescent="0.25">
      <c r="B72" s="14"/>
      <c r="C72" s="508">
        <v>0.05</v>
      </c>
      <c r="D72" s="511">
        <v>1.6996724473991429</v>
      </c>
      <c r="E72" s="511">
        <v>4.5213354917204587</v>
      </c>
      <c r="F72" s="509">
        <f>D72/$D$71-1</f>
        <v>2.2062441169479197E-2</v>
      </c>
      <c r="G72" s="509">
        <f>E72/$E$71-1</f>
        <v>8.1811282333283941E-3</v>
      </c>
      <c r="H72" s="14"/>
      <c r="I72" s="508">
        <v>0.05</v>
      </c>
      <c r="J72" s="511">
        <v>1.6717159221599311</v>
      </c>
      <c r="K72" s="511"/>
      <c r="L72" s="511">
        <v>4.4933789664812469</v>
      </c>
      <c r="M72" s="509">
        <f>J72/$J$71-1</f>
        <v>5.2513700267255992E-3</v>
      </c>
      <c r="N72" s="509">
        <f>L72/$L$71-1</f>
        <v>1.9472972759120299E-3</v>
      </c>
      <c r="O72" s="14"/>
      <c r="P72" s="14"/>
      <c r="Q72" s="14"/>
      <c r="R72" s="14"/>
      <c r="S72" s="14"/>
      <c r="T72" s="14"/>
      <c r="U72" s="14"/>
      <c r="V72" s="14"/>
      <c r="W72" s="14"/>
      <c r="X72" s="14"/>
      <c r="Y72" s="14"/>
      <c r="Z72" s="14"/>
      <c r="AA72" s="14"/>
      <c r="AB72" s="14"/>
      <c r="AC72" s="14"/>
      <c r="AD72" s="508">
        <v>0.05</v>
      </c>
      <c r="AE72" s="511">
        <v>1.1672389519658424</v>
      </c>
      <c r="AF72" s="511">
        <v>-2.0364352715513654</v>
      </c>
      <c r="AG72" s="509">
        <f>AE72/$AE$71-1</f>
        <v>5.7760633817567353E-3</v>
      </c>
      <c r="AH72" s="509">
        <f>AF72/$AF$71-1</f>
        <v>-3.2808970122738534E-3</v>
      </c>
      <c r="AI72" s="14"/>
      <c r="AJ72" s="14"/>
      <c r="AK72" s="508">
        <v>0.05</v>
      </c>
      <c r="AL72" s="511">
        <v>1.1830284962975071</v>
      </c>
      <c r="AM72" s="511">
        <v>-2.0206457272197005</v>
      </c>
      <c r="AN72" s="509">
        <f>AL72/$AE$71-1</f>
        <v>1.9381457301953953E-2</v>
      </c>
      <c r="AO72" s="509">
        <f>AM72/$AM$71-1</f>
        <v>-1.1008979845396727E-2</v>
      </c>
      <c r="AP72" s="14"/>
      <c r="AQ72" s="14"/>
      <c r="AR72" s="14"/>
      <c r="AS72" s="14"/>
      <c r="AT72" s="14"/>
      <c r="AU72" s="14"/>
      <c r="AV72" s="14"/>
      <c r="AW72" s="14"/>
      <c r="AX72" s="14"/>
      <c r="AY72" s="14"/>
      <c r="AZ72" s="14"/>
    </row>
    <row r="73" spans="2:52" x14ac:dyDescent="0.25">
      <c r="B73" s="14"/>
      <c r="C73" s="508">
        <v>0.1</v>
      </c>
      <c r="D73" s="511">
        <v>1.7363619116311124</v>
      </c>
      <c r="E73" s="511">
        <v>4.5580249559524288</v>
      </c>
      <c r="F73" s="509">
        <f t="shared" ref="F73:F75" si="7">D73/$D$71-1</f>
        <v>4.4124882338957505E-2</v>
      </c>
      <c r="G73" s="509">
        <f t="shared" ref="G73:G75" si="8">E73/$E$71-1</f>
        <v>1.6362256466656788E-2</v>
      </c>
      <c r="H73" s="14"/>
      <c r="I73" s="508">
        <v>0.1</v>
      </c>
      <c r="J73" s="511">
        <v>1.6804488611526895</v>
      </c>
      <c r="K73" s="511"/>
      <c r="L73" s="511">
        <v>4.5021119054740062</v>
      </c>
      <c r="M73" s="509">
        <f>J73/$J$71-1</f>
        <v>1.0502740053450976E-2</v>
      </c>
      <c r="N73" s="509">
        <f t="shared" ref="N73:N75" si="9">L73/$L$71-1</f>
        <v>3.894594551824504E-3</v>
      </c>
      <c r="O73" s="14"/>
      <c r="P73" s="14"/>
      <c r="Q73" s="14"/>
      <c r="R73" s="14"/>
      <c r="S73" s="14"/>
      <c r="T73" s="14"/>
      <c r="U73" s="14"/>
      <c r="V73" s="14"/>
      <c r="W73" s="14"/>
      <c r="X73" s="14"/>
      <c r="Y73" s="14"/>
      <c r="Z73" s="14"/>
      <c r="AA73" s="14"/>
      <c r="AB73" s="14"/>
      <c r="AC73" s="14"/>
      <c r="AD73" s="508">
        <v>0.1</v>
      </c>
      <c r="AE73" s="511">
        <v>1.1739422792905565</v>
      </c>
      <c r="AF73" s="511">
        <v>-2.0297319442266515</v>
      </c>
      <c r="AG73" s="509">
        <f>AE73/$AE$71-1</f>
        <v>1.1552126763513915E-2</v>
      </c>
      <c r="AH73" s="509">
        <f>AF73/$AF$71-1</f>
        <v>-6.5617940245477069E-3</v>
      </c>
      <c r="AI73" s="14"/>
      <c r="AJ73" s="14"/>
      <c r="AK73" s="508">
        <v>0.1</v>
      </c>
      <c r="AL73" s="511">
        <v>1.2055213679538856</v>
      </c>
      <c r="AM73" s="511">
        <v>-1.9981528555633221</v>
      </c>
      <c r="AN73" s="509">
        <f>AL73/$AE$71-1</f>
        <v>3.8762914603908127E-2</v>
      </c>
      <c r="AO73" s="509">
        <f>AM73/$AM$71-1</f>
        <v>-2.2017959690793232E-2</v>
      </c>
      <c r="AP73" s="14"/>
      <c r="AQ73" s="14"/>
      <c r="AR73" s="14"/>
      <c r="AS73" s="14"/>
      <c r="AT73" s="14"/>
      <c r="AU73" s="14"/>
      <c r="AV73" s="14"/>
      <c r="AW73" s="14"/>
      <c r="AX73" s="14"/>
      <c r="AY73" s="14"/>
      <c r="AZ73" s="14"/>
    </row>
    <row r="74" spans="2:52" x14ac:dyDescent="0.25">
      <c r="B74" s="14"/>
      <c r="C74" s="508">
        <v>0.15</v>
      </c>
      <c r="D74" s="511">
        <v>1.7730513758630824</v>
      </c>
      <c r="E74" s="511">
        <v>4.594714420184399</v>
      </c>
      <c r="F74" s="509">
        <f t="shared" si="7"/>
        <v>6.6187323508436258E-2</v>
      </c>
      <c r="G74" s="509">
        <f t="shared" si="8"/>
        <v>2.4543384699985182E-2</v>
      </c>
      <c r="H74" s="14"/>
      <c r="I74" s="508">
        <v>0.15</v>
      </c>
      <c r="J74" s="511">
        <v>1.6891818001454475</v>
      </c>
      <c r="K74" s="511"/>
      <c r="L74" s="511">
        <v>4.5108448444667637</v>
      </c>
      <c r="M74" s="509">
        <f>J74/$J$71-1</f>
        <v>1.5754110080176131E-2</v>
      </c>
      <c r="N74" s="509">
        <f t="shared" si="9"/>
        <v>5.8418918277363119E-3</v>
      </c>
      <c r="O74" s="14"/>
      <c r="P74" s="14"/>
      <c r="Q74" s="14"/>
      <c r="R74" s="14"/>
      <c r="S74" s="14"/>
      <c r="T74" s="14"/>
      <c r="U74" s="14"/>
      <c r="V74" s="14"/>
      <c r="W74" s="14"/>
      <c r="X74" s="14"/>
      <c r="Y74" s="14"/>
      <c r="Z74" s="14"/>
      <c r="AA74" s="14"/>
      <c r="AB74" s="14"/>
      <c r="AC74" s="14"/>
      <c r="AD74" s="508">
        <v>0.15</v>
      </c>
      <c r="AE74" s="511">
        <v>1.1806456066152706</v>
      </c>
      <c r="AF74" s="511">
        <v>-2.0230286169019371</v>
      </c>
      <c r="AG74" s="509">
        <f>AE74/$AE$71-1</f>
        <v>1.7328190145270872E-2</v>
      </c>
      <c r="AH74" s="509">
        <f>AF74/$AF$71-1</f>
        <v>-9.8426910368217824E-3</v>
      </c>
      <c r="AI74" s="14"/>
      <c r="AJ74" s="14"/>
      <c r="AK74" s="508">
        <v>0.15</v>
      </c>
      <c r="AL74" s="511">
        <v>1.228014239610264</v>
      </c>
      <c r="AM74" s="511">
        <v>-1.9756599839069438</v>
      </c>
      <c r="AN74" s="509">
        <f>AL74/$AE$71-1</f>
        <v>5.8144371905861858E-2</v>
      </c>
      <c r="AO74" s="509">
        <f>AM74/$AM$71-1</f>
        <v>-3.3026939536189626E-2</v>
      </c>
      <c r="AP74" s="14"/>
      <c r="AQ74" s="14"/>
      <c r="AR74" s="14"/>
      <c r="AS74" s="14"/>
      <c r="AT74" s="14"/>
      <c r="AU74" s="14"/>
      <c r="AV74" s="14"/>
      <c r="AW74" s="14"/>
      <c r="AX74" s="14"/>
      <c r="AY74" s="14"/>
      <c r="AZ74" s="14"/>
    </row>
    <row r="75" spans="2:52" x14ac:dyDescent="0.25">
      <c r="B75" s="14"/>
      <c r="C75" s="508">
        <v>0.2</v>
      </c>
      <c r="D75" s="511">
        <v>1.8097408400950521</v>
      </c>
      <c r="E75" s="511">
        <v>4.6314038844163683</v>
      </c>
      <c r="F75" s="509">
        <f t="shared" si="7"/>
        <v>8.8249764677914788E-2</v>
      </c>
      <c r="G75" s="509">
        <f t="shared" si="8"/>
        <v>3.2724512933313354E-2</v>
      </c>
      <c r="H75" s="14"/>
      <c r="I75" s="508">
        <v>0.2</v>
      </c>
      <c r="J75" s="511">
        <v>1.6979147391382066</v>
      </c>
      <c r="K75" s="511"/>
      <c r="L75" s="511">
        <v>4.519577783459523</v>
      </c>
      <c r="M75" s="509">
        <f>J75/$J$71-1</f>
        <v>2.1005480106901731E-2</v>
      </c>
      <c r="N75" s="509">
        <f t="shared" si="9"/>
        <v>7.7891891036485639E-3</v>
      </c>
      <c r="O75" s="14"/>
      <c r="P75" s="14"/>
      <c r="Q75" s="14"/>
      <c r="R75" s="14"/>
      <c r="S75" s="14"/>
      <c r="T75" s="14"/>
      <c r="U75" s="14"/>
      <c r="V75" s="14"/>
      <c r="W75" s="14"/>
      <c r="X75" s="14"/>
      <c r="Y75" s="14"/>
      <c r="Z75" s="14"/>
      <c r="AA75" s="14"/>
      <c r="AB75" s="14"/>
      <c r="AC75" s="14"/>
      <c r="AD75" s="508">
        <v>0.2</v>
      </c>
      <c r="AE75" s="511">
        <v>1.1873489339399848</v>
      </c>
      <c r="AF75" s="511">
        <v>-2.0163252895772228</v>
      </c>
      <c r="AG75" s="509">
        <f>AE75/$AE$71-1</f>
        <v>2.3104253527027829E-2</v>
      </c>
      <c r="AH75" s="509">
        <f>AF75/$AF$71-1</f>
        <v>-1.3123588049095858E-2</v>
      </c>
      <c r="AI75" s="14"/>
      <c r="AJ75" s="14"/>
      <c r="AK75" s="508">
        <v>0.2</v>
      </c>
      <c r="AL75" s="511">
        <v>1.2505071112666426</v>
      </c>
      <c r="AM75" s="511">
        <v>-1.9531671122505652</v>
      </c>
      <c r="AN75" s="509">
        <f>AL75/$AE$71-1</f>
        <v>7.7525829207816033E-2</v>
      </c>
      <c r="AO75" s="509">
        <f>AM75/$AM$71-1</f>
        <v>-4.4035919381586242E-2</v>
      </c>
      <c r="AP75" s="14"/>
      <c r="AQ75" s="14"/>
      <c r="AR75" s="14"/>
      <c r="AS75" s="14"/>
      <c r="AT75" s="14"/>
      <c r="AU75" s="14"/>
      <c r="AV75" s="14"/>
      <c r="AW75" s="14"/>
      <c r="AX75" s="14"/>
      <c r="AY75" s="14"/>
      <c r="AZ75" s="14"/>
    </row>
    <row r="76" spans="2:52" x14ac:dyDescent="0.25">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row>
    <row r="77" spans="2:52" s="463" customFormat="1" x14ac:dyDescent="0.25">
      <c r="B77" s="20"/>
      <c r="C77" s="142" t="s">
        <v>22</v>
      </c>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
      <c r="AC77" s="14"/>
      <c r="AD77" s="142" t="s">
        <v>631</v>
      </c>
      <c r="AE77" s="142"/>
      <c r="AF77" s="142"/>
      <c r="AG77" s="142"/>
      <c r="AH77" s="142"/>
      <c r="AI77" s="142"/>
      <c r="AJ77" s="142"/>
      <c r="AK77" s="142"/>
      <c r="AL77" s="142"/>
      <c r="AM77" s="142"/>
      <c r="AN77" s="142"/>
      <c r="AO77" s="142"/>
      <c r="AP77" s="142"/>
      <c r="AQ77" s="142"/>
      <c r="AR77" s="142"/>
      <c r="AS77" s="20"/>
      <c r="AT77" s="20"/>
      <c r="AU77" s="20"/>
      <c r="AV77" s="20"/>
      <c r="AW77" s="20"/>
      <c r="AX77" s="20"/>
      <c r="AY77" s="20"/>
      <c r="AZ77" s="20"/>
    </row>
    <row r="78" spans="2:52" ht="120" x14ac:dyDescent="0.25">
      <c r="B78" s="14"/>
      <c r="C78" s="473" t="s">
        <v>630</v>
      </c>
      <c r="D78" s="474" t="s">
        <v>62</v>
      </c>
      <c r="E78" s="474" t="s">
        <v>607</v>
      </c>
      <c r="F78" s="482" t="s">
        <v>658</v>
      </c>
      <c r="G78" s="482" t="s">
        <v>659</v>
      </c>
      <c r="H78" s="14"/>
      <c r="I78" s="473" t="s">
        <v>253</v>
      </c>
      <c r="J78" s="474" t="s">
        <v>62</v>
      </c>
      <c r="K78" s="474"/>
      <c r="L78" s="475" t="str">
        <f>Results!$G$10</f>
        <v>TCO Inc. Emissions</v>
      </c>
      <c r="M78" s="482" t="s">
        <v>663</v>
      </c>
      <c r="N78" s="482" t="s">
        <v>662</v>
      </c>
      <c r="O78" s="14" t="s">
        <v>632</v>
      </c>
      <c r="P78" s="14"/>
      <c r="Q78" s="14"/>
      <c r="R78" s="14"/>
      <c r="S78" s="14"/>
      <c r="T78" s="14"/>
      <c r="U78" s="14"/>
      <c r="V78" s="14"/>
      <c r="W78" s="14"/>
      <c r="X78" s="14"/>
      <c r="Y78" s="14"/>
      <c r="Z78" s="14"/>
      <c r="AA78" s="14"/>
      <c r="AB78" s="14"/>
      <c r="AC78" s="14"/>
      <c r="AD78" s="473" t="s">
        <v>227</v>
      </c>
      <c r="AE78" s="474" t="s">
        <v>62</v>
      </c>
      <c r="AF78" s="474" t="str">
        <f>Results!$G$10</f>
        <v>TCO Inc. Emissions</v>
      </c>
      <c r="AG78" s="482" t="s">
        <v>660</v>
      </c>
      <c r="AH78" s="482" t="s">
        <v>661</v>
      </c>
      <c r="AI78" s="14"/>
      <c r="AJ78" s="14"/>
      <c r="AK78" s="473" t="s">
        <v>253</v>
      </c>
      <c r="AL78" s="474" t="s">
        <v>62</v>
      </c>
      <c r="AM78" s="475" t="str">
        <f>Results!$G$10</f>
        <v>TCO Inc. Emissions</v>
      </c>
      <c r="AN78" s="482" t="s">
        <v>663</v>
      </c>
      <c r="AO78" s="482" t="s">
        <v>662</v>
      </c>
      <c r="AP78" s="14"/>
      <c r="AQ78" s="14"/>
      <c r="AR78" s="14"/>
      <c r="AS78" s="14"/>
      <c r="AT78" s="14"/>
      <c r="AU78" s="14"/>
      <c r="AV78" s="14"/>
      <c r="AW78" s="14"/>
      <c r="AX78" s="14"/>
      <c r="AY78" s="14"/>
      <c r="AZ78" s="14"/>
    </row>
    <row r="79" spans="2:52" x14ac:dyDescent="0.25">
      <c r="B79" s="14"/>
      <c r="C79" s="508">
        <v>-0.2</v>
      </c>
      <c r="D79" s="511">
        <v>2.5328673728297533</v>
      </c>
      <c r="E79" s="511">
        <v>5.6866787006929709</v>
      </c>
      <c r="F79" s="509">
        <f t="shared" ref="F79:F81" si="10">D79/$D$83-1</f>
        <v>-0.14314193979976797</v>
      </c>
      <c r="G79" s="509">
        <f>E79/$E$83-1</f>
        <v>-6.9253715966609231E-2</v>
      </c>
      <c r="H79" s="14"/>
      <c r="I79" s="508">
        <v>-0.2</v>
      </c>
      <c r="J79" s="511">
        <f>Results!$F$12</f>
        <v>2.9559941027314007</v>
      </c>
      <c r="K79" s="511"/>
      <c r="L79" s="511">
        <f>Results!$G$12</f>
        <v>6.1098054305946174</v>
      </c>
      <c r="M79" s="509">
        <v>0</v>
      </c>
      <c r="N79" s="509">
        <v>0</v>
      </c>
      <c r="O79" s="14"/>
      <c r="P79" s="14"/>
      <c r="Q79" s="14"/>
      <c r="R79" s="14"/>
      <c r="S79" s="14"/>
      <c r="T79" s="14"/>
      <c r="U79" s="14"/>
      <c r="V79" s="14"/>
      <c r="W79" s="14"/>
      <c r="X79" s="14"/>
      <c r="Y79" s="14"/>
      <c r="Z79" s="14"/>
      <c r="AA79" s="14"/>
      <c r="AB79" s="14"/>
      <c r="AC79" s="14"/>
      <c r="AD79" s="508">
        <v>-0.2</v>
      </c>
      <c r="AE79" s="511">
        <v>1.0200077940313164</v>
      </c>
      <c r="AF79" s="511">
        <v>-2.1775140211151567</v>
      </c>
      <c r="AG79" s="509">
        <f>AE79/$AE$83-1</f>
        <v>-2.2014265970824898E-2</v>
      </c>
      <c r="AH79" s="509">
        <f>AF79/$AF$83-1</f>
        <v>1.0656579452073434E-2</v>
      </c>
      <c r="AI79" s="14"/>
      <c r="AJ79" s="14"/>
      <c r="AK79" s="508">
        <v>-0.2</v>
      </c>
      <c r="AL79" s="511">
        <v>0.96840004953451653</v>
      </c>
      <c r="AM79" s="511">
        <v>-2.2291217656119566</v>
      </c>
      <c r="AN79" s="509">
        <f>AL79/$AE$83-1</f>
        <v>-7.1495885796313496E-2</v>
      </c>
      <c r="AO79" s="509">
        <f>AM79/$AM$83-1</f>
        <v>3.4609447732417031E-2</v>
      </c>
      <c r="AP79" s="14"/>
      <c r="AQ79" s="14"/>
      <c r="AR79" s="14"/>
      <c r="AS79" s="14"/>
      <c r="AT79" s="14"/>
      <c r="AU79" s="14"/>
      <c r="AV79" s="14"/>
      <c r="AW79" s="14"/>
      <c r="AX79" s="14"/>
      <c r="AY79" s="14"/>
      <c r="AZ79" s="14"/>
    </row>
    <row r="80" spans="2:52" x14ac:dyDescent="0.25">
      <c r="B80" s="14"/>
      <c r="C80" s="508">
        <v>-0.15</v>
      </c>
      <c r="D80" s="511">
        <v>2.6386490553051649</v>
      </c>
      <c r="E80" s="511">
        <v>5.7924603831683825</v>
      </c>
      <c r="F80" s="509">
        <f t="shared" si="10"/>
        <v>-0.10735645484982614</v>
      </c>
      <c r="G80" s="509">
        <f t="shared" ref="G80:G82" si="11">E80/$E$83-1</f>
        <v>-5.1940286974957006E-2</v>
      </c>
      <c r="H80" s="14"/>
      <c r="I80" s="508">
        <v>-0.15</v>
      </c>
      <c r="J80" s="511">
        <f>Results!$F$12</f>
        <v>2.9559941027314007</v>
      </c>
      <c r="K80" s="511"/>
      <c r="L80" s="511">
        <f>Results!$G$12</f>
        <v>6.1098054305946174</v>
      </c>
      <c r="M80" s="509">
        <v>0</v>
      </c>
      <c r="N80" s="509">
        <v>0</v>
      </c>
      <c r="O80" s="14"/>
      <c r="P80" s="14"/>
      <c r="Q80" s="14"/>
      <c r="R80" s="14"/>
      <c r="S80" s="14"/>
      <c r="T80" s="14"/>
      <c r="U80" s="14"/>
      <c r="V80" s="14"/>
      <c r="W80" s="14"/>
      <c r="X80" s="14"/>
      <c r="Y80" s="14"/>
      <c r="Z80" s="14"/>
      <c r="AA80" s="14"/>
      <c r="AB80" s="14"/>
      <c r="AC80" s="14"/>
      <c r="AD80" s="508">
        <v>-0.15</v>
      </c>
      <c r="AE80" s="511">
        <v>1.0257478375945313</v>
      </c>
      <c r="AF80" s="511">
        <v>-2.1717739775519416</v>
      </c>
      <c r="AG80" s="509">
        <f>AE80/$AE$83-1</f>
        <v>-1.6510699478118451E-2</v>
      </c>
      <c r="AH80" s="509">
        <f>AF80/$AF$83-1</f>
        <v>7.9924345890549642E-3</v>
      </c>
      <c r="AI80" s="14"/>
      <c r="AJ80" s="14"/>
      <c r="AK80" s="508">
        <v>-0.15</v>
      </c>
      <c r="AL80" s="511">
        <v>0.98704202922193118</v>
      </c>
      <c r="AM80" s="511">
        <v>-2.2104797859245418</v>
      </c>
      <c r="AN80" s="509">
        <f>AL80/$AE$83-1</f>
        <v>-5.3621914347235067E-2</v>
      </c>
      <c r="AO80" s="509">
        <f>AM80/$AM$83-1</f>
        <v>2.5957085799312551E-2</v>
      </c>
      <c r="AP80" s="14"/>
      <c r="AQ80" s="14"/>
      <c r="AR80" s="14"/>
      <c r="AS80" s="14"/>
      <c r="AT80" s="14"/>
      <c r="AU80" s="14"/>
      <c r="AV80" s="14"/>
      <c r="AW80" s="14"/>
      <c r="AX80" s="14"/>
      <c r="AY80" s="14"/>
      <c r="AZ80" s="14"/>
    </row>
    <row r="81" spans="2:52" x14ac:dyDescent="0.25">
      <c r="B81" s="14"/>
      <c r="C81" s="508">
        <v>-0.1</v>
      </c>
      <c r="D81" s="511">
        <v>2.7444307377805774</v>
      </c>
      <c r="E81" s="511">
        <v>5.8982420656437942</v>
      </c>
      <c r="F81" s="509">
        <f t="shared" si="10"/>
        <v>-7.1570969899883874E-2</v>
      </c>
      <c r="G81" s="509">
        <f t="shared" si="11"/>
        <v>-3.4626857983304671E-2</v>
      </c>
      <c r="H81" s="14"/>
      <c r="I81" s="508">
        <v>-0.1</v>
      </c>
      <c r="J81" s="511">
        <f>Results!$F$12</f>
        <v>2.9559941027314007</v>
      </c>
      <c r="K81" s="511"/>
      <c r="L81" s="511">
        <f>Results!$G$12</f>
        <v>6.1098054305946174</v>
      </c>
      <c r="M81" s="509">
        <v>0</v>
      </c>
      <c r="N81" s="509">
        <v>0</v>
      </c>
      <c r="O81" s="14"/>
      <c r="P81" s="14"/>
      <c r="Q81" s="14"/>
      <c r="R81" s="14"/>
      <c r="S81" s="14"/>
      <c r="T81" s="14"/>
      <c r="U81" s="14"/>
      <c r="V81" s="14"/>
      <c r="W81" s="14"/>
      <c r="X81" s="14"/>
      <c r="Y81" s="14"/>
      <c r="Z81" s="14"/>
      <c r="AA81" s="14"/>
      <c r="AB81" s="14"/>
      <c r="AC81" s="14"/>
      <c r="AD81" s="508">
        <v>-0.1</v>
      </c>
      <c r="AE81" s="511">
        <v>1.0314878811577457</v>
      </c>
      <c r="AF81" s="511">
        <v>-2.1660339339887273</v>
      </c>
      <c r="AG81" s="509">
        <f>AE81/$AE$83-1</f>
        <v>-1.1007132985412449E-2</v>
      </c>
      <c r="AH81" s="509">
        <f>AF81/$AF$83-1</f>
        <v>5.3282897260367168E-3</v>
      </c>
      <c r="AI81" s="14"/>
      <c r="AJ81" s="14"/>
      <c r="AK81" s="508">
        <v>-0.1</v>
      </c>
      <c r="AL81" s="511">
        <v>1.0056840089093455</v>
      </c>
      <c r="AM81" s="511">
        <v>-2.1918378062371273</v>
      </c>
      <c r="AN81" s="509">
        <f>AL81/$AE$83-1</f>
        <v>-3.574794289815697E-2</v>
      </c>
      <c r="AO81" s="509">
        <f>AM81/$AM$83-1</f>
        <v>1.7304723866208516E-2</v>
      </c>
      <c r="AP81" s="14"/>
      <c r="AQ81" s="14"/>
      <c r="AR81" s="14"/>
      <c r="AS81" s="14"/>
      <c r="AT81" s="14"/>
      <c r="AU81" s="14"/>
      <c r="AV81" s="14"/>
      <c r="AW81" s="14"/>
      <c r="AX81" s="14"/>
      <c r="AY81" s="14"/>
      <c r="AZ81" s="14"/>
    </row>
    <row r="82" spans="2:52" x14ac:dyDescent="0.25">
      <c r="B82" s="14"/>
      <c r="C82" s="508">
        <v>-0.05</v>
      </c>
      <c r="D82" s="511">
        <v>2.8502124202559891</v>
      </c>
      <c r="E82" s="511">
        <v>6.0040237481192058</v>
      </c>
      <c r="F82" s="509">
        <f>D82/$D$83-1</f>
        <v>-3.5785484949941937E-2</v>
      </c>
      <c r="G82" s="509">
        <f t="shared" si="11"/>
        <v>-1.7313428991652335E-2</v>
      </c>
      <c r="H82" s="14"/>
      <c r="I82" s="508">
        <v>-0.05</v>
      </c>
      <c r="J82" s="511">
        <f>Results!$F$12</f>
        <v>2.9559941027314007</v>
      </c>
      <c r="K82" s="511"/>
      <c r="L82" s="511">
        <f>Results!$G$12</f>
        <v>6.1098054305946174</v>
      </c>
      <c r="M82" s="509">
        <v>0</v>
      </c>
      <c r="N82" s="509">
        <v>0</v>
      </c>
      <c r="O82" s="14"/>
      <c r="P82" s="14"/>
      <c r="Q82" s="14"/>
      <c r="R82" s="14"/>
      <c r="S82" s="14"/>
      <c r="T82" s="14"/>
      <c r="U82" s="14"/>
      <c r="V82" s="14"/>
      <c r="W82" s="14"/>
      <c r="X82" s="14"/>
      <c r="Y82" s="14"/>
      <c r="Z82" s="14"/>
      <c r="AA82" s="14"/>
      <c r="AB82" s="14"/>
      <c r="AC82" s="14"/>
      <c r="AD82" s="508">
        <v>-0.05</v>
      </c>
      <c r="AE82" s="511">
        <v>1.0372279247209604</v>
      </c>
      <c r="AF82" s="511">
        <v>-2.1602938904255127</v>
      </c>
      <c r="AG82" s="509">
        <f>AE82/$AE$83-1</f>
        <v>-5.5035664927062244E-3</v>
      </c>
      <c r="AH82" s="509">
        <f>AF82/$AF$83-1</f>
        <v>2.6641448630184694E-3</v>
      </c>
      <c r="AI82" s="14"/>
      <c r="AJ82" s="14"/>
      <c r="AK82" s="508">
        <v>-0.05</v>
      </c>
      <c r="AL82" s="511">
        <v>1.0243259885967604</v>
      </c>
      <c r="AM82" s="511">
        <v>-2.1731958265497129</v>
      </c>
      <c r="AN82" s="509">
        <f>AL82/$AE$83-1</f>
        <v>-1.787397144907843E-2</v>
      </c>
      <c r="AO82" s="509">
        <f>AM82/$AM$83-1</f>
        <v>8.6523619331042578E-3</v>
      </c>
      <c r="AP82" s="14"/>
      <c r="AQ82" s="14"/>
      <c r="AR82" s="14"/>
      <c r="AS82" s="14"/>
      <c r="AT82" s="14"/>
      <c r="AU82" s="14"/>
      <c r="AV82" s="14"/>
      <c r="AW82" s="14"/>
      <c r="AX82" s="14"/>
      <c r="AY82" s="14"/>
      <c r="AZ82" s="14"/>
    </row>
    <row r="83" spans="2:52" x14ac:dyDescent="0.25">
      <c r="B83" s="14"/>
      <c r="C83" s="510">
        <v>0</v>
      </c>
      <c r="D83" s="511">
        <v>2.9559941027314007</v>
      </c>
      <c r="E83" s="511">
        <v>6.1098054305946174</v>
      </c>
      <c r="F83" s="512">
        <v>0</v>
      </c>
      <c r="G83" s="512">
        <v>0</v>
      </c>
      <c r="H83" s="14"/>
      <c r="I83" s="510">
        <v>0</v>
      </c>
      <c r="J83" s="511">
        <v>2.9559941027314007</v>
      </c>
      <c r="K83" s="511"/>
      <c r="L83" s="511">
        <v>6.1098054305946174</v>
      </c>
      <c r="M83" s="512">
        <v>0</v>
      </c>
      <c r="N83" s="512">
        <v>0</v>
      </c>
      <c r="O83" s="14"/>
      <c r="P83" s="14"/>
      <c r="Q83" s="14"/>
      <c r="R83" s="14"/>
      <c r="S83" s="14"/>
      <c r="T83" s="14"/>
      <c r="U83" s="14"/>
      <c r="V83" s="14"/>
      <c r="W83" s="14"/>
      <c r="X83" s="14"/>
      <c r="Y83" s="14"/>
      <c r="Z83" s="14"/>
      <c r="AA83" s="14"/>
      <c r="AB83" s="14"/>
      <c r="AC83" s="14"/>
      <c r="AD83" s="510">
        <v>0</v>
      </c>
      <c r="AE83" s="511">
        <v>1.042967968284175</v>
      </c>
      <c r="AF83" s="511">
        <v>-2.154553846862298</v>
      </c>
      <c r="AG83" s="512">
        <v>0</v>
      </c>
      <c r="AH83" s="512">
        <v>0</v>
      </c>
      <c r="AI83" s="14"/>
      <c r="AJ83" s="14"/>
      <c r="AK83" s="510">
        <v>0</v>
      </c>
      <c r="AL83" s="511">
        <v>1.042967968284175</v>
      </c>
      <c r="AM83" s="511">
        <v>-2.154553846862298</v>
      </c>
      <c r="AN83" s="512">
        <v>0</v>
      </c>
      <c r="AO83" s="512">
        <v>0</v>
      </c>
      <c r="AP83" s="14"/>
      <c r="AQ83" s="14"/>
      <c r="AR83" s="14"/>
      <c r="AS83" s="14"/>
      <c r="AT83" s="14"/>
      <c r="AU83" s="14"/>
      <c r="AV83" s="14"/>
      <c r="AW83" s="14"/>
      <c r="AX83" s="14"/>
      <c r="AY83" s="14"/>
      <c r="AZ83" s="14"/>
    </row>
    <row r="84" spans="2:52" x14ac:dyDescent="0.25">
      <c r="B84" s="14"/>
      <c r="C84" s="508">
        <v>0.05</v>
      </c>
      <c r="D84" s="511">
        <v>3.0617757852068124</v>
      </c>
      <c r="E84" s="511">
        <v>6.2155871130700291</v>
      </c>
      <c r="F84" s="509">
        <f>D84/$D$83-1</f>
        <v>3.5785484949941937E-2</v>
      </c>
      <c r="G84" s="509">
        <f>E84/$E$83-1</f>
        <v>1.7313428991652335E-2</v>
      </c>
      <c r="H84" s="14"/>
      <c r="I84" s="508">
        <v>0.05</v>
      </c>
      <c r="J84" s="511">
        <f>Results!$F$12</f>
        <v>2.9559941027314007</v>
      </c>
      <c r="K84" s="511"/>
      <c r="L84" s="511">
        <f>Results!$G$12</f>
        <v>6.1098054305946174</v>
      </c>
      <c r="M84" s="509">
        <v>0</v>
      </c>
      <c r="N84" s="509">
        <v>0</v>
      </c>
      <c r="O84" s="14"/>
      <c r="P84" s="14"/>
      <c r="Q84" s="14"/>
      <c r="R84" s="14"/>
      <c r="S84" s="14"/>
      <c r="T84" s="14"/>
      <c r="U84" s="14"/>
      <c r="V84" s="14"/>
      <c r="W84" s="14"/>
      <c r="X84" s="14"/>
      <c r="Y84" s="14"/>
      <c r="Z84" s="14"/>
      <c r="AA84" s="14"/>
      <c r="AB84" s="14"/>
      <c r="AC84" s="14"/>
      <c r="AD84" s="508">
        <v>0.05</v>
      </c>
      <c r="AE84" s="511">
        <v>1.0487080118473895</v>
      </c>
      <c r="AF84" s="511">
        <v>-2.1488138032990838</v>
      </c>
      <c r="AG84" s="509">
        <f>AE84/$AE$83-1</f>
        <v>5.5035664927061134E-3</v>
      </c>
      <c r="AH84" s="509">
        <f>AF84/$AF$83-1</f>
        <v>-2.6641448630181364E-3</v>
      </c>
      <c r="AI84" s="14"/>
      <c r="AJ84" s="14"/>
      <c r="AK84" s="508">
        <v>0.05</v>
      </c>
      <c r="AL84" s="511">
        <v>1.0616099479715895</v>
      </c>
      <c r="AM84" s="511">
        <v>-2.1359118671748836</v>
      </c>
      <c r="AN84" s="509">
        <f>AL84/$AE$83-1</f>
        <v>1.7873971449078097E-2</v>
      </c>
      <c r="AO84" s="509">
        <f>AM84/$AM$83-1</f>
        <v>-8.6523619331041468E-3</v>
      </c>
      <c r="AP84" s="14"/>
      <c r="AQ84" s="14"/>
      <c r="AR84" s="14"/>
      <c r="AS84" s="14"/>
      <c r="AT84" s="14"/>
      <c r="AU84" s="14"/>
      <c r="AV84" s="14"/>
      <c r="AW84" s="14"/>
      <c r="AX84" s="14"/>
      <c r="AY84" s="14"/>
      <c r="AZ84" s="14"/>
    </row>
    <row r="85" spans="2:52" x14ac:dyDescent="0.25">
      <c r="B85" s="14"/>
      <c r="C85" s="508">
        <v>0.1</v>
      </c>
      <c r="D85" s="511">
        <v>3.1675574676822245</v>
      </c>
      <c r="E85" s="511">
        <v>6.3213687955454416</v>
      </c>
      <c r="F85" s="509">
        <f t="shared" ref="F85:F87" si="12">D85/$D$83-1</f>
        <v>7.1570969899884096E-2</v>
      </c>
      <c r="G85" s="509">
        <f t="shared" ref="G85:G87" si="13">E85/$E$83-1</f>
        <v>3.4626857983304893E-2</v>
      </c>
      <c r="H85" s="14"/>
      <c r="I85" s="508">
        <v>0.1</v>
      </c>
      <c r="J85" s="511">
        <f>Results!$F$12</f>
        <v>2.9559941027314007</v>
      </c>
      <c r="K85" s="511"/>
      <c r="L85" s="511">
        <f>Results!$G$12</f>
        <v>6.1098054305946174</v>
      </c>
      <c r="M85" s="509">
        <v>0</v>
      </c>
      <c r="N85" s="509">
        <v>0</v>
      </c>
      <c r="O85" s="14"/>
      <c r="P85" s="14"/>
      <c r="Q85" s="14"/>
      <c r="R85" s="14"/>
      <c r="S85" s="14"/>
      <c r="T85" s="14"/>
      <c r="U85" s="14"/>
      <c r="V85" s="14"/>
      <c r="W85" s="14"/>
      <c r="X85" s="14"/>
      <c r="Y85" s="14"/>
      <c r="Z85" s="14"/>
      <c r="AA85" s="14"/>
      <c r="AB85" s="14"/>
      <c r="AC85" s="14"/>
      <c r="AD85" s="508">
        <v>0.1</v>
      </c>
      <c r="AE85" s="511">
        <v>1.0544480554106042</v>
      </c>
      <c r="AF85" s="511">
        <v>-2.1430737597358691</v>
      </c>
      <c r="AG85" s="509">
        <f>AE85/$AE$83-1</f>
        <v>1.1007132985412227E-2</v>
      </c>
      <c r="AH85" s="509">
        <f>AF85/$AF$83-1</f>
        <v>-5.3282897260364948E-3</v>
      </c>
      <c r="AI85" s="14"/>
      <c r="AJ85" s="14"/>
      <c r="AK85" s="508">
        <v>0.1</v>
      </c>
      <c r="AL85" s="511">
        <v>1.0802519276590044</v>
      </c>
      <c r="AM85" s="511">
        <v>-2.1172698874874687</v>
      </c>
      <c r="AN85" s="509">
        <f>AL85/$AE$83-1</f>
        <v>3.5747942898156859E-2</v>
      </c>
      <c r="AO85" s="509">
        <f>AM85/$AM$83-1</f>
        <v>-1.7304723866208516E-2</v>
      </c>
      <c r="AP85" s="14"/>
      <c r="AQ85" s="14"/>
      <c r="AR85" s="14"/>
      <c r="AS85" s="14"/>
      <c r="AT85" s="14"/>
      <c r="AU85" s="14"/>
      <c r="AV85" s="14"/>
      <c r="AW85" s="14"/>
      <c r="AX85" s="14"/>
      <c r="AY85" s="14"/>
      <c r="AZ85" s="14"/>
    </row>
    <row r="86" spans="2:52" x14ac:dyDescent="0.25">
      <c r="B86" s="14"/>
      <c r="C86" s="508">
        <v>0.15</v>
      </c>
      <c r="D86" s="511">
        <v>3.2733391501576357</v>
      </c>
      <c r="E86" s="511">
        <v>6.4271504780208524</v>
      </c>
      <c r="F86" s="509">
        <f t="shared" si="12"/>
        <v>0.10735645484982581</v>
      </c>
      <c r="G86" s="509">
        <f t="shared" si="13"/>
        <v>5.1940286974957006E-2</v>
      </c>
      <c r="H86" s="14"/>
      <c r="I86" s="508">
        <v>0.15</v>
      </c>
      <c r="J86" s="511">
        <f>Results!$F$12</f>
        <v>2.9559941027314007</v>
      </c>
      <c r="K86" s="511"/>
      <c r="L86" s="511">
        <f>Results!$G$12</f>
        <v>6.1098054305946174</v>
      </c>
      <c r="M86" s="509">
        <v>0</v>
      </c>
      <c r="N86" s="509">
        <v>0</v>
      </c>
      <c r="O86" s="14"/>
      <c r="P86" s="14"/>
      <c r="Q86" s="14"/>
      <c r="R86" s="14"/>
      <c r="S86" s="14"/>
      <c r="T86" s="14"/>
      <c r="U86" s="14"/>
      <c r="V86" s="14"/>
      <c r="W86" s="14"/>
      <c r="X86" s="14"/>
      <c r="Y86" s="14"/>
      <c r="Z86" s="14"/>
      <c r="AA86" s="14"/>
      <c r="AB86" s="14"/>
      <c r="AC86" s="14"/>
      <c r="AD86" s="508">
        <v>0.15</v>
      </c>
      <c r="AE86" s="511">
        <v>1.0601880989738188</v>
      </c>
      <c r="AF86" s="511">
        <v>-2.1373337161726544</v>
      </c>
      <c r="AG86" s="509">
        <f>AE86/$AE$83-1</f>
        <v>1.651069947811834E-2</v>
      </c>
      <c r="AH86" s="509">
        <f>AF86/$AF$83-1</f>
        <v>-7.9924345890549642E-3</v>
      </c>
      <c r="AI86" s="14"/>
      <c r="AJ86" s="14"/>
      <c r="AK86" s="508">
        <v>0.15</v>
      </c>
      <c r="AL86" s="511">
        <v>1.098893907346419</v>
      </c>
      <c r="AM86" s="511">
        <v>-2.0986279078000543</v>
      </c>
      <c r="AN86" s="509">
        <f>AL86/$AE$83-1</f>
        <v>5.3621914347235178E-2</v>
      </c>
      <c r="AO86" s="509">
        <f>AM86/$AM$83-1</f>
        <v>-2.5957085799312662E-2</v>
      </c>
      <c r="AP86" s="14"/>
      <c r="AQ86" s="14"/>
      <c r="AR86" s="14"/>
      <c r="AS86" s="14"/>
      <c r="AT86" s="14"/>
      <c r="AU86" s="14"/>
      <c r="AV86" s="14"/>
      <c r="AW86" s="14"/>
      <c r="AX86" s="14"/>
      <c r="AY86" s="14"/>
      <c r="AZ86" s="14"/>
    </row>
    <row r="87" spans="2:52" x14ac:dyDescent="0.25">
      <c r="B87" s="14"/>
      <c r="C87" s="508">
        <v>0.2</v>
      </c>
      <c r="D87" s="511">
        <v>3.3791208326330473</v>
      </c>
      <c r="E87" s="511">
        <v>6.532932160496264</v>
      </c>
      <c r="F87" s="509">
        <f t="shared" si="12"/>
        <v>0.14314193979976775</v>
      </c>
      <c r="G87" s="509">
        <f t="shared" si="13"/>
        <v>6.9253715966609342E-2</v>
      </c>
      <c r="H87" s="14"/>
      <c r="I87" s="508">
        <v>0.2</v>
      </c>
      <c r="J87" s="511">
        <f>Results!$F$12</f>
        <v>2.9559941027314007</v>
      </c>
      <c r="K87" s="511"/>
      <c r="L87" s="511">
        <f>Results!$G$12</f>
        <v>6.1098054305946174</v>
      </c>
      <c r="M87" s="509">
        <v>0</v>
      </c>
      <c r="N87" s="509">
        <v>0</v>
      </c>
      <c r="O87" s="14"/>
      <c r="P87" s="14"/>
      <c r="Q87" s="14"/>
      <c r="R87" s="14"/>
      <c r="S87" s="14"/>
      <c r="T87" s="14"/>
      <c r="U87" s="14"/>
      <c r="V87" s="14"/>
      <c r="W87" s="14"/>
      <c r="X87" s="14"/>
      <c r="Y87" s="14"/>
      <c r="Z87" s="14"/>
      <c r="AA87" s="14"/>
      <c r="AB87" s="14"/>
      <c r="AC87" s="14"/>
      <c r="AD87" s="508">
        <v>0.2</v>
      </c>
      <c r="AE87" s="511">
        <v>1.0659281425370335</v>
      </c>
      <c r="AF87" s="511">
        <v>-2.1315936726094398</v>
      </c>
      <c r="AG87" s="509">
        <f>AE87/$AE$83-1</f>
        <v>2.2014265970824676E-2</v>
      </c>
      <c r="AH87" s="509">
        <f>AF87/$AF$83-1</f>
        <v>-1.0656579452073323E-2</v>
      </c>
      <c r="AI87" s="14"/>
      <c r="AJ87" s="14"/>
      <c r="AK87" s="508">
        <v>0.2</v>
      </c>
      <c r="AL87" s="511">
        <v>1.1175358870338339</v>
      </c>
      <c r="AM87" s="511">
        <v>-2.0799859281126389</v>
      </c>
      <c r="AN87" s="509">
        <f>AL87/$AE$83-1</f>
        <v>7.149588579631394E-2</v>
      </c>
      <c r="AO87" s="509">
        <f>AM87/$AM$83-1</f>
        <v>-3.4609447732417142E-2</v>
      </c>
      <c r="AP87" s="14"/>
      <c r="AQ87" s="14"/>
      <c r="AR87" s="14"/>
      <c r="AS87" s="14"/>
      <c r="AT87" s="14"/>
      <c r="AU87" s="14"/>
      <c r="AV87" s="14"/>
      <c r="AW87" s="14"/>
      <c r="AX87" s="14"/>
      <c r="AY87" s="14"/>
      <c r="AZ87" s="14"/>
    </row>
    <row r="88" spans="2:52" x14ac:dyDescent="0.25">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row>
    <row r="89" spans="2:52" x14ac:dyDescent="0.25">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row>
    <row r="90" spans="2:52" s="463" customFormat="1" x14ac:dyDescent="0.25">
      <c r="B90" s="20"/>
      <c r="C90" s="142" t="s">
        <v>24</v>
      </c>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
      <c r="AC90" s="14"/>
      <c r="AD90" s="142" t="s">
        <v>633</v>
      </c>
      <c r="AE90" s="142"/>
      <c r="AF90" s="142"/>
      <c r="AG90" s="142"/>
      <c r="AH90" s="142"/>
      <c r="AI90" s="142"/>
      <c r="AJ90" s="142"/>
      <c r="AK90" s="142"/>
      <c r="AL90" s="142"/>
      <c r="AM90" s="142"/>
      <c r="AN90" s="142"/>
      <c r="AO90" s="142"/>
      <c r="AP90" s="142"/>
      <c r="AQ90" s="142"/>
      <c r="AR90" s="142"/>
      <c r="AS90" s="20"/>
      <c r="AT90" s="20"/>
      <c r="AU90" s="20"/>
      <c r="AV90" s="20"/>
      <c r="AW90" s="20"/>
      <c r="AX90" s="20"/>
      <c r="AY90" s="20"/>
      <c r="AZ90" s="20"/>
    </row>
    <row r="91" spans="2:52" ht="120" x14ac:dyDescent="0.25">
      <c r="B91" s="14"/>
      <c r="C91" s="473" t="s">
        <v>630</v>
      </c>
      <c r="D91" s="474" t="s">
        <v>62</v>
      </c>
      <c r="E91" s="474" t="s">
        <v>607</v>
      </c>
      <c r="F91" s="482" t="s">
        <v>658</v>
      </c>
      <c r="G91" s="482" t="s">
        <v>659</v>
      </c>
      <c r="H91" s="14"/>
      <c r="I91" s="473" t="s">
        <v>253</v>
      </c>
      <c r="J91" s="474" t="s">
        <v>62</v>
      </c>
      <c r="K91" s="474"/>
      <c r="L91" s="475" t="str">
        <f>Results!$G$10</f>
        <v>TCO Inc. Emissions</v>
      </c>
      <c r="M91" s="482" t="s">
        <v>663</v>
      </c>
      <c r="N91" s="482" t="s">
        <v>662</v>
      </c>
      <c r="O91" s="14"/>
      <c r="P91" s="14"/>
      <c r="Q91" s="14"/>
      <c r="R91" s="14"/>
      <c r="S91" s="14"/>
      <c r="T91" s="14"/>
      <c r="U91" s="14"/>
      <c r="V91" s="14"/>
      <c r="W91" s="14"/>
      <c r="X91" s="14"/>
      <c r="Y91" s="14"/>
      <c r="Z91" s="14"/>
      <c r="AA91" s="14"/>
      <c r="AB91" s="14"/>
      <c r="AC91" s="14"/>
      <c r="AD91" s="473" t="s">
        <v>227</v>
      </c>
      <c r="AE91" s="474" t="s">
        <v>62</v>
      </c>
      <c r="AF91" s="474" t="str">
        <f>Results!$G$10</f>
        <v>TCO Inc. Emissions</v>
      </c>
      <c r="AG91" s="482" t="s">
        <v>660</v>
      </c>
      <c r="AH91" s="482" t="s">
        <v>661</v>
      </c>
      <c r="AI91" s="14"/>
      <c r="AJ91" s="14"/>
      <c r="AK91" s="474" t="s">
        <v>253</v>
      </c>
      <c r="AL91" s="474" t="s">
        <v>62</v>
      </c>
      <c r="AM91" s="482" t="str">
        <f>Results!$G$10</f>
        <v>TCO Inc. Emissions</v>
      </c>
      <c r="AN91" s="482" t="s">
        <v>663</v>
      </c>
      <c r="AO91" s="482" t="s">
        <v>662</v>
      </c>
      <c r="AP91" s="14"/>
      <c r="AQ91" s="14"/>
      <c r="AR91" s="14"/>
      <c r="AS91" s="14"/>
      <c r="AT91" s="14"/>
      <c r="AU91" s="14"/>
      <c r="AV91" s="14"/>
      <c r="AW91" s="14"/>
      <c r="AX91" s="14"/>
      <c r="AY91" s="14"/>
      <c r="AZ91" s="14"/>
    </row>
    <row r="92" spans="2:52" x14ac:dyDescent="0.25">
      <c r="B92" s="14"/>
      <c r="C92" s="508">
        <v>-0.2</v>
      </c>
      <c r="D92" s="511">
        <v>1.4565429715627694</v>
      </c>
      <c r="E92" s="511">
        <v>4.6445266462447208</v>
      </c>
      <c r="F92" s="509">
        <f t="shared" ref="F92:F94" si="14">D92/$D$96-1</f>
        <v>-9.3259469464646805E-2</v>
      </c>
      <c r="G92" s="509">
        <f>E92/$E$96-1</f>
        <v>-3.1246755200575071E-2</v>
      </c>
      <c r="H92" s="14"/>
      <c r="I92" s="508">
        <v>-0.2</v>
      </c>
      <c r="J92" s="511">
        <v>1.6029597549938246</v>
      </c>
      <c r="K92" s="511"/>
      <c r="L92" s="511">
        <v>4.7909434296757762</v>
      </c>
      <c r="M92" s="509">
        <f t="shared" ref="M92:M94" si="15">J92/$D$96-1</f>
        <v>-2.1107464406288079E-3</v>
      </c>
      <c r="N92" s="509">
        <f>L92/$E$96-1</f>
        <v>-7.0720944156554832E-4</v>
      </c>
      <c r="O92" s="14"/>
      <c r="P92" s="14"/>
      <c r="Q92" s="14"/>
      <c r="R92" s="14"/>
      <c r="S92" s="14"/>
      <c r="T92" s="14"/>
      <c r="U92" s="14"/>
      <c r="V92" s="14"/>
      <c r="W92" s="14"/>
      <c r="X92" s="14"/>
      <c r="Y92" s="14"/>
      <c r="Z92" s="14"/>
      <c r="AA92" s="14"/>
      <c r="AB92" s="14"/>
      <c r="AC92" s="14"/>
      <c r="AD92" s="508">
        <v>-0.2</v>
      </c>
      <c r="AE92" s="511">
        <v>1.3392923312863687</v>
      </c>
      <c r="AF92" s="511">
        <v>-1.8808607251049103</v>
      </c>
      <c r="AG92" s="509">
        <f>AE92/$AE$96-1</f>
        <v>-9.6121826176657321E-2</v>
      </c>
      <c r="AH92" s="509">
        <f>AF92/$AF$96-1</f>
        <v>8.1927360167993957E-2</v>
      </c>
      <c r="AI92" s="14"/>
      <c r="AJ92" s="14"/>
      <c r="AK92" s="508">
        <v>-0.2</v>
      </c>
      <c r="AL92" s="511">
        <v>1.3998776330177702</v>
      </c>
      <c r="AM92" s="511">
        <v>-1.8202754233735088</v>
      </c>
      <c r="AN92" s="509">
        <f>AL92/$AE$96-1</f>
        <v>-5.5233268383664047E-2</v>
      </c>
      <c r="AO92" s="509">
        <f>AM92/$AM$96-1</f>
        <v>4.7076882037253798E-2</v>
      </c>
      <c r="AP92" s="14"/>
      <c r="AQ92" s="14"/>
      <c r="AR92" s="14"/>
      <c r="AS92" s="14"/>
      <c r="AT92" s="14"/>
      <c r="AU92" s="14"/>
      <c r="AV92" s="14"/>
      <c r="AW92" s="14"/>
      <c r="AX92" s="14"/>
      <c r="AY92" s="14"/>
      <c r="AZ92" s="14"/>
    </row>
    <row r="93" spans="2:52" x14ac:dyDescent="0.25">
      <c r="B93" s="14"/>
      <c r="C93" s="508">
        <v>-0.15</v>
      </c>
      <c r="D93" s="511">
        <v>1.4939948169931829</v>
      </c>
      <c r="E93" s="511">
        <v>4.6819784916751344</v>
      </c>
      <c r="F93" s="509">
        <f t="shared" si="14"/>
        <v>-6.9944602098484965E-2</v>
      </c>
      <c r="G93" s="509">
        <f t="shared" ref="G93:G95" si="16">E93/$E$96-1</f>
        <v>-2.3435066400431248E-2</v>
      </c>
      <c r="H93" s="14"/>
      <c r="I93" s="508">
        <v>-0.15</v>
      </c>
      <c r="J93" s="511">
        <v>1.6038074045664743</v>
      </c>
      <c r="K93" s="511"/>
      <c r="L93" s="511">
        <v>4.7917910792484255</v>
      </c>
      <c r="M93" s="509">
        <f t="shared" si="15"/>
        <v>-1.5830598304714671E-3</v>
      </c>
      <c r="N93" s="509">
        <f t="shared" ref="N93:N94" si="17">L93/$E$96-1</f>
        <v>-5.3040708117424451E-4</v>
      </c>
      <c r="O93" s="14"/>
      <c r="P93" s="14"/>
      <c r="Q93" s="14"/>
      <c r="R93" s="14"/>
      <c r="S93" s="14"/>
      <c r="T93" s="14"/>
      <c r="U93" s="14"/>
      <c r="V93" s="14"/>
      <c r="W93" s="14"/>
      <c r="X93" s="14"/>
      <c r="Y93" s="14"/>
      <c r="Z93" s="14"/>
      <c r="AA93" s="14"/>
      <c r="AB93" s="14"/>
      <c r="AC93" s="14"/>
      <c r="AD93" s="508">
        <v>-0.15</v>
      </c>
      <c r="AE93" s="511">
        <v>1.3748986852165388</v>
      </c>
      <c r="AF93" s="511">
        <v>-1.8452543711747402</v>
      </c>
      <c r="AG93" s="509">
        <f>AE93/$AE$96-1</f>
        <v>-7.2091369632492963E-2</v>
      </c>
      <c r="AH93" s="509">
        <f>AF93/$AF$96-1</f>
        <v>6.1445520125995357E-2</v>
      </c>
      <c r="AI93" s="14"/>
      <c r="AJ93" s="14"/>
      <c r="AK93" s="508">
        <v>-0.15</v>
      </c>
      <c r="AL93" s="511">
        <v>1.4203376615150898</v>
      </c>
      <c r="AM93" s="511">
        <v>-1.7998153948761892</v>
      </c>
      <c r="AN93" s="509">
        <f>AL93/$AE$96-1</f>
        <v>-4.1424951287748035E-2</v>
      </c>
      <c r="AO93" s="509">
        <f>AM93/$AM$96-1</f>
        <v>3.5307661527940404E-2</v>
      </c>
      <c r="AP93" s="14"/>
      <c r="AQ93" s="14"/>
      <c r="AR93" s="14"/>
      <c r="AS93" s="14"/>
      <c r="AT93" s="14"/>
      <c r="AU93" s="14"/>
      <c r="AV93" s="14"/>
      <c r="AW93" s="14"/>
      <c r="AX93" s="14"/>
      <c r="AY93" s="14"/>
      <c r="AZ93" s="14"/>
    </row>
    <row r="94" spans="2:52" x14ac:dyDescent="0.25">
      <c r="B94" s="14"/>
      <c r="C94" s="508">
        <v>-0.1</v>
      </c>
      <c r="D94" s="511">
        <v>1.5314466624235961</v>
      </c>
      <c r="E94" s="511">
        <v>4.719430337105547</v>
      </c>
      <c r="F94" s="509">
        <f t="shared" si="14"/>
        <v>-4.6629734732323347E-2</v>
      </c>
      <c r="G94" s="509">
        <f t="shared" si="16"/>
        <v>-1.5623377600287536E-2</v>
      </c>
      <c r="H94" s="14"/>
      <c r="I94" s="508">
        <v>-0.1</v>
      </c>
      <c r="J94" s="511">
        <v>1.6046550541391238</v>
      </c>
      <c r="K94" s="511"/>
      <c r="L94" s="511">
        <v>4.7926387288210748</v>
      </c>
      <c r="M94" s="509">
        <f t="shared" si="15"/>
        <v>-1.0553732203142374E-3</v>
      </c>
      <c r="N94" s="509">
        <f t="shared" si="17"/>
        <v>-3.5360472078282967E-4</v>
      </c>
      <c r="O94" s="14"/>
      <c r="P94" s="14"/>
      <c r="Q94" s="14"/>
      <c r="R94" s="14"/>
      <c r="S94" s="14"/>
      <c r="T94" s="14"/>
      <c r="U94" s="14"/>
      <c r="V94" s="14"/>
      <c r="W94" s="14"/>
      <c r="X94" s="14"/>
      <c r="Y94" s="14"/>
      <c r="Z94" s="14"/>
      <c r="AA94" s="14"/>
      <c r="AB94" s="14"/>
      <c r="AC94" s="14"/>
      <c r="AD94" s="508">
        <v>-0.1</v>
      </c>
      <c r="AE94" s="511">
        <v>1.4105050391467091</v>
      </c>
      <c r="AF94" s="511">
        <v>-1.8096480172445699</v>
      </c>
      <c r="AG94" s="509">
        <f>AE94/$AE$96-1</f>
        <v>-4.8060913088328383E-2</v>
      </c>
      <c r="AH94" s="509">
        <f>AF94/$AF$96-1</f>
        <v>4.0963680083996756E-2</v>
      </c>
      <c r="AI94" s="14"/>
      <c r="AJ94" s="14"/>
      <c r="AK94" s="508">
        <v>-0.1</v>
      </c>
      <c r="AL94" s="511">
        <v>1.44079769001241</v>
      </c>
      <c r="AM94" s="511">
        <v>-1.779355366378869</v>
      </c>
      <c r="AN94" s="509">
        <f>AL94/$AE$96-1</f>
        <v>-2.761663419183169E-2</v>
      </c>
      <c r="AO94" s="509">
        <f>AM94/$AM$96-1</f>
        <v>2.3538441018626566E-2</v>
      </c>
      <c r="AP94" s="14"/>
      <c r="AQ94" s="14"/>
      <c r="AR94" s="14"/>
      <c r="AS94" s="14"/>
      <c r="AT94" s="14"/>
      <c r="AU94" s="14"/>
      <c r="AV94" s="14"/>
      <c r="AW94" s="14"/>
      <c r="AX94" s="14"/>
      <c r="AY94" s="14"/>
      <c r="AZ94" s="14"/>
    </row>
    <row r="95" spans="2:52" x14ac:dyDescent="0.25">
      <c r="B95" s="14"/>
      <c r="C95" s="508">
        <v>-0.05</v>
      </c>
      <c r="D95" s="511">
        <v>1.5688985078540096</v>
      </c>
      <c r="E95" s="511">
        <v>4.7568821825359606</v>
      </c>
      <c r="F95" s="509">
        <f>D95/$D$96-1</f>
        <v>-2.3314867366161507E-2</v>
      </c>
      <c r="G95" s="509">
        <f t="shared" si="16"/>
        <v>-7.8116888001437124E-3</v>
      </c>
      <c r="H95" s="14"/>
      <c r="I95" s="508">
        <v>-0.05</v>
      </c>
      <c r="J95" s="511">
        <v>1.6055027037117731</v>
      </c>
      <c r="K95" s="511"/>
      <c r="L95" s="511">
        <v>4.793486378393724</v>
      </c>
      <c r="M95" s="509">
        <f>J95/$D$96-1</f>
        <v>-5.2768661015722973E-4</v>
      </c>
      <c r="N95" s="509">
        <f>L95/$E$96-1</f>
        <v>-1.7680236039141484E-4</v>
      </c>
      <c r="O95" s="14"/>
      <c r="P95" s="14"/>
      <c r="Q95" s="14"/>
      <c r="R95" s="14"/>
      <c r="S95" s="14"/>
      <c r="T95" s="14"/>
      <c r="U95" s="14"/>
      <c r="V95" s="14"/>
      <c r="W95" s="14"/>
      <c r="X95" s="14"/>
      <c r="Y95" s="14"/>
      <c r="Z95" s="14"/>
      <c r="AA95" s="14"/>
      <c r="AB95" s="14"/>
      <c r="AC95" s="14"/>
      <c r="AD95" s="508">
        <v>-0.05</v>
      </c>
      <c r="AE95" s="511">
        <v>1.4461113930768787</v>
      </c>
      <c r="AF95" s="511">
        <v>-1.7740416633144003</v>
      </c>
      <c r="AG95" s="509">
        <f>AE95/$AE$96-1</f>
        <v>-2.4030456544164247E-2</v>
      </c>
      <c r="AH95" s="509">
        <f>AF95/$AF$96-1</f>
        <v>2.0481840041998378E-2</v>
      </c>
      <c r="AI95" s="14"/>
      <c r="AJ95" s="14"/>
      <c r="AK95" s="508">
        <v>-0.05</v>
      </c>
      <c r="AL95" s="511">
        <v>1.4612577185097293</v>
      </c>
      <c r="AM95" s="511">
        <v>-1.7588953378815497</v>
      </c>
      <c r="AN95" s="509">
        <f>AL95/$AE$96-1</f>
        <v>-1.380831709591579E-2</v>
      </c>
      <c r="AO95" s="509">
        <f>AM95/$AM$96-1</f>
        <v>1.1769220509313394E-2</v>
      </c>
      <c r="AP95" s="14"/>
      <c r="AQ95" s="14"/>
      <c r="AR95" s="14"/>
      <c r="AS95" s="14"/>
      <c r="AT95" s="14"/>
      <c r="AU95" s="14"/>
      <c r="AV95" s="14"/>
      <c r="AW95" s="14"/>
      <c r="AX95" s="14"/>
      <c r="AY95" s="14"/>
      <c r="AZ95" s="14"/>
    </row>
    <row r="96" spans="2:52" x14ac:dyDescent="0.25">
      <c r="B96" s="14"/>
      <c r="C96" s="510">
        <v>0</v>
      </c>
      <c r="D96" s="511">
        <v>1.6063503532844225</v>
      </c>
      <c r="E96" s="511">
        <v>4.7943340279663733</v>
      </c>
      <c r="F96" s="512">
        <v>0</v>
      </c>
      <c r="G96" s="512">
        <v>0</v>
      </c>
      <c r="H96" s="14"/>
      <c r="I96" s="510">
        <v>0</v>
      </c>
      <c r="J96" s="511">
        <v>1.6063503532844225</v>
      </c>
      <c r="K96" s="511"/>
      <c r="L96" s="511">
        <v>4.7943340279663733</v>
      </c>
      <c r="M96" s="512">
        <v>0</v>
      </c>
      <c r="N96" s="512">
        <v>0</v>
      </c>
      <c r="O96" s="14"/>
      <c r="P96" s="14"/>
      <c r="Q96" s="14"/>
      <c r="R96" s="14"/>
      <c r="S96" s="14"/>
      <c r="T96" s="14"/>
      <c r="U96" s="14"/>
      <c r="V96" s="14"/>
      <c r="W96" s="14"/>
      <c r="X96" s="14"/>
      <c r="Y96" s="14"/>
      <c r="Z96" s="14"/>
      <c r="AA96" s="14"/>
      <c r="AB96" s="14"/>
      <c r="AC96" s="14"/>
      <c r="AD96" s="510">
        <v>0</v>
      </c>
      <c r="AE96" s="511">
        <v>1.4817177470070486</v>
      </c>
      <c r="AF96" s="511">
        <v>-1.7384353093842304</v>
      </c>
      <c r="AG96" s="512">
        <v>0</v>
      </c>
      <c r="AH96" s="512">
        <v>0</v>
      </c>
      <c r="AI96" s="14"/>
      <c r="AJ96" s="14"/>
      <c r="AK96" s="510">
        <v>0</v>
      </c>
      <c r="AL96" s="511">
        <v>1.4817177470070486</v>
      </c>
      <c r="AM96" s="511">
        <v>-1.7384353093842304</v>
      </c>
      <c r="AN96" s="512">
        <v>0</v>
      </c>
      <c r="AO96" s="512">
        <v>0</v>
      </c>
      <c r="AP96" s="14"/>
      <c r="AQ96" s="14"/>
      <c r="AR96" s="14"/>
      <c r="AS96" s="14"/>
      <c r="AT96" s="14"/>
      <c r="AU96" s="14"/>
      <c r="AV96" s="14"/>
      <c r="AW96" s="14"/>
      <c r="AX96" s="14"/>
      <c r="AY96" s="14"/>
      <c r="AZ96" s="14"/>
    </row>
    <row r="97" spans="2:52" x14ac:dyDescent="0.25">
      <c r="B97" s="14"/>
      <c r="C97" s="508">
        <v>0.05</v>
      </c>
      <c r="D97" s="511">
        <v>1.6438021987148366</v>
      </c>
      <c r="E97" s="511">
        <v>4.8317858733967878</v>
      </c>
      <c r="F97" s="509">
        <f>D97/$D$96-1</f>
        <v>2.3314867366162062E-2</v>
      </c>
      <c r="G97" s="509">
        <f>E97/$E$96-1</f>
        <v>7.8116888001440454E-3</v>
      </c>
      <c r="H97" s="14"/>
      <c r="I97" s="508">
        <v>0.05</v>
      </c>
      <c r="J97" s="511">
        <v>1.6071980028570727</v>
      </c>
      <c r="K97" s="511"/>
      <c r="L97" s="511">
        <v>4.7951816775390235</v>
      </c>
      <c r="M97" s="509">
        <f>J97/$D$96-1</f>
        <v>5.276866101575628E-4</v>
      </c>
      <c r="N97" s="509">
        <f>L97/$E$96-1</f>
        <v>1.7680236039163688E-4</v>
      </c>
      <c r="O97" s="14"/>
      <c r="P97" s="14"/>
      <c r="Q97" s="14"/>
      <c r="R97" s="14"/>
      <c r="S97" s="14"/>
      <c r="T97" s="14"/>
      <c r="U97" s="14"/>
      <c r="V97" s="14"/>
      <c r="W97" s="14"/>
      <c r="X97" s="14"/>
      <c r="Y97" s="14"/>
      <c r="Z97" s="14"/>
      <c r="AA97" s="14"/>
      <c r="AB97" s="14"/>
      <c r="AC97" s="14"/>
      <c r="AD97" s="508">
        <v>0.05</v>
      </c>
      <c r="AE97" s="511">
        <v>1.5173241009372191</v>
      </c>
      <c r="AF97" s="511">
        <v>-1.7028289554540599</v>
      </c>
      <c r="AG97" s="509">
        <f>AE97/$AE$96-1</f>
        <v>2.4030456544164691E-2</v>
      </c>
      <c r="AH97" s="509">
        <f>AF97/$AF$96-1</f>
        <v>-2.0481840041998822E-2</v>
      </c>
      <c r="AI97" s="14"/>
      <c r="AJ97" s="14"/>
      <c r="AK97" s="508">
        <v>0.05</v>
      </c>
      <c r="AL97" s="511">
        <v>1.502177775504369</v>
      </c>
      <c r="AM97" s="511">
        <v>-1.71797528088691</v>
      </c>
      <c r="AN97" s="509">
        <f>AL97/$AE$96-1</f>
        <v>1.3808317095916678E-2</v>
      </c>
      <c r="AO97" s="509">
        <f>AM97/$AM$96-1</f>
        <v>-1.1769220509313949E-2</v>
      </c>
      <c r="AP97" s="14"/>
      <c r="AQ97" s="14"/>
      <c r="AR97" s="14"/>
      <c r="AS97" s="14"/>
      <c r="AT97" s="14"/>
      <c r="AU97" s="14"/>
      <c r="AV97" s="14"/>
      <c r="AW97" s="14"/>
      <c r="AX97" s="14"/>
      <c r="AY97" s="14"/>
      <c r="AZ97" s="14"/>
    </row>
    <row r="98" spans="2:52" x14ac:dyDescent="0.25">
      <c r="B98" s="14"/>
      <c r="C98" s="508">
        <v>0.1</v>
      </c>
      <c r="D98" s="511">
        <v>1.6812540441452495</v>
      </c>
      <c r="E98" s="511">
        <v>4.8692377188272005</v>
      </c>
      <c r="F98" s="509">
        <f t="shared" ref="F98:F100" si="18">D98/$D$96-1</f>
        <v>4.662973473232368E-2</v>
      </c>
      <c r="G98" s="509">
        <f t="shared" ref="G98:G100" si="19">E98/$E$96-1</f>
        <v>1.5623377600287647E-2</v>
      </c>
      <c r="H98" s="14"/>
      <c r="I98" s="508">
        <v>0.1</v>
      </c>
      <c r="J98" s="511">
        <v>1.608045652429722</v>
      </c>
      <c r="K98" s="511"/>
      <c r="L98" s="511">
        <v>4.7960293271116736</v>
      </c>
      <c r="M98" s="509">
        <f t="shared" ref="M98:M100" si="20">J98/$D$96-1</f>
        <v>1.0553732203146815E-3</v>
      </c>
      <c r="N98" s="509">
        <f t="shared" ref="N98:N99" si="21">L98/$E$96-1</f>
        <v>3.5360472078327376E-4</v>
      </c>
      <c r="O98" s="14"/>
      <c r="P98" s="14"/>
      <c r="Q98" s="14"/>
      <c r="R98" s="14"/>
      <c r="S98" s="14"/>
      <c r="T98" s="14"/>
      <c r="U98" s="14"/>
      <c r="V98" s="14"/>
      <c r="W98" s="14"/>
      <c r="X98" s="14"/>
      <c r="Y98" s="14"/>
      <c r="Z98" s="14"/>
      <c r="AA98" s="14"/>
      <c r="AB98" s="14"/>
      <c r="AC98" s="14"/>
      <c r="AD98" s="508">
        <v>0.1</v>
      </c>
      <c r="AE98" s="511">
        <v>1.5529304548673895</v>
      </c>
      <c r="AF98" s="511">
        <v>-1.6672226015238896</v>
      </c>
      <c r="AG98" s="509">
        <f>AE98/$AE$96-1</f>
        <v>4.8060913088329382E-2</v>
      </c>
      <c r="AH98" s="509">
        <f>AF98/$AF$96-1</f>
        <v>-4.0963680083997533E-2</v>
      </c>
      <c r="AI98" s="14"/>
      <c r="AJ98" s="14"/>
      <c r="AK98" s="508">
        <v>0.1</v>
      </c>
      <c r="AL98" s="511">
        <v>1.5226378040016886</v>
      </c>
      <c r="AM98" s="511">
        <v>-1.6975152523895904</v>
      </c>
      <c r="AN98" s="509">
        <f>AL98/$AE$96-1</f>
        <v>2.7616634191832468E-2</v>
      </c>
      <c r="AO98" s="509">
        <f>AM98/$AM$96-1</f>
        <v>-2.3538441018627343E-2</v>
      </c>
      <c r="AP98" s="14"/>
      <c r="AQ98" s="14"/>
      <c r="AR98" s="14"/>
      <c r="AS98" s="14"/>
      <c r="AT98" s="14"/>
      <c r="AU98" s="14"/>
      <c r="AV98" s="14"/>
      <c r="AW98" s="14"/>
      <c r="AX98" s="14"/>
      <c r="AY98" s="14"/>
      <c r="AZ98" s="14"/>
    </row>
    <row r="99" spans="2:52" x14ac:dyDescent="0.25">
      <c r="B99" s="14"/>
      <c r="C99" s="508">
        <v>0.15</v>
      </c>
      <c r="D99" s="511">
        <v>1.7187058895756626</v>
      </c>
      <c r="E99" s="511">
        <v>4.906689564257614</v>
      </c>
      <c r="F99" s="509">
        <f t="shared" si="18"/>
        <v>6.9944602098485298E-2</v>
      </c>
      <c r="G99" s="509">
        <f t="shared" si="19"/>
        <v>2.3435066400431692E-2</v>
      </c>
      <c r="H99" s="14"/>
      <c r="I99" s="508">
        <v>0.15</v>
      </c>
      <c r="J99" s="511">
        <v>1.6088933020023712</v>
      </c>
      <c r="K99" s="511"/>
      <c r="L99" s="511">
        <v>4.796876976684322</v>
      </c>
      <c r="M99" s="509">
        <f t="shared" si="20"/>
        <v>1.5830598304718002E-3</v>
      </c>
      <c r="N99" s="509">
        <f t="shared" si="21"/>
        <v>5.3040708117446655E-4</v>
      </c>
      <c r="O99" s="14"/>
      <c r="P99" s="14"/>
      <c r="Q99" s="14"/>
      <c r="R99" s="14"/>
      <c r="S99" s="14"/>
      <c r="T99" s="14"/>
      <c r="U99" s="14"/>
      <c r="V99" s="14"/>
      <c r="W99" s="14"/>
      <c r="X99" s="14"/>
      <c r="Y99" s="14"/>
      <c r="Z99" s="14"/>
      <c r="AA99" s="14"/>
      <c r="AB99" s="14"/>
      <c r="AC99" s="14"/>
      <c r="AD99" s="508">
        <v>0.15</v>
      </c>
      <c r="AE99" s="511">
        <v>1.5885368087975595</v>
      </c>
      <c r="AF99" s="511">
        <v>-1.6316162475937195</v>
      </c>
      <c r="AG99" s="509">
        <f>AE99/$AE$96-1</f>
        <v>7.2091369632493629E-2</v>
      </c>
      <c r="AH99" s="509">
        <f>AF99/$AF$96-1</f>
        <v>-6.1445520125996023E-2</v>
      </c>
      <c r="AI99" s="14"/>
      <c r="AJ99" s="14"/>
      <c r="AK99" s="508">
        <v>0.15</v>
      </c>
      <c r="AL99" s="511">
        <v>1.5430978324990086</v>
      </c>
      <c r="AM99" s="511">
        <v>-1.6770552238922705</v>
      </c>
      <c r="AN99" s="509">
        <f>AL99/$AE$96-1</f>
        <v>4.1424951287748923E-2</v>
      </c>
      <c r="AO99" s="509">
        <f>AM99/$AM$96-1</f>
        <v>-3.530766152794107E-2</v>
      </c>
      <c r="AP99" s="14"/>
      <c r="AQ99" s="14"/>
      <c r="AR99" s="14"/>
      <c r="AS99" s="14"/>
      <c r="AT99" s="14"/>
      <c r="AU99" s="14"/>
      <c r="AV99" s="14"/>
      <c r="AW99" s="14"/>
      <c r="AX99" s="14"/>
      <c r="AY99" s="14"/>
      <c r="AZ99" s="14"/>
    </row>
    <row r="100" spans="2:52" x14ac:dyDescent="0.25">
      <c r="B100" s="14"/>
      <c r="C100" s="508">
        <v>0.2</v>
      </c>
      <c r="D100" s="511">
        <v>1.7561577350060757</v>
      </c>
      <c r="E100" s="511">
        <v>4.9441414096880267</v>
      </c>
      <c r="F100" s="509">
        <f t="shared" si="18"/>
        <v>9.3259469464646694E-2</v>
      </c>
      <c r="G100" s="509">
        <f t="shared" si="19"/>
        <v>3.1246755200575294E-2</v>
      </c>
      <c r="H100" s="14"/>
      <c r="I100" s="508">
        <v>0.2</v>
      </c>
      <c r="J100" s="511">
        <v>1.6097409515750212</v>
      </c>
      <c r="K100" s="511"/>
      <c r="L100" s="511">
        <v>4.7977246262569722</v>
      </c>
      <c r="M100" s="509">
        <f t="shared" si="20"/>
        <v>2.110746440629141E-3</v>
      </c>
      <c r="N100" s="509">
        <f>L100/$E$96-1</f>
        <v>7.0720944156588139E-4</v>
      </c>
      <c r="O100" s="14"/>
      <c r="P100" s="14"/>
      <c r="Q100" s="14"/>
      <c r="R100" s="14"/>
      <c r="S100" s="14"/>
      <c r="T100" s="14"/>
      <c r="U100" s="14"/>
      <c r="V100" s="14"/>
      <c r="W100" s="14"/>
      <c r="X100" s="14"/>
      <c r="Y100" s="14"/>
      <c r="Z100" s="14"/>
      <c r="AA100" s="14"/>
      <c r="AB100" s="14"/>
      <c r="AC100" s="14"/>
      <c r="AD100" s="508">
        <v>0.2</v>
      </c>
      <c r="AE100" s="511">
        <v>1.6241431627277296</v>
      </c>
      <c r="AF100" s="511">
        <v>-1.5960098936635494</v>
      </c>
      <c r="AG100" s="509">
        <f>AE100/$AE$96-1</f>
        <v>9.6121826176658098E-2</v>
      </c>
      <c r="AH100" s="509">
        <f>AF100/$AF$96-1</f>
        <v>-8.1927360167994623E-2</v>
      </c>
      <c r="AI100" s="14"/>
      <c r="AJ100" s="14"/>
      <c r="AK100" s="508">
        <v>0.2</v>
      </c>
      <c r="AL100" s="511">
        <v>1.5635578609963281</v>
      </c>
      <c r="AM100" s="511">
        <v>-1.6565951953949509</v>
      </c>
      <c r="AN100" s="509">
        <f>AL100/$AE$96-1</f>
        <v>5.5233268383664713E-2</v>
      </c>
      <c r="AO100" s="509">
        <f>AM100/$AM$96-1</f>
        <v>-4.7076882037254575E-2</v>
      </c>
      <c r="AP100" s="14"/>
      <c r="AQ100" s="14"/>
      <c r="AR100" s="14"/>
      <c r="AS100" s="14"/>
      <c r="AT100" s="14"/>
      <c r="AU100" s="14"/>
      <c r="AV100" s="14"/>
      <c r="AW100" s="14"/>
      <c r="AX100" s="14"/>
      <c r="AY100" s="14"/>
      <c r="AZ100" s="14"/>
    </row>
    <row r="101" spans="2:52" x14ac:dyDescent="0.25">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row>
    <row r="102" spans="2:52" x14ac:dyDescent="0.25">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row>
    <row r="103" spans="2:52" x14ac:dyDescent="0.25">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row>
    <row r="104" spans="2:52" x14ac:dyDescent="0.25">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row>
    <row r="105" spans="2:52" x14ac:dyDescent="0.25">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row>
    <row r="106" spans="2:52" x14ac:dyDescent="0.25">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row>
    <row r="107" spans="2:52" x14ac:dyDescent="0.25">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row>
    <row r="108" spans="2:52" x14ac:dyDescent="0.25">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row>
    <row r="109" spans="2:52" x14ac:dyDescent="0.25">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row>
    <row r="110" spans="2:52" x14ac:dyDescent="0.25">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row>
    <row r="111" spans="2:52" x14ac:dyDescent="0.25">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row>
    <row r="112" spans="2:52" x14ac:dyDescent="0.25">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row>
    <row r="113" spans="2:52" x14ac:dyDescent="0.25">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row>
    <row r="114" spans="2:52" x14ac:dyDescent="0.25">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row>
    <row r="115" spans="2:52" x14ac:dyDescent="0.25">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row>
  </sheetData>
  <conditionalFormatting sqref="I21">
    <cfRule type="expression" dxfId="11" priority="3">
      <formula>O$2&gt;=start_proj</formula>
    </cfRule>
  </conditionalFormatting>
  <conditionalFormatting sqref="I45:I60">
    <cfRule type="expression" dxfId="10" priority="4">
      <formula>ISNA(I45)</formula>
    </cfRule>
    <cfRule type="expression" dxfId="9" priority="5">
      <formula>O$2&gt;=start_proj</formula>
    </cfRule>
  </conditionalFormatting>
  <conditionalFormatting sqref="K11:K21 I21">
    <cfRule type="expression" dxfId="8" priority="1">
      <formula>ISNA(I11)</formula>
    </cfRule>
  </conditionalFormatting>
  <conditionalFormatting sqref="K11:K21">
    <cfRule type="expression" dxfId="7" priority="2">
      <formula>L$2&gt;=start_proj</formula>
    </cfRule>
  </conditionalFormatting>
  <hyperlinks>
    <hyperlink ref="D1" location="Cover!A1" display="Go to Results" xr:uid="{E30FFE99-A9BD-456D-AFB3-497DA5EF6A67}"/>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855E5-7666-4258-9AD7-5464632C2B5B}">
  <sheetPr codeName="Sheet20">
    <tabColor theme="7"/>
  </sheetPr>
  <dimension ref="B1:AT77"/>
  <sheetViews>
    <sheetView workbookViewId="0">
      <selection activeCell="U34" sqref="U34"/>
    </sheetView>
  </sheetViews>
  <sheetFormatPr defaultColWidth="9.140625" defaultRowHeight="15" x14ac:dyDescent="0.25"/>
  <cols>
    <col min="1" max="3" width="9.140625" style="94"/>
    <col min="4" max="4" width="15.140625" style="94" customWidth="1"/>
    <col min="5" max="5" width="15" style="94" customWidth="1"/>
    <col min="6" max="6" width="10.7109375" style="94" customWidth="1"/>
    <col min="7" max="7" width="9.140625" style="94"/>
    <col min="8" max="8" width="13.140625" style="94" customWidth="1"/>
    <col min="9" max="9" width="14.5703125" style="94" customWidth="1"/>
    <col min="10" max="10" width="15" style="94" customWidth="1"/>
    <col min="11" max="11" width="14.28515625" style="94" customWidth="1"/>
    <col min="12" max="12" width="9.140625" style="94"/>
    <col min="13" max="13" width="9.5703125" style="94" bestFit="1" customWidth="1"/>
    <col min="14" max="20" width="9.140625" style="94"/>
    <col min="21" max="21" width="11.28515625" style="94" customWidth="1"/>
    <col min="22" max="26" width="9.140625" style="94"/>
    <col min="27" max="27" width="10.85546875" style="94" customWidth="1"/>
    <col min="28" max="16384" width="9.140625" style="94"/>
  </cols>
  <sheetData>
    <row r="1" spans="2:46" x14ac:dyDescent="0.25">
      <c r="B1" s="14"/>
      <c r="C1" s="14"/>
      <c r="D1" s="144" t="s">
        <v>40</v>
      </c>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row>
    <row r="2" spans="2:46" x14ac:dyDescent="0.25">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row>
    <row r="3" spans="2:46" x14ac:dyDescent="0.25">
      <c r="B3" s="14"/>
      <c r="C3" s="14"/>
      <c r="D3" s="14"/>
      <c r="E3" s="15"/>
      <c r="F3" s="15"/>
      <c r="G3" s="21"/>
      <c r="H3" s="15"/>
      <c r="I3" s="15"/>
      <c r="J3" s="15"/>
      <c r="K3" s="15"/>
      <c r="L3" s="15"/>
      <c r="M3" s="15"/>
      <c r="N3" s="79"/>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row>
    <row r="5" spans="2:46" x14ac:dyDescent="0.25">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row>
    <row r="6" spans="2:46" x14ac:dyDescent="0.25">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row>
    <row r="7" spans="2:46" x14ac:dyDescent="0.25">
      <c r="B7" s="14"/>
      <c r="C7" s="24" t="s">
        <v>634</v>
      </c>
      <c r="D7" s="24"/>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307"/>
      <c r="AT7" s="307"/>
    </row>
    <row r="8" spans="2:46" x14ac:dyDescent="0.25">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row>
    <row r="9" spans="2:46" x14ac:dyDescent="0.25">
      <c r="B9" s="14"/>
      <c r="C9" s="14"/>
      <c r="D9" s="14" t="s">
        <v>165</v>
      </c>
      <c r="E9" s="58">
        <f>chart_start_proj</f>
        <v>2023</v>
      </c>
      <c r="F9" s="58">
        <f>E9+1</f>
        <v>2024</v>
      </c>
      <c r="G9" s="58">
        <f t="shared" ref="G9:AL9" si="0">F9+1</f>
        <v>2025</v>
      </c>
      <c r="H9" s="58">
        <f t="shared" si="0"/>
        <v>2026</v>
      </c>
      <c r="I9" s="58">
        <f t="shared" si="0"/>
        <v>2027</v>
      </c>
      <c r="J9" s="58">
        <f t="shared" si="0"/>
        <v>2028</v>
      </c>
      <c r="K9" s="58">
        <f t="shared" si="0"/>
        <v>2029</v>
      </c>
      <c r="L9" s="58">
        <f t="shared" si="0"/>
        <v>2030</v>
      </c>
      <c r="M9" s="58">
        <f t="shared" si="0"/>
        <v>2031</v>
      </c>
      <c r="N9" s="58">
        <f t="shared" si="0"/>
        <v>2032</v>
      </c>
      <c r="O9" s="58">
        <f t="shared" si="0"/>
        <v>2033</v>
      </c>
      <c r="P9" s="58">
        <f t="shared" si="0"/>
        <v>2034</v>
      </c>
      <c r="Q9" s="58">
        <f t="shared" si="0"/>
        <v>2035</v>
      </c>
      <c r="R9" s="58">
        <f t="shared" si="0"/>
        <v>2036</v>
      </c>
      <c r="S9" s="58">
        <f t="shared" si="0"/>
        <v>2037</v>
      </c>
      <c r="T9" s="58">
        <f t="shared" si="0"/>
        <v>2038</v>
      </c>
      <c r="U9" s="58">
        <f t="shared" si="0"/>
        <v>2039</v>
      </c>
      <c r="V9" s="58">
        <f t="shared" si="0"/>
        <v>2040</v>
      </c>
      <c r="W9" s="58">
        <f t="shared" si="0"/>
        <v>2041</v>
      </c>
      <c r="X9" s="58">
        <f t="shared" si="0"/>
        <v>2042</v>
      </c>
      <c r="Y9" s="58">
        <f t="shared" si="0"/>
        <v>2043</v>
      </c>
      <c r="Z9" s="58">
        <f t="shared" si="0"/>
        <v>2044</v>
      </c>
      <c r="AA9" s="58">
        <f t="shared" si="0"/>
        <v>2045</v>
      </c>
      <c r="AB9" s="58">
        <f t="shared" si="0"/>
        <v>2046</v>
      </c>
      <c r="AC9" s="58">
        <f t="shared" si="0"/>
        <v>2047</v>
      </c>
      <c r="AD9" s="58">
        <f t="shared" si="0"/>
        <v>2048</v>
      </c>
      <c r="AE9" s="58">
        <f t="shared" si="0"/>
        <v>2049</v>
      </c>
      <c r="AF9" s="58">
        <f t="shared" si="0"/>
        <v>2050</v>
      </c>
      <c r="AG9" s="58">
        <f t="shared" si="0"/>
        <v>2051</v>
      </c>
      <c r="AH9" s="58">
        <f t="shared" si="0"/>
        <v>2052</v>
      </c>
      <c r="AI9" s="58">
        <f t="shared" si="0"/>
        <v>2053</v>
      </c>
      <c r="AJ9" s="58">
        <f t="shared" si="0"/>
        <v>2054</v>
      </c>
      <c r="AK9" s="58">
        <f t="shared" si="0"/>
        <v>2055</v>
      </c>
      <c r="AL9" s="58">
        <f t="shared" si="0"/>
        <v>2056</v>
      </c>
      <c r="AM9" s="14"/>
      <c r="AN9" s="14"/>
      <c r="AO9" s="14"/>
      <c r="AP9" s="14"/>
      <c r="AQ9" s="14"/>
      <c r="AR9" s="14"/>
      <c r="AS9" s="14"/>
      <c r="AT9" s="14"/>
    </row>
    <row r="10" spans="2:46" x14ac:dyDescent="0.25">
      <c r="B10" s="14"/>
      <c r="C10" s="14" t="s">
        <v>635</v>
      </c>
      <c r="D10" s="15" t="s">
        <v>135</v>
      </c>
      <c r="E10" s="159">
        <f>Data!G59</f>
        <v>1.95</v>
      </c>
      <c r="F10" s="159">
        <f>Data!H59</f>
        <v>1.95</v>
      </c>
      <c r="G10" s="159">
        <f>Data!I59</f>
        <v>1.5577780095040483</v>
      </c>
      <c r="H10" s="159">
        <f>Data!J59</f>
        <v>1.5577780095040483</v>
      </c>
      <c r="I10" s="159">
        <f>Data!K59</f>
        <v>1.5577780095040483</v>
      </c>
      <c r="J10" s="159">
        <f>Data!L59</f>
        <v>1.5577780095040483</v>
      </c>
      <c r="K10" s="159">
        <f>Data!M59</f>
        <v>1.5577780095040483</v>
      </c>
      <c r="L10" s="159">
        <f>Data!N59</f>
        <v>1.5577780095040483</v>
      </c>
      <c r="M10" s="159">
        <f>Data!O59</f>
        <v>1.5577780095040483</v>
      </c>
      <c r="N10" s="159">
        <f>Data!P59</f>
        <v>1.5577780095040483</v>
      </c>
      <c r="O10" s="159">
        <f>Data!Q59</f>
        <v>1.5577780095040483</v>
      </c>
      <c r="P10" s="159">
        <f>Data!R59</f>
        <v>1.5577780095040483</v>
      </c>
      <c r="Q10" s="159">
        <f>Data!S59</f>
        <v>1.5577780095040483</v>
      </c>
      <c r="R10" s="159">
        <f>Data!T59</f>
        <v>1.5577780095040483</v>
      </c>
      <c r="S10" s="159">
        <f>Data!U59</f>
        <v>1.5577780095040483</v>
      </c>
      <c r="T10" s="159">
        <f>Data!V59</f>
        <v>1.5577780095040483</v>
      </c>
      <c r="U10" s="159">
        <f>Data!W59</f>
        <v>1.5577780095040483</v>
      </c>
      <c r="V10" s="159">
        <f>Data!X59</f>
        <v>1.5577780095040483</v>
      </c>
      <c r="W10" s="159">
        <f>Data!Y59</f>
        <v>1.5577780095040483</v>
      </c>
      <c r="X10" s="159">
        <f>Data!Z59</f>
        <v>1.5577780095040483</v>
      </c>
      <c r="Y10" s="159">
        <f>Data!AA59</f>
        <v>1.5577780095040483</v>
      </c>
      <c r="Z10" s="159">
        <f>Data!AB59</f>
        <v>1.5577780095040483</v>
      </c>
      <c r="AA10" s="159">
        <f>Data!AC59</f>
        <v>1.5577780095040483</v>
      </c>
      <c r="AB10" s="159">
        <f>Data!AD59</f>
        <v>1.5577780095040483</v>
      </c>
      <c r="AC10" s="159">
        <f>Data!AE59</f>
        <v>1.5577780095040483</v>
      </c>
      <c r="AD10" s="159">
        <f>Data!AF59</f>
        <v>1.5577780095040483</v>
      </c>
      <c r="AE10" s="159">
        <f>Data!AG59</f>
        <v>1.5577780095040483</v>
      </c>
      <c r="AF10" s="159">
        <f>Data!AH59</f>
        <v>1.5577780095040483</v>
      </c>
      <c r="AG10" s="159">
        <f>Data!AI59</f>
        <v>1.5577780095040483</v>
      </c>
      <c r="AH10" s="159">
        <f>Data!AJ59</f>
        <v>1.5577780095040483</v>
      </c>
      <c r="AI10" s="159">
        <f>Data!AK59</f>
        <v>1.5577780095040483</v>
      </c>
      <c r="AJ10" s="159">
        <f>Data!AL59</f>
        <v>1.5577780095040483</v>
      </c>
      <c r="AK10" s="159">
        <f>Data!AM59</f>
        <v>1.5577780095040483</v>
      </c>
      <c r="AL10" s="159">
        <f>Data!AN59</f>
        <v>1.5577780095040483</v>
      </c>
      <c r="AM10" s="14"/>
      <c r="AN10" s="14"/>
      <c r="AO10" s="14"/>
      <c r="AP10" s="14"/>
      <c r="AQ10" s="14"/>
      <c r="AR10" s="14"/>
      <c r="AS10" s="14"/>
      <c r="AT10" s="14"/>
    </row>
    <row r="11" spans="2:46" x14ac:dyDescent="0.25">
      <c r="B11" s="14"/>
      <c r="C11" s="14" t="s">
        <v>233</v>
      </c>
      <c r="D11" s="15" t="s">
        <v>137</v>
      </c>
      <c r="E11" s="159">
        <f>Data!G64</f>
        <v>19.380431301305965</v>
      </c>
      <c r="F11" s="159">
        <f>Data!H64</f>
        <v>17.76086260261193</v>
      </c>
      <c r="G11" s="159">
        <f>Data!I64</f>
        <v>16.141293903917894</v>
      </c>
      <c r="H11" s="159">
        <f>Data!J64</f>
        <v>14.521725205223861</v>
      </c>
      <c r="I11" s="159">
        <f>Data!K64</f>
        <v>12.902156506529828</v>
      </c>
      <c r="J11" s="159">
        <f>Data!L64</f>
        <v>11.282587807835794</v>
      </c>
      <c r="K11" s="159">
        <f>Data!M64</f>
        <v>9.6630191091417608</v>
      </c>
      <c r="L11" s="159">
        <f>Data!N64</f>
        <v>8.0434504104477274</v>
      </c>
      <c r="M11" s="159">
        <f>Data!O64</f>
        <v>6.4238817117536939</v>
      </c>
      <c r="N11" s="159">
        <f>Data!P64</f>
        <v>6.3060671942407822</v>
      </c>
      <c r="O11" s="159">
        <f>Data!Q64</f>
        <v>6.1910464206559706</v>
      </c>
      <c r="P11" s="159">
        <f>Data!R64</f>
        <v>6.0787420038775632</v>
      </c>
      <c r="Q11" s="159">
        <f>Data!S64</f>
        <v>5.969078933904119</v>
      </c>
      <c r="R11" s="159">
        <f>Data!T64</f>
        <v>5.8619845007146703</v>
      </c>
      <c r="S11" s="159">
        <f>Data!U64</f>
        <v>5.7573882196984778</v>
      </c>
      <c r="T11" s="159">
        <f>Data!V64</f>
        <v>5.6552217595677359</v>
      </c>
      <c r="U11" s="159">
        <f>Data!W64</f>
        <v>5.5554188726695388</v>
      </c>
      <c r="V11" s="159">
        <f>Data!X64</f>
        <v>5.4579153276163108</v>
      </c>
      <c r="W11" s="159">
        <f>Data!Y64</f>
        <v>5.3626488441565865</v>
      </c>
      <c r="X11" s="159">
        <f>Data!Z64</f>
        <v>5.2695590302107282</v>
      </c>
      <c r="Y11" s="159">
        <f>Data!AA64</f>
        <v>5.1785873209986475</v>
      </c>
      <c r="Z11" s="159">
        <f>Data!AB64</f>
        <v>5.0896769201891541</v>
      </c>
      <c r="AA11" s="159">
        <f>Data!AC64</f>
        <v>5.0027727430028435</v>
      </c>
      <c r="AB11" s="159">
        <f>Data!AD64</f>
        <v>4.9178213612028356</v>
      </c>
      <c r="AC11" s="159">
        <f>Data!AE64</f>
        <v>4.834770949909827</v>
      </c>
      <c r="AD11" s="159">
        <f>Data!AF64</f>
        <v>4.7535712361800995</v>
      </c>
      <c r="AE11" s="159">
        <f>Data!AG64</f>
        <v>4.6741734492872036</v>
      </c>
      <c r="AF11" s="159">
        <f>Data!AH64</f>
        <v>4.5965302726500479</v>
      </c>
      <c r="AG11" s="159">
        <f>Data!AI64</f>
        <v>4.5205957973520334</v>
      </c>
      <c r="AH11" s="159">
        <f>Data!AJ64</f>
        <v>4.5205957973520334</v>
      </c>
      <c r="AI11" s="159">
        <f>Data!AK64</f>
        <v>4.5205957973520334</v>
      </c>
      <c r="AJ11" s="159">
        <f>Data!AL64</f>
        <v>4.5205957973520334</v>
      </c>
      <c r="AK11" s="159">
        <f>Data!AM64</f>
        <v>4.5205957973520334</v>
      </c>
      <c r="AL11" s="159">
        <f>Data!AN64</f>
        <v>4.5205957973520334</v>
      </c>
      <c r="AM11" s="14"/>
      <c r="AN11" s="14"/>
      <c r="AO11" s="14"/>
      <c r="AP11" s="14"/>
      <c r="AQ11" s="14"/>
      <c r="AR11" s="14"/>
      <c r="AS11" s="14"/>
      <c r="AT11" s="14"/>
    </row>
    <row r="12" spans="2:46" x14ac:dyDescent="0.25">
      <c r="B12" s="14"/>
      <c r="C12" s="14" t="s">
        <v>138</v>
      </c>
      <c r="D12" s="112" t="s">
        <v>135</v>
      </c>
      <c r="E12" s="159">
        <f>Data!G69</f>
        <v>5.2650000000000006</v>
      </c>
      <c r="F12" s="159">
        <f>Data!H69</f>
        <v>5.2650000000000006</v>
      </c>
      <c r="G12" s="159">
        <f>Data!I69</f>
        <v>4.2356623706599841</v>
      </c>
      <c r="H12" s="159">
        <f>Data!J69</f>
        <v>4.0863618171503449</v>
      </c>
      <c r="I12" s="159">
        <f>Data!K69</f>
        <v>3.9370612636407056</v>
      </c>
      <c r="J12" s="159">
        <f>Data!L69</f>
        <v>3.8624109868858851</v>
      </c>
      <c r="K12" s="159">
        <f>Data!M69</f>
        <v>3.7877607101310655</v>
      </c>
      <c r="L12" s="159">
        <f>Data!N69</f>
        <v>3.7131104333762464</v>
      </c>
      <c r="M12" s="159">
        <f>Data!O69</f>
        <v>3.6384601566214263</v>
      </c>
      <c r="N12" s="159">
        <f>Data!P69</f>
        <v>3.6384601566214263</v>
      </c>
      <c r="O12" s="159">
        <f>Data!Q69</f>
        <v>3.6384601566214263</v>
      </c>
      <c r="P12" s="159">
        <f>Data!R69</f>
        <v>3.6384601566214263</v>
      </c>
      <c r="Q12" s="159">
        <f>Data!S69</f>
        <v>3.6384601566214263</v>
      </c>
      <c r="R12" s="159">
        <f>Data!T69</f>
        <v>3.6384601566214263</v>
      </c>
      <c r="S12" s="159">
        <f>Data!U69</f>
        <v>3.6384601566214263</v>
      </c>
      <c r="T12" s="159">
        <f>Data!V69</f>
        <v>3.6384601566214263</v>
      </c>
      <c r="U12" s="159">
        <f>Data!W69</f>
        <v>3.6384601566214263</v>
      </c>
      <c r="V12" s="159">
        <f>Data!X69</f>
        <v>3.6384601566214263</v>
      </c>
      <c r="W12" s="159">
        <f>Data!Y69</f>
        <v>3.6384601566214263</v>
      </c>
      <c r="X12" s="159">
        <f>Data!Z69</f>
        <v>3.6384601566214263</v>
      </c>
      <c r="Y12" s="159">
        <f>Data!AA69</f>
        <v>3.6384601566214263</v>
      </c>
      <c r="Z12" s="159">
        <f>Data!AB69</f>
        <v>3.6384601566214263</v>
      </c>
      <c r="AA12" s="159">
        <f>Data!AC69</f>
        <v>3.6384601566214263</v>
      </c>
      <c r="AB12" s="159">
        <f>Data!AD69</f>
        <v>3.6384601566214263</v>
      </c>
      <c r="AC12" s="159">
        <f>Data!AE69</f>
        <v>3.6384601566214263</v>
      </c>
      <c r="AD12" s="159">
        <f>Data!AF69</f>
        <v>3.6384601566214263</v>
      </c>
      <c r="AE12" s="159">
        <f>Data!AG69</f>
        <v>3.6384601566214263</v>
      </c>
      <c r="AF12" s="159">
        <f>Data!AH69</f>
        <v>3.6384601566214263</v>
      </c>
      <c r="AG12" s="159">
        <f>Data!AI69</f>
        <v>3.6384601566214263</v>
      </c>
      <c r="AH12" s="159">
        <f>Data!AJ69</f>
        <v>3.6384601566214263</v>
      </c>
      <c r="AI12" s="159">
        <f>Data!AK69</f>
        <v>3.6384601566214263</v>
      </c>
      <c r="AJ12" s="159">
        <f>Data!AL69</f>
        <v>3.6384601566214263</v>
      </c>
      <c r="AK12" s="159">
        <f>Data!AM69</f>
        <v>3.6384601566214263</v>
      </c>
      <c r="AL12" s="159">
        <f>Data!AN69</f>
        <v>3.6384601566214263</v>
      </c>
      <c r="AM12" s="14"/>
      <c r="AN12" s="14"/>
      <c r="AO12" s="14"/>
      <c r="AP12" s="14"/>
      <c r="AQ12" s="14"/>
      <c r="AR12" s="14"/>
      <c r="AS12" s="14"/>
      <c r="AT12" s="14"/>
    </row>
    <row r="13" spans="2:46" x14ac:dyDescent="0.25">
      <c r="B13" s="14"/>
      <c r="C13" s="14" t="s">
        <v>636</v>
      </c>
      <c r="D13" s="15" t="s">
        <v>140</v>
      </c>
      <c r="E13" s="159">
        <f>Data!G74</f>
        <v>0.14755094283744888</v>
      </c>
      <c r="F13" s="159">
        <f>Data!H74</f>
        <v>0.14622845315211994</v>
      </c>
      <c r="G13" s="159">
        <f>Data!I74</f>
        <v>0.14576678982717617</v>
      </c>
      <c r="H13" s="159">
        <f>Data!J74</f>
        <v>0.14489373632279459</v>
      </c>
      <c r="I13" s="159">
        <f>Data!K74</f>
        <v>0.14383008223192886</v>
      </c>
      <c r="J13" s="159">
        <f>Data!L74</f>
        <v>0.14264783000390788</v>
      </c>
      <c r="K13" s="159">
        <f>Data!M74</f>
        <v>0.14143709353586251</v>
      </c>
      <c r="L13" s="159">
        <f>Data!N74</f>
        <v>0.14023521514337361</v>
      </c>
      <c r="M13" s="159">
        <f>Data!O74</f>
        <v>0.13899092672111002</v>
      </c>
      <c r="N13" s="159">
        <f>Data!P74</f>
        <v>0.13832945799705504</v>
      </c>
      <c r="O13" s="159">
        <f>Data!Q74</f>
        <v>0.13767900600675279</v>
      </c>
      <c r="P13" s="159">
        <f>Data!R74</f>
        <v>0.13703585226114479</v>
      </c>
      <c r="Q13" s="159">
        <f>Data!S74</f>
        <v>0.13640984585805097</v>
      </c>
      <c r="R13" s="159">
        <f>Data!T74</f>
        <v>0.13604832693153598</v>
      </c>
      <c r="S13" s="159">
        <f>Data!U74</f>
        <v>0.13571099383851681</v>
      </c>
      <c r="T13" s="159">
        <f>Data!V74</f>
        <v>0.13535913537426603</v>
      </c>
      <c r="U13" s="159">
        <f>Data!W74</f>
        <v>0.13501830725032346</v>
      </c>
      <c r="V13" s="159">
        <f>Data!X74</f>
        <v>0.13469928623647126</v>
      </c>
      <c r="W13" s="159">
        <f>Data!Y74</f>
        <v>0.13440205291832355</v>
      </c>
      <c r="X13" s="159">
        <f>Data!Z74</f>
        <v>0.13412264737843618</v>
      </c>
      <c r="Y13" s="159">
        <f>Data!AA74</f>
        <v>0.13385718480205974</v>
      </c>
      <c r="Z13" s="159">
        <f>Data!AB74</f>
        <v>0.13358524813116526</v>
      </c>
      <c r="AA13" s="159">
        <f>Data!AC74</f>
        <v>0.13333068455360045</v>
      </c>
      <c r="AB13" s="159">
        <f>Data!AD74</f>
        <v>0.13307791321170145</v>
      </c>
      <c r="AC13" s="159">
        <f>Data!AE74</f>
        <v>0.13281514800078834</v>
      </c>
      <c r="AD13" s="159">
        <f>Data!AF74</f>
        <v>0.13268788083092928</v>
      </c>
      <c r="AE13" s="159">
        <f>Data!AG74</f>
        <v>0.13255329860665574</v>
      </c>
      <c r="AF13" s="159">
        <f>Data!AH74</f>
        <v>0.13239498758175705</v>
      </c>
      <c r="AG13" s="159">
        <f>Data!AI74</f>
        <v>0.13222197335834623</v>
      </c>
      <c r="AH13" s="159">
        <f>Data!AJ74</f>
        <v>0.13222197335834623</v>
      </c>
      <c r="AI13" s="159">
        <f>Data!AK74</f>
        <v>0.13222197335834623</v>
      </c>
      <c r="AJ13" s="159">
        <f>Data!AL74</f>
        <v>0.13222197335834623</v>
      </c>
      <c r="AK13" s="159">
        <f>Data!AM74</f>
        <v>0.13222197335834623</v>
      </c>
      <c r="AL13" s="159">
        <f>Data!AN74</f>
        <v>0.13222197335834623</v>
      </c>
      <c r="AM13" s="14"/>
      <c r="AN13" s="14"/>
      <c r="AO13" s="14"/>
      <c r="AP13" s="14"/>
      <c r="AQ13" s="14"/>
      <c r="AR13" s="14"/>
      <c r="AS13" s="14"/>
      <c r="AT13" s="14"/>
    </row>
    <row r="14" spans="2:46" x14ac:dyDescent="0.25">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row>
    <row r="15" spans="2:46" x14ac:dyDescent="0.25">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row>
    <row r="16" spans="2:46" x14ac:dyDescent="0.25">
      <c r="B16" s="14"/>
      <c r="C16" s="159"/>
      <c r="D16" s="14"/>
      <c r="E16" s="159"/>
      <c r="F16" s="14"/>
      <c r="G16" s="159"/>
      <c r="H16" s="14"/>
      <c r="I16" s="159"/>
      <c r="J16" s="14"/>
      <c r="K16" s="159"/>
      <c r="L16" s="14"/>
      <c r="M16" s="159"/>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row>
    <row r="17" spans="2:46" x14ac:dyDescent="0.25">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row>
    <row r="18" spans="2:46" x14ac:dyDescent="0.25">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row>
    <row r="19" spans="2:46" x14ac:dyDescent="0.25">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row>
    <row r="20" spans="2:46" x14ac:dyDescent="0.25">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row>
    <row r="21" spans="2:46" x14ac:dyDescent="0.25">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row>
    <row r="22" spans="2:46" x14ac:dyDescent="0.25">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row>
    <row r="23" spans="2:46" x14ac:dyDescent="0.25">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row>
    <row r="24" spans="2:46" x14ac:dyDescent="0.25">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row>
    <row r="25" spans="2:46" x14ac:dyDescent="0.2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row>
    <row r="26" spans="2:46" x14ac:dyDescent="0.2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row>
    <row r="27" spans="2:46" x14ac:dyDescent="0.25">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row>
    <row r="28" spans="2:46" x14ac:dyDescent="0.25">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row>
    <row r="29" spans="2:46" x14ac:dyDescent="0.25">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row>
    <row r="30" spans="2:46" x14ac:dyDescent="0.2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row>
    <row r="31" spans="2:46" x14ac:dyDescent="0.2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row>
    <row r="32" spans="2:46" x14ac:dyDescent="0.25">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row>
    <row r="33" spans="2:46" x14ac:dyDescent="0.25">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row>
    <row r="34" spans="2:46" x14ac:dyDescent="0.25">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row>
    <row r="35" spans="2:46" x14ac:dyDescent="0.25">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row>
    <row r="36" spans="2:46" x14ac:dyDescent="0.25">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row>
    <row r="37" spans="2:46" x14ac:dyDescent="0.25">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row>
    <row r="38" spans="2:46" x14ac:dyDescent="0.25">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row>
    <row r="39" spans="2:46" x14ac:dyDescent="0.25">
      <c r="B39" s="14"/>
      <c r="C39" s="24"/>
      <c r="D39" s="24"/>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307"/>
      <c r="AT39" s="307"/>
    </row>
    <row r="40" spans="2:46" x14ac:dyDescent="0.25">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row>
    <row r="41" spans="2:46" x14ac:dyDescent="0.25">
      <c r="B41" s="14"/>
      <c r="C41" s="20"/>
      <c r="D41" s="14"/>
      <c r="E41" s="20"/>
      <c r="F41" s="14"/>
      <c r="G41" s="20"/>
      <c r="H41" s="14"/>
      <c r="I41" s="20"/>
      <c r="J41" s="14"/>
      <c r="K41" s="20"/>
      <c r="L41" s="14"/>
      <c r="M41" s="20"/>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row>
    <row r="42" spans="2:46" x14ac:dyDescent="0.25">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row>
    <row r="43" spans="2:46" x14ac:dyDescent="0.25">
      <c r="B43" s="14"/>
      <c r="C43" s="12"/>
      <c r="D43" s="14"/>
      <c r="E43" s="12"/>
      <c r="F43" s="14"/>
      <c r="G43" s="12"/>
      <c r="H43" s="14"/>
      <c r="I43" s="12"/>
      <c r="J43" s="14"/>
      <c r="K43" s="12"/>
      <c r="L43" s="14"/>
      <c r="M43" s="12"/>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row>
    <row r="44" spans="2:46" x14ac:dyDescent="0.25">
      <c r="B44" s="14"/>
      <c r="C44" s="12"/>
      <c r="D44" s="14"/>
      <c r="E44" s="12"/>
      <c r="F44" s="14"/>
      <c r="G44" s="12"/>
      <c r="H44" s="14"/>
      <c r="I44" s="12"/>
      <c r="J44" s="14"/>
      <c r="K44" s="12"/>
      <c r="L44" s="14"/>
      <c r="M44" s="12"/>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row>
    <row r="45" spans="2:46" x14ac:dyDescent="0.25">
      <c r="B45" s="14"/>
      <c r="C45" s="12"/>
      <c r="D45" s="14"/>
      <c r="E45" s="12"/>
      <c r="F45" s="14"/>
      <c r="G45" s="12"/>
      <c r="H45" s="14"/>
      <c r="I45" s="12"/>
      <c r="J45" s="14"/>
      <c r="K45" s="12"/>
      <c r="L45" s="14"/>
      <c r="M45" s="12"/>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row>
    <row r="46" spans="2:46" x14ac:dyDescent="0.25">
      <c r="B46" s="14"/>
      <c r="C46" s="12"/>
      <c r="D46" s="14"/>
      <c r="E46" s="12"/>
      <c r="F46" s="14"/>
      <c r="G46" s="12"/>
      <c r="H46" s="14"/>
      <c r="I46" s="12"/>
      <c r="J46" s="14"/>
      <c r="K46" s="12"/>
      <c r="L46" s="14"/>
      <c r="M46" s="12"/>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row>
    <row r="47" spans="2:46" x14ac:dyDescent="0.25">
      <c r="B47" s="14"/>
      <c r="C47" s="12"/>
      <c r="D47" s="14"/>
      <c r="E47" s="12"/>
      <c r="F47" s="14"/>
      <c r="G47" s="12"/>
      <c r="H47" s="14"/>
      <c r="I47" s="12"/>
      <c r="J47" s="14"/>
      <c r="K47" s="12"/>
      <c r="L47" s="14"/>
      <c r="M47" s="12"/>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row>
    <row r="48" spans="2:46" x14ac:dyDescent="0.25">
      <c r="B48" s="14"/>
      <c r="C48" s="12"/>
      <c r="D48" s="13"/>
      <c r="E48" s="14"/>
      <c r="F48" s="14"/>
      <c r="G48" s="489"/>
      <c r="H48" s="56"/>
      <c r="I48" s="28"/>
      <c r="J48" s="202"/>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row>
    <row r="49" spans="2:46" x14ac:dyDescent="0.25">
      <c r="B49" s="14"/>
      <c r="C49" s="12"/>
      <c r="D49" s="13"/>
      <c r="E49" s="14"/>
      <c r="F49" s="14"/>
      <c r="G49" s="489"/>
      <c r="H49" s="56"/>
      <c r="I49" s="28"/>
      <c r="J49" s="202"/>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row>
    <row r="50" spans="2:46" x14ac:dyDescent="0.25">
      <c r="B50" s="14"/>
      <c r="C50" s="12"/>
      <c r="D50" s="13"/>
      <c r="E50" s="14"/>
      <c r="F50" s="14"/>
      <c r="G50" s="489"/>
      <c r="H50" s="56"/>
      <c r="I50" s="28"/>
      <c r="J50" s="202"/>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row>
    <row r="51" spans="2:46" x14ac:dyDescent="0.25">
      <c r="B51" s="14"/>
      <c r="C51" s="12"/>
      <c r="D51" s="13"/>
      <c r="E51" s="14"/>
      <c r="F51" s="14"/>
      <c r="G51" s="489"/>
      <c r="H51" s="56"/>
      <c r="I51" s="28"/>
      <c r="J51" s="202"/>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row>
    <row r="52" spans="2:46" x14ac:dyDescent="0.25">
      <c r="B52" s="14"/>
      <c r="C52" s="12"/>
      <c r="D52" s="13"/>
      <c r="E52" s="14"/>
      <c r="F52" s="14"/>
      <c r="G52" s="489"/>
      <c r="H52" s="56"/>
      <c r="I52" s="28"/>
      <c r="J52" s="202"/>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row>
    <row r="53" spans="2:46" x14ac:dyDescent="0.25">
      <c r="B53" s="14"/>
      <c r="C53" s="12"/>
      <c r="D53" s="13"/>
      <c r="E53" s="14"/>
      <c r="F53" s="14"/>
      <c r="G53" s="489"/>
      <c r="H53" s="56"/>
      <c r="I53" s="28"/>
      <c r="J53" s="202"/>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row>
    <row r="54" spans="2:46" x14ac:dyDescent="0.25">
      <c r="B54" s="14"/>
      <c r="C54" s="12"/>
      <c r="D54" s="13"/>
      <c r="E54" s="14"/>
      <c r="F54" s="14"/>
      <c r="G54" s="489"/>
      <c r="H54" s="56"/>
      <c r="I54" s="28"/>
      <c r="J54" s="202"/>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row>
    <row r="55" spans="2:46" x14ac:dyDescent="0.25">
      <c r="B55" s="14"/>
      <c r="C55" s="12"/>
      <c r="D55" s="13"/>
      <c r="E55" s="14"/>
      <c r="F55" s="14"/>
      <c r="G55" s="15"/>
      <c r="H55" s="56"/>
      <c r="I55" s="28"/>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row>
    <row r="56" spans="2:46" x14ac:dyDescent="0.25">
      <c r="B56" s="14"/>
      <c r="C56" s="12"/>
      <c r="D56" s="13"/>
      <c r="E56" s="14"/>
      <c r="F56" s="14"/>
      <c r="G56" s="15"/>
      <c r="H56" s="14"/>
      <c r="I56" s="28"/>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row>
    <row r="57" spans="2:46" x14ac:dyDescent="0.25">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row>
    <row r="58" spans="2:46" x14ac:dyDescent="0.25">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row>
    <row r="59" spans="2:46" x14ac:dyDescent="0.25">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row>
    <row r="60" spans="2:46" x14ac:dyDescent="0.25">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row>
    <row r="61" spans="2:46" x14ac:dyDescent="0.2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row>
    <row r="62" spans="2:46" x14ac:dyDescent="0.25">
      <c r="B62" s="14"/>
      <c r="C62" s="203"/>
      <c r="D62" s="159"/>
      <c r="E62" s="72"/>
      <c r="F62" s="14"/>
      <c r="G62" s="14"/>
      <c r="H62" s="203"/>
      <c r="I62" s="159"/>
      <c r="J62" s="72"/>
      <c r="K62" s="14"/>
      <c r="L62" s="14"/>
      <c r="M62" s="14"/>
      <c r="N62" s="14"/>
      <c r="O62" s="14"/>
      <c r="P62" s="14"/>
      <c r="Q62" s="14"/>
      <c r="R62" s="14"/>
      <c r="S62" s="203"/>
      <c r="T62" s="159"/>
      <c r="U62" s="476"/>
      <c r="V62" s="14"/>
      <c r="W62" s="14"/>
      <c r="X62" s="14"/>
      <c r="Y62" s="203"/>
      <c r="Z62" s="14"/>
      <c r="AA62" s="476"/>
      <c r="AB62" s="14"/>
      <c r="AC62" s="14"/>
      <c r="AD62" s="14"/>
      <c r="AE62" s="14"/>
      <c r="AF62" s="14"/>
      <c r="AG62" s="14"/>
      <c r="AH62" s="14"/>
      <c r="AI62" s="14"/>
      <c r="AJ62" s="14"/>
      <c r="AK62" s="14"/>
      <c r="AL62" s="14"/>
      <c r="AM62" s="14"/>
      <c r="AN62" s="14"/>
      <c r="AO62" s="14"/>
      <c r="AP62" s="14"/>
      <c r="AQ62" s="14"/>
      <c r="AR62" s="14"/>
      <c r="AS62" s="14"/>
      <c r="AT62" s="14"/>
    </row>
    <row r="63" spans="2:46" x14ac:dyDescent="0.2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row>
    <row r="64" spans="2:46" x14ac:dyDescent="0.2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row>
    <row r="65" spans="2:46" x14ac:dyDescent="0.2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row>
    <row r="66" spans="2:46" x14ac:dyDescent="0.25">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row>
    <row r="67" spans="2:46" x14ac:dyDescent="0.25">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row>
    <row r="68" spans="2:46" x14ac:dyDescent="0.2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row>
    <row r="69" spans="2:46" x14ac:dyDescent="0.25">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row>
    <row r="70" spans="2:46" x14ac:dyDescent="0.2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row>
    <row r="71" spans="2:46" x14ac:dyDescent="0.2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row>
    <row r="72" spans="2:46" x14ac:dyDescent="0.25">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row>
    <row r="73" spans="2:46" x14ac:dyDescent="0.25">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row>
    <row r="74" spans="2:46" x14ac:dyDescent="0.25">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row>
    <row r="75" spans="2:46" x14ac:dyDescent="0.25">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row>
    <row r="76" spans="2:46" x14ac:dyDescent="0.25">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row>
    <row r="77" spans="2:46" x14ac:dyDescent="0.25">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row>
  </sheetData>
  <conditionalFormatting sqref="E9:AL9">
    <cfRule type="cellIs" dxfId="6" priority="1" operator="equal">
      <formula>end_proj</formula>
    </cfRule>
    <cfRule type="expression" dxfId="5" priority="2">
      <formula>ISNA(E9)</formula>
    </cfRule>
    <cfRule type="cellIs" dxfId="4" priority="3" operator="equal">
      <formula>start_proj</formula>
    </cfRule>
    <cfRule type="cellIs" dxfId="3" priority="4" operator="equal">
      <formula>start_proj-hist_years</formula>
    </cfRule>
    <cfRule type="cellIs" dxfId="2" priority="5" operator="greaterThan">
      <formula>start_proj</formula>
    </cfRule>
  </conditionalFormatting>
  <conditionalFormatting sqref="I48:I56">
    <cfRule type="expression" dxfId="1" priority="9">
      <formula>ISNA(I48)</formula>
    </cfRule>
    <cfRule type="expression" dxfId="0" priority="10">
      <formula>N$2&gt;=start_proj</formula>
    </cfRule>
  </conditionalFormatting>
  <hyperlinks>
    <hyperlink ref="D1" location="Cover!A1" display="Go to Results" xr:uid="{538C52A8-306A-4BED-AEC6-CBE07C83AA13}"/>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BE806-FB07-4935-B45B-27B50B294C4C}">
  <sheetPr codeName="Sheet2">
    <tabColor theme="9" tint="0.79998168889431442"/>
  </sheetPr>
  <dimension ref="B2:V65"/>
  <sheetViews>
    <sheetView zoomScale="85" zoomScaleNormal="85" workbookViewId="0">
      <selection activeCell="L5" sqref="L5"/>
    </sheetView>
  </sheetViews>
  <sheetFormatPr defaultColWidth="9.140625" defaultRowHeight="15" x14ac:dyDescent="0.25"/>
  <cols>
    <col min="1" max="16384" width="9.140625" style="94"/>
  </cols>
  <sheetData>
    <row r="2" spans="2:22" x14ac:dyDescent="0.25">
      <c r="B2" s="14"/>
      <c r="C2" s="14"/>
      <c r="D2" s="14"/>
      <c r="E2" s="14"/>
      <c r="F2" s="14"/>
      <c r="G2" s="14"/>
      <c r="H2" s="14"/>
      <c r="I2" s="14"/>
      <c r="J2" s="14"/>
      <c r="K2" s="14"/>
      <c r="L2" s="14"/>
      <c r="M2" s="14"/>
      <c r="N2" s="14"/>
      <c r="O2" s="14"/>
      <c r="P2" s="14"/>
      <c r="Q2" s="14"/>
      <c r="R2" s="14"/>
      <c r="S2" s="14"/>
      <c r="T2" s="14"/>
      <c r="U2" s="14"/>
      <c r="V2" s="14"/>
    </row>
    <row r="3" spans="2:22" ht="18.75" x14ac:dyDescent="0.25">
      <c r="B3" s="14"/>
      <c r="C3" s="522" t="s">
        <v>665</v>
      </c>
      <c r="D3" s="522"/>
      <c r="E3" s="522"/>
      <c r="F3" s="522"/>
      <c r="G3" s="522"/>
      <c r="H3" s="522"/>
      <c r="I3" s="522"/>
      <c r="J3" s="522"/>
      <c r="K3" s="522"/>
      <c r="L3" s="522"/>
      <c r="M3" s="522"/>
      <c r="N3" s="522"/>
      <c r="O3" s="522"/>
      <c r="P3" s="522"/>
      <c r="Q3" s="522"/>
      <c r="R3" s="522"/>
      <c r="S3" s="522"/>
      <c r="T3" s="522"/>
      <c r="U3" s="522"/>
      <c r="V3" s="14"/>
    </row>
    <row r="4" spans="2:22" ht="15.75" x14ac:dyDescent="0.25">
      <c r="B4" s="14"/>
      <c r="C4" s="523" t="s">
        <v>38</v>
      </c>
      <c r="D4" s="523"/>
      <c r="E4" s="523"/>
      <c r="F4" s="523"/>
      <c r="G4" s="523"/>
      <c r="H4" s="523"/>
      <c r="I4" s="523"/>
      <c r="J4" s="523"/>
      <c r="K4" s="523"/>
      <c r="L4" s="523"/>
      <c r="M4" s="523"/>
      <c r="N4" s="523"/>
      <c r="O4" s="523"/>
      <c r="P4" s="523"/>
      <c r="Q4" s="523"/>
      <c r="R4" s="523"/>
      <c r="S4" s="523"/>
      <c r="T4" s="523"/>
      <c r="U4" s="523"/>
      <c r="V4" s="14"/>
    </row>
    <row r="5" spans="2:22" x14ac:dyDescent="0.25">
      <c r="B5" s="14"/>
      <c r="C5" s="14"/>
      <c r="D5" s="14"/>
      <c r="E5" s="14"/>
      <c r="F5" s="14"/>
      <c r="G5" s="14"/>
      <c r="H5" s="14"/>
      <c r="I5" s="14"/>
      <c r="J5" s="14"/>
      <c r="K5" s="14"/>
      <c r="L5" s="14"/>
      <c r="M5" s="14"/>
      <c r="N5" s="14"/>
      <c r="O5" s="14"/>
      <c r="P5" s="14"/>
      <c r="Q5" s="14"/>
      <c r="R5" s="14"/>
      <c r="S5" s="14"/>
      <c r="T5" s="14"/>
      <c r="U5" s="14"/>
      <c r="V5" s="14"/>
    </row>
    <row r="6" spans="2:22" x14ac:dyDescent="0.25">
      <c r="B6" s="14"/>
      <c r="C6" s="524" t="s">
        <v>674</v>
      </c>
      <c r="D6" s="524"/>
      <c r="E6" s="524"/>
      <c r="F6" s="524"/>
      <c r="G6" s="524"/>
      <c r="H6" s="524"/>
      <c r="I6" s="524"/>
      <c r="J6" s="524"/>
      <c r="K6" s="524"/>
      <c r="L6" s="524"/>
      <c r="M6" s="524"/>
      <c r="N6" s="524"/>
      <c r="O6" s="524"/>
      <c r="P6" s="524"/>
      <c r="Q6" s="524"/>
      <c r="R6" s="524"/>
      <c r="S6" s="524"/>
      <c r="T6" s="524"/>
      <c r="U6" s="524"/>
      <c r="V6" s="14"/>
    </row>
    <row r="7" spans="2:22" x14ac:dyDescent="0.25">
      <c r="B7" s="14"/>
      <c r="C7" s="524" t="s">
        <v>39</v>
      </c>
      <c r="D7" s="524"/>
      <c r="E7" s="524"/>
      <c r="F7" s="524"/>
      <c r="G7" s="524"/>
      <c r="H7" s="524"/>
      <c r="I7" s="524"/>
      <c r="J7" s="524"/>
      <c r="K7" s="524"/>
      <c r="L7" s="524"/>
      <c r="M7" s="524"/>
      <c r="N7" s="524"/>
      <c r="O7" s="524"/>
      <c r="P7" s="524"/>
      <c r="Q7" s="524"/>
      <c r="R7" s="524"/>
      <c r="S7" s="524"/>
      <c r="T7" s="524"/>
      <c r="U7" s="524"/>
      <c r="V7" s="14"/>
    </row>
    <row r="8" spans="2:22" x14ac:dyDescent="0.25">
      <c r="B8" s="14"/>
      <c r="C8" s="14"/>
      <c r="D8" s="14"/>
      <c r="E8" s="14"/>
      <c r="F8" s="14"/>
      <c r="G8" s="14"/>
      <c r="H8" s="14"/>
      <c r="I8" s="14"/>
      <c r="J8" s="14"/>
      <c r="K8" s="14"/>
      <c r="L8" s="14"/>
      <c r="M8" s="14"/>
      <c r="N8" s="14"/>
      <c r="O8" s="14"/>
      <c r="P8" s="14"/>
      <c r="Q8" s="14"/>
      <c r="R8" s="14"/>
      <c r="S8" s="14"/>
      <c r="T8" s="14"/>
      <c r="U8" s="14"/>
      <c r="V8" s="14"/>
    </row>
    <row r="9" spans="2:22" x14ac:dyDescent="0.25">
      <c r="B9" s="14"/>
      <c r="C9" s="118" t="s">
        <v>40</v>
      </c>
      <c r="D9" s="14"/>
      <c r="E9" s="14"/>
      <c r="F9" s="14"/>
      <c r="G9" s="14"/>
      <c r="H9" s="14"/>
      <c r="I9" s="14"/>
      <c r="J9" s="14"/>
      <c r="K9" s="14"/>
      <c r="L9" s="14"/>
      <c r="M9" s="14"/>
      <c r="N9" s="14"/>
      <c r="O9" s="14"/>
      <c r="P9" s="14"/>
      <c r="Q9" s="14"/>
      <c r="R9" s="14"/>
      <c r="S9" s="14"/>
      <c r="T9" s="14"/>
      <c r="U9" s="14"/>
      <c r="V9" s="14"/>
    </row>
    <row r="10" spans="2:22" x14ac:dyDescent="0.25">
      <c r="B10" s="14"/>
      <c r="C10" s="3"/>
      <c r="D10" s="14"/>
      <c r="E10" s="14"/>
      <c r="F10" s="14"/>
      <c r="G10" s="14"/>
      <c r="H10" s="14"/>
      <c r="I10" s="14"/>
      <c r="J10" s="14"/>
      <c r="K10" s="14"/>
      <c r="L10" s="14"/>
      <c r="M10" s="14"/>
      <c r="N10" s="14"/>
      <c r="O10" s="14"/>
      <c r="P10" s="14"/>
      <c r="Q10" s="14"/>
      <c r="R10" s="14"/>
      <c r="S10" s="14"/>
      <c r="T10" s="14"/>
      <c r="U10" s="14"/>
      <c r="V10" s="14"/>
    </row>
    <row r="11" spans="2:22" ht="15.75" x14ac:dyDescent="0.25">
      <c r="B11" s="14"/>
      <c r="C11" s="403" t="s">
        <v>41</v>
      </c>
      <c r="D11" s="133"/>
      <c r="E11" s="133"/>
      <c r="F11" s="133"/>
      <c r="G11" s="133"/>
      <c r="H11" s="133"/>
      <c r="I11" s="133"/>
      <c r="J11" s="133"/>
      <c r="K11" s="133"/>
      <c r="L11" s="133"/>
      <c r="M11" s="133"/>
      <c r="N11" s="133"/>
      <c r="O11" s="133"/>
      <c r="P11" s="133"/>
      <c r="Q11" s="133"/>
      <c r="R11" s="133"/>
      <c r="S11" s="133"/>
      <c r="T11" s="133"/>
      <c r="U11" s="133"/>
      <c r="V11" s="14"/>
    </row>
    <row r="12" spans="2:22" ht="5.0999999999999996" customHeight="1" x14ac:dyDescent="0.25">
      <c r="B12" s="14"/>
      <c r="C12" s="404"/>
      <c r="D12" s="14"/>
      <c r="E12" s="14"/>
      <c r="F12" s="14"/>
      <c r="G12" s="14"/>
      <c r="H12" s="14"/>
      <c r="I12" s="14"/>
      <c r="J12" s="14"/>
      <c r="K12" s="14"/>
      <c r="L12" s="14"/>
      <c r="M12" s="14"/>
      <c r="N12" s="14"/>
      <c r="O12" s="14"/>
      <c r="P12" s="14"/>
      <c r="Q12" s="14"/>
      <c r="R12" s="14"/>
      <c r="S12" s="14"/>
      <c r="T12" s="14"/>
      <c r="U12" s="14"/>
      <c r="V12" s="14"/>
    </row>
    <row r="13" spans="2:22" x14ac:dyDescent="0.25">
      <c r="B13" s="14"/>
      <c r="C13" s="95" t="s">
        <v>42</v>
      </c>
      <c r="D13" s="14"/>
      <c r="E13" s="14"/>
      <c r="F13" s="14"/>
      <c r="G13" s="14"/>
      <c r="H13" s="14"/>
      <c r="I13" s="14"/>
      <c r="J13" s="14"/>
      <c r="K13" s="14"/>
      <c r="L13" s="14"/>
      <c r="M13" s="14"/>
      <c r="N13" s="14"/>
      <c r="O13" s="14"/>
      <c r="P13" s="14"/>
      <c r="Q13" s="14"/>
      <c r="R13" s="14"/>
      <c r="S13" s="14"/>
      <c r="T13" s="14"/>
      <c r="U13" s="14"/>
      <c r="V13" s="14"/>
    </row>
    <row r="14" spans="2:22" x14ac:dyDescent="0.25">
      <c r="B14" s="14"/>
      <c r="C14" s="19" t="s">
        <v>43</v>
      </c>
      <c r="D14" s="14"/>
      <c r="E14" s="14"/>
      <c r="F14" s="14"/>
      <c r="G14" s="14"/>
      <c r="H14" s="14"/>
      <c r="I14" s="14"/>
      <c r="J14" s="14"/>
      <c r="K14" s="14"/>
      <c r="L14" s="14"/>
      <c r="M14" s="14"/>
      <c r="N14" s="14"/>
      <c r="O14" s="14"/>
      <c r="P14" s="14"/>
      <c r="Q14" s="14"/>
      <c r="R14" s="14"/>
      <c r="S14" s="14"/>
      <c r="T14" s="14"/>
      <c r="U14" s="14"/>
      <c r="V14" s="14"/>
    </row>
    <row r="15" spans="2:22" x14ac:dyDescent="0.25">
      <c r="B15" s="14"/>
      <c r="C15" s="15">
        <v>1</v>
      </c>
      <c r="D15" s="14" t="s">
        <v>44</v>
      </c>
      <c r="E15" s="14"/>
      <c r="F15" s="14"/>
      <c r="G15" s="14"/>
      <c r="H15" s="14"/>
      <c r="I15" s="14"/>
      <c r="J15" s="14"/>
      <c r="K15" s="14"/>
      <c r="L15" s="14"/>
      <c r="M15" s="14"/>
      <c r="N15" s="14"/>
      <c r="O15" s="14"/>
      <c r="P15" s="14"/>
      <c r="Q15" s="14"/>
      <c r="R15" s="14"/>
      <c r="S15" s="14"/>
      <c r="T15" s="14"/>
      <c r="U15" s="14"/>
      <c r="V15" s="14"/>
    </row>
    <row r="16" spans="2:22" x14ac:dyDescent="0.25">
      <c r="B16" s="14"/>
      <c r="C16" s="15">
        <v>2</v>
      </c>
      <c r="D16" s="14" t="s">
        <v>45</v>
      </c>
      <c r="E16" s="14"/>
      <c r="F16" s="14"/>
      <c r="G16" s="14"/>
      <c r="H16" s="14"/>
      <c r="I16" s="14"/>
      <c r="J16" s="14"/>
      <c r="K16" s="14"/>
      <c r="L16" s="14"/>
      <c r="M16" s="14"/>
      <c r="N16" s="14"/>
      <c r="O16" s="14"/>
      <c r="P16" s="14"/>
      <c r="Q16" s="14"/>
      <c r="R16" s="14"/>
      <c r="S16" s="14"/>
      <c r="T16" s="14"/>
      <c r="U16" s="14"/>
      <c r="V16" s="14"/>
    </row>
    <row r="17" spans="2:22" x14ac:dyDescent="0.25">
      <c r="B17" s="14"/>
      <c r="C17" s="14"/>
      <c r="D17" s="14"/>
      <c r="E17" s="14"/>
      <c r="F17" s="14"/>
      <c r="G17" s="14"/>
      <c r="H17" s="14"/>
      <c r="I17" s="14"/>
      <c r="J17" s="14"/>
      <c r="K17" s="14"/>
      <c r="L17" s="14"/>
      <c r="M17" s="14"/>
      <c r="N17" s="14"/>
      <c r="O17" s="14"/>
      <c r="P17" s="14"/>
      <c r="Q17" s="14"/>
      <c r="R17" s="14"/>
      <c r="S17" s="14"/>
      <c r="T17" s="14"/>
      <c r="U17" s="14"/>
      <c r="V17" s="14"/>
    </row>
    <row r="18" spans="2:22" x14ac:dyDescent="0.25">
      <c r="B18" s="14"/>
      <c r="C18" s="14"/>
      <c r="D18" s="14"/>
      <c r="E18" s="14"/>
      <c r="F18" s="14"/>
      <c r="G18" s="14"/>
      <c r="H18" s="14"/>
      <c r="I18" s="14"/>
      <c r="J18" s="14"/>
      <c r="K18" s="14"/>
      <c r="L18" s="14"/>
      <c r="M18" s="14"/>
      <c r="N18" s="14"/>
      <c r="O18" s="14"/>
      <c r="P18" s="14"/>
      <c r="Q18" s="14"/>
      <c r="R18" s="14"/>
      <c r="S18" s="14"/>
      <c r="T18" s="14"/>
      <c r="U18" s="14"/>
      <c r="V18" s="14"/>
    </row>
    <row r="19" spans="2:22" x14ac:dyDescent="0.25">
      <c r="B19" s="14"/>
      <c r="C19" s="95" t="s">
        <v>46</v>
      </c>
      <c r="D19" s="14"/>
      <c r="E19" s="14"/>
      <c r="F19" s="14"/>
      <c r="G19" s="14"/>
      <c r="H19" s="14"/>
      <c r="I19" s="14"/>
      <c r="J19" s="14"/>
      <c r="K19" s="14"/>
      <c r="L19" s="14"/>
      <c r="M19" s="14"/>
      <c r="N19" s="14"/>
      <c r="O19" s="14"/>
      <c r="P19" s="14"/>
      <c r="Q19" s="14"/>
      <c r="R19" s="14"/>
      <c r="S19" s="14"/>
      <c r="T19" s="14"/>
      <c r="U19" s="14"/>
      <c r="V19" s="14"/>
    </row>
    <row r="20" spans="2:22" x14ac:dyDescent="0.25">
      <c r="B20" s="14"/>
      <c r="C20" s="19" t="s">
        <v>43</v>
      </c>
      <c r="D20" s="14"/>
      <c r="E20" s="14"/>
      <c r="F20" s="14"/>
      <c r="G20" s="14"/>
      <c r="H20" s="14"/>
      <c r="I20" s="14"/>
      <c r="J20" s="14"/>
      <c r="K20" s="14"/>
      <c r="L20" s="14"/>
      <c r="M20" s="14"/>
      <c r="N20" s="14"/>
      <c r="O20" s="14"/>
      <c r="P20" s="14"/>
      <c r="Q20" s="14"/>
      <c r="R20" s="14"/>
      <c r="S20" s="14"/>
      <c r="T20" s="14"/>
      <c r="U20" s="14"/>
      <c r="V20" s="14"/>
    </row>
    <row r="21" spans="2:22" x14ac:dyDescent="0.25">
      <c r="B21" s="14"/>
      <c r="C21" s="405"/>
      <c r="D21" s="45" t="s">
        <v>47</v>
      </c>
      <c r="E21" s="14"/>
      <c r="F21" s="14"/>
      <c r="G21" s="14"/>
      <c r="H21" s="14"/>
      <c r="I21" s="14"/>
      <c r="J21" s="14"/>
      <c r="K21" s="14"/>
      <c r="L21" s="14"/>
      <c r="M21" s="14"/>
      <c r="N21" s="14"/>
      <c r="O21" s="14"/>
      <c r="P21" s="14"/>
      <c r="Q21" s="14"/>
      <c r="R21" s="14"/>
      <c r="S21" s="14"/>
      <c r="T21" s="14"/>
      <c r="U21" s="14"/>
      <c r="V21" s="14"/>
    </row>
    <row r="22" spans="2:22" x14ac:dyDescent="0.25">
      <c r="B22" s="14"/>
      <c r="C22" s="14"/>
      <c r="D22" s="45"/>
      <c r="E22" s="14"/>
      <c r="F22" s="14"/>
      <c r="G22" s="14"/>
      <c r="H22" s="14"/>
      <c r="I22" s="14"/>
      <c r="J22" s="14"/>
      <c r="K22" s="14"/>
      <c r="L22" s="14"/>
      <c r="M22" s="14"/>
      <c r="N22" s="14"/>
      <c r="O22" s="14"/>
      <c r="P22" s="14"/>
      <c r="Q22" s="14"/>
      <c r="R22" s="14"/>
      <c r="S22" s="14"/>
      <c r="T22" s="14"/>
      <c r="U22" s="14"/>
      <c r="V22" s="14"/>
    </row>
    <row r="23" spans="2:22" x14ac:dyDescent="0.25">
      <c r="B23" s="14"/>
      <c r="C23" s="19" t="s">
        <v>48</v>
      </c>
      <c r="D23" s="45"/>
      <c r="E23" s="14"/>
      <c r="F23" s="14"/>
      <c r="G23" s="14"/>
      <c r="H23" s="14"/>
      <c r="I23" s="14"/>
      <c r="J23" s="14"/>
      <c r="K23" s="14"/>
      <c r="L23" s="14"/>
      <c r="M23" s="14"/>
      <c r="N23" s="14"/>
      <c r="O23" s="14"/>
      <c r="P23" s="14"/>
      <c r="Q23" s="14"/>
      <c r="R23" s="14"/>
      <c r="S23" s="14"/>
      <c r="T23" s="14"/>
      <c r="U23" s="14"/>
      <c r="V23" s="14"/>
    </row>
    <row r="24" spans="2:22" x14ac:dyDescent="0.25">
      <c r="B24" s="14"/>
      <c r="C24" s="135" t="s">
        <v>49</v>
      </c>
      <c r="D24" s="134" t="s">
        <v>50</v>
      </c>
      <c r="E24" s="14"/>
      <c r="F24" s="14"/>
      <c r="G24" s="14"/>
      <c r="H24" s="14"/>
      <c r="I24" s="14"/>
      <c r="J24" s="14"/>
      <c r="K24" s="14"/>
      <c r="L24" s="14"/>
      <c r="M24" s="14"/>
      <c r="N24" s="14"/>
      <c r="O24" s="14"/>
      <c r="P24" s="14"/>
      <c r="Q24" s="14"/>
      <c r="R24" s="14"/>
      <c r="S24" s="14"/>
      <c r="T24" s="14"/>
      <c r="U24" s="14"/>
      <c r="V24" s="14"/>
    </row>
    <row r="25" spans="2:22" x14ac:dyDescent="0.25">
      <c r="B25" s="14"/>
      <c r="C25" s="139" t="s">
        <v>49</v>
      </c>
      <c r="D25" s="134" t="s">
        <v>51</v>
      </c>
      <c r="E25" s="14"/>
      <c r="F25" s="14"/>
      <c r="G25" s="14"/>
      <c r="H25" s="14"/>
      <c r="I25" s="14"/>
      <c r="J25" s="14"/>
      <c r="K25" s="14"/>
      <c r="L25" s="14"/>
      <c r="M25" s="14"/>
      <c r="N25" s="14"/>
      <c r="O25" s="14"/>
      <c r="P25" s="14"/>
      <c r="Q25" s="14"/>
      <c r="R25" s="14"/>
      <c r="S25" s="14"/>
      <c r="T25" s="14"/>
      <c r="U25" s="14"/>
      <c r="V25" s="14"/>
    </row>
    <row r="26" spans="2:22" x14ac:dyDescent="0.25">
      <c r="B26" s="14"/>
      <c r="C26" s="138" t="s">
        <v>49</v>
      </c>
      <c r="D26" s="134" t="s">
        <v>52</v>
      </c>
      <c r="E26" s="14"/>
      <c r="F26" s="14"/>
      <c r="G26" s="14"/>
      <c r="H26" s="14"/>
      <c r="I26" s="14"/>
      <c r="J26" s="14"/>
      <c r="K26" s="14"/>
      <c r="L26" s="14"/>
      <c r="M26" s="14"/>
      <c r="N26" s="14"/>
      <c r="O26" s="14"/>
      <c r="P26" s="14"/>
      <c r="Q26" s="14"/>
      <c r="R26" s="14"/>
      <c r="S26" s="14"/>
      <c r="T26" s="14"/>
      <c r="U26" s="14"/>
      <c r="V26" s="14"/>
    </row>
    <row r="27" spans="2:22" x14ac:dyDescent="0.25">
      <c r="B27" s="14"/>
      <c r="C27" s="134"/>
      <c r="D27" s="134"/>
      <c r="E27" s="14"/>
      <c r="F27" s="14"/>
      <c r="G27" s="14"/>
      <c r="H27" s="14"/>
      <c r="I27" s="14"/>
      <c r="J27" s="14"/>
      <c r="K27" s="14"/>
      <c r="L27" s="14"/>
      <c r="M27" s="14"/>
      <c r="N27" s="14"/>
      <c r="O27" s="14"/>
      <c r="P27" s="14"/>
      <c r="Q27" s="14"/>
      <c r="R27" s="14"/>
      <c r="S27" s="14"/>
      <c r="T27" s="14"/>
      <c r="U27" s="14"/>
      <c r="V27" s="14"/>
    </row>
    <row r="28" spans="2:22" x14ac:dyDescent="0.25">
      <c r="B28" s="14"/>
      <c r="C28" s="19" t="s">
        <v>53</v>
      </c>
      <c r="D28" s="134"/>
      <c r="E28" s="14"/>
      <c r="F28" s="14"/>
      <c r="G28" s="14"/>
      <c r="H28" s="14"/>
      <c r="I28" s="14"/>
      <c r="J28" s="14"/>
      <c r="K28" s="14"/>
      <c r="L28" s="14"/>
      <c r="M28" s="14"/>
      <c r="N28" s="14"/>
      <c r="O28" s="14"/>
      <c r="P28" s="14"/>
      <c r="Q28" s="14"/>
      <c r="R28" s="14"/>
      <c r="S28" s="14"/>
      <c r="T28" s="14"/>
      <c r="U28" s="14"/>
      <c r="V28" s="14"/>
    </row>
    <row r="29" spans="2:22" x14ac:dyDescent="0.25">
      <c r="B29" s="14"/>
      <c r="C29" s="134" t="s">
        <v>54</v>
      </c>
      <c r="D29" s="134" t="s">
        <v>55</v>
      </c>
      <c r="E29" s="14"/>
      <c r="F29" s="14"/>
      <c r="G29" s="14"/>
      <c r="H29" s="14"/>
      <c r="I29" s="14"/>
      <c r="J29" s="14"/>
      <c r="K29" s="14"/>
      <c r="L29" s="14"/>
      <c r="M29" s="14"/>
      <c r="N29" s="14"/>
      <c r="O29" s="14"/>
      <c r="P29" s="14"/>
      <c r="Q29" s="14"/>
      <c r="R29" s="14"/>
      <c r="S29" s="14"/>
      <c r="T29" s="14"/>
      <c r="U29" s="14"/>
      <c r="V29" s="14"/>
    </row>
    <row r="30" spans="2:22" x14ac:dyDescent="0.25">
      <c r="B30" s="14"/>
      <c r="C30" s="134" t="s">
        <v>56</v>
      </c>
      <c r="D30" s="134" t="s">
        <v>57</v>
      </c>
      <c r="E30" s="14"/>
      <c r="F30" s="14"/>
      <c r="G30" s="14"/>
      <c r="H30" s="14"/>
      <c r="I30" s="14"/>
      <c r="J30" s="14"/>
      <c r="K30" s="14"/>
      <c r="L30" s="14"/>
      <c r="M30" s="14"/>
      <c r="N30" s="14"/>
      <c r="O30" s="14"/>
      <c r="P30" s="14"/>
      <c r="Q30" s="14"/>
      <c r="R30" s="14"/>
      <c r="S30" s="14"/>
      <c r="T30" s="14"/>
      <c r="U30" s="14"/>
      <c r="V30" s="14"/>
    </row>
    <row r="31" spans="2:22" x14ac:dyDescent="0.25">
      <c r="B31" s="14"/>
      <c r="C31" s="134" t="s">
        <v>28</v>
      </c>
      <c r="D31" s="134" t="s">
        <v>58</v>
      </c>
      <c r="E31" s="14"/>
      <c r="F31" s="14"/>
      <c r="G31" s="14"/>
      <c r="H31" s="14"/>
      <c r="I31" s="14"/>
      <c r="J31" s="14"/>
      <c r="K31" s="14"/>
      <c r="L31" s="14"/>
      <c r="M31" s="14"/>
      <c r="N31" s="14"/>
      <c r="O31" s="14"/>
      <c r="P31" s="14"/>
      <c r="Q31" s="14"/>
      <c r="R31" s="14"/>
      <c r="S31" s="14"/>
      <c r="T31" s="14"/>
      <c r="U31" s="14"/>
      <c r="V31" s="14"/>
    </row>
    <row r="32" spans="2:22" x14ac:dyDescent="0.25">
      <c r="B32" s="14"/>
      <c r="C32" s="134" t="s">
        <v>30</v>
      </c>
      <c r="D32" s="134" t="s">
        <v>59</v>
      </c>
      <c r="E32" s="14"/>
      <c r="F32" s="14"/>
      <c r="G32" s="14"/>
      <c r="H32" s="14"/>
      <c r="I32" s="14"/>
      <c r="J32" s="14"/>
      <c r="K32" s="14"/>
      <c r="L32" s="14"/>
      <c r="M32" s="14"/>
      <c r="N32" s="14"/>
      <c r="O32" s="14"/>
      <c r="P32" s="14"/>
      <c r="Q32" s="14"/>
      <c r="R32" s="14"/>
      <c r="S32" s="14"/>
      <c r="T32" s="14"/>
      <c r="U32" s="14"/>
      <c r="V32" s="14"/>
    </row>
    <row r="33" spans="2:22" x14ac:dyDescent="0.25">
      <c r="B33" s="14"/>
      <c r="C33" s="134" t="s">
        <v>60</v>
      </c>
      <c r="D33" s="134" t="s">
        <v>61</v>
      </c>
      <c r="E33" s="14"/>
      <c r="F33" s="14"/>
      <c r="G33" s="14"/>
      <c r="H33" s="14"/>
      <c r="I33" s="14"/>
      <c r="J33" s="14"/>
      <c r="K33" s="14"/>
      <c r="L33" s="14"/>
      <c r="M33" s="14"/>
      <c r="N33" s="14"/>
      <c r="O33" s="14"/>
      <c r="P33" s="14"/>
      <c r="Q33" s="14"/>
      <c r="R33" s="14"/>
      <c r="S33" s="14"/>
      <c r="T33" s="14"/>
      <c r="U33" s="14"/>
      <c r="V33" s="14"/>
    </row>
    <row r="34" spans="2:22" x14ac:dyDescent="0.25">
      <c r="B34" s="14"/>
      <c r="C34" s="134" t="s">
        <v>62</v>
      </c>
      <c r="D34" s="134" t="s">
        <v>63</v>
      </c>
      <c r="E34" s="14"/>
      <c r="F34" s="14"/>
      <c r="G34" s="14"/>
      <c r="H34" s="14"/>
      <c r="I34" s="14"/>
      <c r="J34" s="14"/>
      <c r="K34" s="14"/>
      <c r="L34" s="14"/>
      <c r="M34" s="14"/>
      <c r="N34" s="14"/>
      <c r="O34" s="14"/>
      <c r="P34" s="14"/>
      <c r="Q34" s="14"/>
      <c r="R34" s="14"/>
      <c r="S34" s="14"/>
      <c r="T34" s="14"/>
      <c r="U34" s="14"/>
      <c r="V34" s="14"/>
    </row>
    <row r="35" spans="2:22" x14ac:dyDescent="0.25">
      <c r="B35" s="14"/>
      <c r="C35" s="20"/>
      <c r="D35" s="14"/>
      <c r="E35" s="14"/>
      <c r="F35" s="14"/>
      <c r="G35" s="14"/>
      <c r="H35" s="14"/>
      <c r="I35" s="14"/>
      <c r="J35" s="14"/>
      <c r="K35" s="14"/>
      <c r="L35" s="14"/>
      <c r="M35" s="14"/>
      <c r="N35" s="14"/>
      <c r="O35" s="14"/>
      <c r="P35" s="14"/>
      <c r="Q35" s="14"/>
      <c r="R35" s="14"/>
      <c r="S35" s="14"/>
      <c r="T35" s="14"/>
      <c r="U35" s="14"/>
      <c r="V35" s="14"/>
    </row>
    <row r="36" spans="2:22" ht="15.75" x14ac:dyDescent="0.25">
      <c r="B36" s="14"/>
      <c r="C36" s="409" t="s">
        <v>64</v>
      </c>
      <c r="D36" s="40"/>
      <c r="E36" s="40"/>
      <c r="F36" s="40"/>
      <c r="G36" s="40"/>
      <c r="H36" s="40"/>
      <c r="I36" s="40"/>
      <c r="J36" s="40"/>
      <c r="K36" s="40"/>
      <c r="L36" s="40"/>
      <c r="M36" s="40"/>
      <c r="N36" s="40"/>
      <c r="O36" s="40"/>
      <c r="P36" s="40"/>
      <c r="Q36" s="40"/>
      <c r="R36" s="40"/>
      <c r="S36" s="40"/>
      <c r="T36" s="40"/>
      <c r="U36" s="40"/>
      <c r="V36" s="14"/>
    </row>
    <row r="37" spans="2:22" x14ac:dyDescent="0.25">
      <c r="B37" s="14"/>
      <c r="C37" s="410" t="s">
        <v>65</v>
      </c>
      <c r="D37" s="14"/>
      <c r="E37" s="14"/>
      <c r="F37" s="14"/>
      <c r="G37" s="14"/>
      <c r="H37" s="14"/>
      <c r="I37" s="14"/>
      <c r="J37" s="14"/>
      <c r="K37" s="14"/>
      <c r="L37" s="14"/>
      <c r="M37" s="14"/>
      <c r="N37" s="14"/>
      <c r="O37" s="14"/>
      <c r="P37" s="14"/>
      <c r="Q37" s="14"/>
      <c r="R37" s="14"/>
      <c r="S37" s="14"/>
      <c r="T37" s="14"/>
      <c r="U37" s="14"/>
      <c r="V37" s="14"/>
    </row>
    <row r="38" spans="2:22" x14ac:dyDescent="0.25">
      <c r="B38" s="14"/>
      <c r="C38" s="411" t="s">
        <v>66</v>
      </c>
      <c r="D38" s="14"/>
      <c r="E38" s="14"/>
      <c r="F38" s="14"/>
      <c r="G38" s="14"/>
      <c r="H38" s="14"/>
      <c r="I38" s="14"/>
      <c r="J38" s="14"/>
      <c r="K38" s="14"/>
      <c r="L38" s="14"/>
      <c r="M38" s="14"/>
      <c r="N38" s="14"/>
      <c r="O38" s="14"/>
      <c r="P38" s="14"/>
      <c r="Q38" s="14"/>
      <c r="R38" s="14"/>
      <c r="S38" s="14"/>
      <c r="T38" s="14"/>
      <c r="U38" s="14"/>
      <c r="V38" s="14"/>
    </row>
    <row r="39" spans="2:22" x14ac:dyDescent="0.25">
      <c r="B39" s="14"/>
      <c r="C39" s="411" t="s">
        <v>673</v>
      </c>
      <c r="D39" s="14"/>
      <c r="E39" s="14"/>
      <c r="F39" s="14"/>
      <c r="G39" s="14"/>
      <c r="H39" s="14"/>
      <c r="I39" s="14"/>
      <c r="J39" s="14"/>
      <c r="K39" s="14"/>
      <c r="L39" s="14"/>
      <c r="M39" s="14"/>
      <c r="N39" s="14"/>
      <c r="O39" s="14"/>
      <c r="P39" s="14"/>
      <c r="Q39" s="14"/>
      <c r="R39" s="14"/>
      <c r="S39" s="14"/>
      <c r="T39" s="14"/>
      <c r="U39" s="14"/>
      <c r="V39" s="14"/>
    </row>
    <row r="40" spans="2:22" x14ac:dyDescent="0.25">
      <c r="B40" s="14"/>
      <c r="C40" s="411" t="s">
        <v>67</v>
      </c>
      <c r="D40" s="14"/>
      <c r="E40" s="14"/>
      <c r="F40" s="14"/>
      <c r="G40" s="14"/>
      <c r="H40" s="14"/>
      <c r="I40" s="14"/>
      <c r="J40" s="14"/>
      <c r="K40" s="14"/>
      <c r="L40" s="14"/>
      <c r="M40" s="14"/>
      <c r="N40" s="14"/>
      <c r="O40" s="14"/>
      <c r="P40" s="14"/>
      <c r="Q40" s="14"/>
      <c r="R40" s="14"/>
      <c r="S40" s="14"/>
      <c r="T40" s="14"/>
      <c r="U40" s="14"/>
      <c r="V40" s="14"/>
    </row>
    <row r="41" spans="2:22" x14ac:dyDescent="0.25">
      <c r="B41" s="14"/>
      <c r="C41" s="412" t="s">
        <v>68</v>
      </c>
      <c r="D41" s="14"/>
      <c r="E41" s="14"/>
      <c r="F41" s="14"/>
      <c r="G41" s="14"/>
      <c r="H41" s="14"/>
      <c r="I41" s="14"/>
      <c r="J41" s="14"/>
      <c r="K41" s="14"/>
      <c r="L41" s="14"/>
      <c r="M41" s="14"/>
      <c r="N41" s="14"/>
      <c r="O41" s="14"/>
      <c r="P41" s="14"/>
      <c r="Q41" s="14"/>
      <c r="R41" s="14"/>
      <c r="S41" s="14"/>
      <c r="T41" s="14"/>
      <c r="U41" s="14"/>
      <c r="V41" s="14"/>
    </row>
    <row r="42" spans="2:22" x14ac:dyDescent="0.25">
      <c r="B42" s="14"/>
      <c r="C42" s="412" t="s">
        <v>69</v>
      </c>
      <c r="D42" s="14"/>
      <c r="E42" s="14"/>
      <c r="F42" s="14"/>
      <c r="G42" s="14"/>
      <c r="H42" s="14"/>
      <c r="I42" s="14"/>
      <c r="J42" s="14"/>
      <c r="K42" s="14"/>
      <c r="L42" s="14"/>
      <c r="M42" s="14"/>
      <c r="N42" s="14"/>
      <c r="O42" s="14"/>
      <c r="P42" s="14"/>
      <c r="Q42" s="14"/>
      <c r="R42" s="14"/>
      <c r="S42" s="14"/>
      <c r="T42" s="14"/>
      <c r="U42" s="14"/>
      <c r="V42" s="14"/>
    </row>
    <row r="43" spans="2:22" x14ac:dyDescent="0.25">
      <c r="B43" s="14"/>
      <c r="C43" s="412" t="s">
        <v>70</v>
      </c>
      <c r="D43" s="14"/>
      <c r="E43" s="14"/>
      <c r="F43" s="14"/>
      <c r="G43" s="14"/>
      <c r="H43" s="14"/>
      <c r="I43" s="14"/>
      <c r="J43" s="14"/>
      <c r="K43" s="14"/>
      <c r="L43" s="14"/>
      <c r="M43" s="14"/>
      <c r="N43" s="14"/>
      <c r="O43" s="14"/>
      <c r="P43" s="14"/>
      <c r="Q43" s="14"/>
      <c r="R43" s="14"/>
      <c r="S43" s="14"/>
      <c r="T43" s="14"/>
      <c r="U43" s="14"/>
      <c r="V43" s="14"/>
    </row>
    <row r="44" spans="2:22" x14ac:dyDescent="0.25">
      <c r="B44" s="14"/>
      <c r="C44" s="412" t="s">
        <v>71</v>
      </c>
      <c r="D44" s="14"/>
      <c r="E44" s="14"/>
      <c r="F44" s="14"/>
      <c r="G44" s="14"/>
      <c r="H44" s="14"/>
      <c r="I44" s="14"/>
      <c r="J44" s="14"/>
      <c r="K44" s="14"/>
      <c r="L44" s="14"/>
      <c r="M44" s="14"/>
      <c r="N44" s="14"/>
      <c r="O44" s="14"/>
      <c r="P44" s="14"/>
      <c r="Q44" s="14"/>
      <c r="R44" s="14"/>
      <c r="S44" s="14"/>
      <c r="T44" s="14"/>
      <c r="U44" s="14"/>
      <c r="V44" s="14"/>
    </row>
    <row r="45" spans="2:22" x14ac:dyDescent="0.25">
      <c r="B45" s="14"/>
      <c r="C45" s="412" t="s">
        <v>72</v>
      </c>
      <c r="D45" s="14"/>
      <c r="E45" s="14"/>
      <c r="F45" s="14"/>
      <c r="G45" s="14"/>
      <c r="H45" s="14"/>
      <c r="I45" s="14"/>
      <c r="J45" s="14"/>
      <c r="K45" s="14"/>
      <c r="L45" s="14"/>
      <c r="M45" s="14"/>
      <c r="N45" s="14"/>
      <c r="O45" s="14"/>
      <c r="P45" s="14"/>
      <c r="Q45" s="14"/>
      <c r="R45" s="14"/>
      <c r="S45" s="14"/>
      <c r="T45" s="14"/>
      <c r="U45" s="14"/>
      <c r="V45" s="14"/>
    </row>
    <row r="46" spans="2:22" x14ac:dyDescent="0.25">
      <c r="B46" s="14"/>
      <c r="C46" s="412" t="s">
        <v>73</v>
      </c>
      <c r="D46" s="14"/>
      <c r="E46" s="14"/>
      <c r="F46" s="14"/>
      <c r="G46" s="14"/>
      <c r="H46" s="14"/>
      <c r="I46" s="14"/>
      <c r="J46" s="14"/>
      <c r="K46" s="14"/>
      <c r="L46" s="14"/>
      <c r="M46" s="14"/>
      <c r="N46" s="14"/>
      <c r="O46" s="14"/>
      <c r="P46" s="14"/>
      <c r="Q46" s="14"/>
      <c r="R46" s="14"/>
      <c r="S46" s="14"/>
      <c r="T46" s="14"/>
      <c r="U46" s="14"/>
      <c r="V46" s="14"/>
    </row>
    <row r="47" spans="2:22" x14ac:dyDescent="0.25">
      <c r="B47" s="14"/>
      <c r="C47" s="412" t="s">
        <v>74</v>
      </c>
      <c r="D47" s="14"/>
      <c r="E47" s="14"/>
      <c r="F47" s="14"/>
      <c r="G47" s="14"/>
      <c r="H47" s="14"/>
      <c r="I47" s="14"/>
      <c r="J47" s="14"/>
      <c r="K47" s="14"/>
      <c r="L47" s="14"/>
      <c r="M47" s="14"/>
      <c r="N47" s="14"/>
      <c r="O47" s="14"/>
      <c r="P47" s="14"/>
      <c r="Q47" s="14"/>
      <c r="R47" s="14"/>
      <c r="S47" s="14"/>
      <c r="T47" s="14"/>
      <c r="U47" s="14"/>
      <c r="V47" s="14"/>
    </row>
    <row r="48" spans="2:22" x14ac:dyDescent="0.25">
      <c r="B48" s="14"/>
      <c r="C48" s="412" t="s">
        <v>75</v>
      </c>
      <c r="D48" s="14"/>
      <c r="E48" s="14"/>
      <c r="F48" s="14"/>
      <c r="G48" s="14"/>
      <c r="H48" s="14"/>
      <c r="I48" s="14"/>
      <c r="J48" s="14"/>
      <c r="K48" s="14"/>
      <c r="L48" s="14"/>
      <c r="M48" s="14"/>
      <c r="N48" s="14"/>
      <c r="O48" s="14"/>
      <c r="P48" s="14"/>
      <c r="Q48" s="14"/>
      <c r="R48" s="14"/>
      <c r="S48" s="14"/>
      <c r="T48" s="14"/>
      <c r="U48" s="14"/>
      <c r="V48" s="14"/>
    </row>
    <row r="49" spans="2:22" x14ac:dyDescent="0.25">
      <c r="B49" s="14"/>
      <c r="C49" s="412" t="s">
        <v>76</v>
      </c>
      <c r="D49" s="14"/>
      <c r="E49" s="14"/>
      <c r="F49" s="14"/>
      <c r="G49" s="14"/>
      <c r="H49" s="14"/>
      <c r="I49" s="14"/>
      <c r="J49" s="14"/>
      <c r="K49" s="14"/>
      <c r="L49" s="14"/>
      <c r="M49" s="14"/>
      <c r="N49" s="14"/>
      <c r="O49" s="14"/>
      <c r="P49" s="14"/>
      <c r="Q49" s="14"/>
      <c r="R49" s="14"/>
      <c r="S49" s="14"/>
      <c r="T49" s="14"/>
      <c r="U49" s="14"/>
      <c r="V49" s="14"/>
    </row>
    <row r="50" spans="2:22" x14ac:dyDescent="0.25">
      <c r="B50" s="14"/>
      <c r="C50" s="412" t="s">
        <v>77</v>
      </c>
      <c r="D50" s="14"/>
      <c r="E50" s="14"/>
      <c r="F50" s="14"/>
      <c r="G50" s="14"/>
      <c r="H50" s="14"/>
      <c r="I50" s="14"/>
      <c r="J50" s="14"/>
      <c r="K50" s="14"/>
      <c r="L50" s="14"/>
      <c r="M50" s="14"/>
      <c r="N50" s="14"/>
      <c r="O50" s="14"/>
      <c r="P50" s="14"/>
      <c r="Q50" s="14"/>
      <c r="R50" s="14"/>
      <c r="S50" s="14"/>
      <c r="T50" s="14"/>
      <c r="U50" s="14"/>
      <c r="V50" s="14"/>
    </row>
    <row r="51" spans="2:22" x14ac:dyDescent="0.25">
      <c r="B51" s="14"/>
      <c r="C51" s="412" t="s">
        <v>78</v>
      </c>
      <c r="D51" s="14"/>
      <c r="E51" s="14"/>
      <c r="F51" s="14"/>
      <c r="G51" s="14"/>
      <c r="H51" s="14"/>
      <c r="I51" s="14"/>
      <c r="J51" s="14"/>
      <c r="K51" s="14"/>
      <c r="L51" s="14"/>
      <c r="M51" s="14"/>
      <c r="N51" s="14"/>
      <c r="O51" s="14"/>
      <c r="P51" s="14"/>
      <c r="Q51" s="14"/>
      <c r="R51" s="14"/>
      <c r="S51" s="14"/>
      <c r="T51" s="14"/>
      <c r="U51" s="14"/>
      <c r="V51" s="14"/>
    </row>
    <row r="52" spans="2:22" x14ac:dyDescent="0.25">
      <c r="B52" s="14"/>
      <c r="C52" s="412" t="s">
        <v>79</v>
      </c>
      <c r="D52" s="14"/>
      <c r="E52" s="14"/>
      <c r="F52" s="14"/>
      <c r="G52" s="14"/>
      <c r="H52" s="14"/>
      <c r="I52" s="14"/>
      <c r="J52" s="14"/>
      <c r="K52" s="14"/>
      <c r="L52" s="14"/>
      <c r="M52" s="14"/>
      <c r="N52" s="14"/>
      <c r="O52" s="14"/>
      <c r="P52" s="14"/>
      <c r="Q52" s="14"/>
      <c r="R52" s="14"/>
      <c r="S52" s="14"/>
      <c r="T52" s="14"/>
      <c r="U52" s="14"/>
      <c r="V52" s="14"/>
    </row>
    <row r="53" spans="2:22" x14ac:dyDescent="0.25">
      <c r="B53" s="14"/>
      <c r="C53" s="412" t="s">
        <v>80</v>
      </c>
      <c r="D53" s="14"/>
      <c r="E53" s="14"/>
      <c r="F53" s="14"/>
      <c r="G53" s="14"/>
      <c r="H53" s="14"/>
      <c r="I53" s="14"/>
      <c r="J53" s="14"/>
      <c r="K53" s="14"/>
      <c r="L53" s="14"/>
      <c r="M53" s="14"/>
      <c r="N53" s="14"/>
      <c r="O53" s="14"/>
      <c r="P53" s="14"/>
      <c r="Q53" s="14"/>
      <c r="R53" s="14"/>
      <c r="S53" s="14"/>
      <c r="T53" s="14"/>
      <c r="U53" s="14"/>
      <c r="V53" s="14"/>
    </row>
    <row r="54" spans="2:22" x14ac:dyDescent="0.25">
      <c r="B54" s="14"/>
      <c r="C54" s="412" t="s">
        <v>81</v>
      </c>
      <c r="D54" s="14"/>
      <c r="E54" s="14"/>
      <c r="F54" s="14"/>
      <c r="G54" s="14"/>
      <c r="H54" s="14"/>
      <c r="I54" s="14"/>
      <c r="J54" s="14"/>
      <c r="K54" s="14"/>
      <c r="L54" s="14"/>
      <c r="M54" s="14"/>
      <c r="N54" s="14"/>
      <c r="O54" s="14"/>
      <c r="P54" s="14"/>
      <c r="Q54" s="14"/>
      <c r="R54" s="14"/>
      <c r="S54" s="14"/>
      <c r="T54" s="14"/>
      <c r="U54" s="14"/>
      <c r="V54" s="14"/>
    </row>
    <row r="55" spans="2:22" x14ac:dyDescent="0.25">
      <c r="B55" s="14"/>
      <c r="C55" s="412" t="s">
        <v>82</v>
      </c>
      <c r="D55" s="14"/>
      <c r="E55" s="14"/>
      <c r="F55" s="14"/>
      <c r="G55" s="14"/>
      <c r="H55" s="14"/>
      <c r="I55" s="14"/>
      <c r="J55" s="14"/>
      <c r="K55" s="14"/>
      <c r="L55" s="14"/>
      <c r="M55" s="14"/>
      <c r="N55" s="14"/>
      <c r="O55" s="14"/>
      <c r="P55" s="14"/>
      <c r="Q55" s="14"/>
      <c r="R55" s="14"/>
      <c r="S55" s="14"/>
      <c r="T55" s="14"/>
      <c r="U55" s="14"/>
      <c r="V55" s="14"/>
    </row>
    <row r="56" spans="2:22" x14ac:dyDescent="0.25">
      <c r="B56" s="14"/>
      <c r="C56" s="14" t="s">
        <v>83</v>
      </c>
      <c r="D56" s="14"/>
      <c r="E56" s="14"/>
      <c r="F56" s="14"/>
      <c r="G56" s="14"/>
      <c r="H56" s="14"/>
      <c r="I56" s="14"/>
      <c r="J56" s="14"/>
      <c r="K56" s="14"/>
      <c r="L56" s="14"/>
      <c r="M56" s="14"/>
      <c r="N56" s="14"/>
      <c r="O56" s="14"/>
      <c r="P56" s="14"/>
      <c r="Q56" s="14"/>
      <c r="R56" s="14"/>
      <c r="S56" s="14"/>
      <c r="T56" s="14"/>
      <c r="U56" s="14"/>
      <c r="V56" s="14"/>
    </row>
    <row r="57" spans="2:22" x14ac:dyDescent="0.25">
      <c r="B57" s="14"/>
      <c r="C57" s="14" t="s">
        <v>84</v>
      </c>
      <c r="D57" s="14"/>
      <c r="E57" s="14"/>
      <c r="F57" s="14"/>
      <c r="G57" s="14"/>
      <c r="H57" s="14"/>
      <c r="I57" s="14"/>
      <c r="J57" s="14"/>
      <c r="K57" s="14"/>
      <c r="L57" s="14"/>
      <c r="M57" s="14"/>
      <c r="N57" s="14"/>
      <c r="O57" s="14"/>
      <c r="P57" s="14"/>
      <c r="Q57" s="14"/>
      <c r="R57" s="14"/>
      <c r="S57" s="14"/>
      <c r="T57" s="14"/>
      <c r="U57" s="14"/>
      <c r="V57" s="14"/>
    </row>
    <row r="58" spans="2:22" x14ac:dyDescent="0.25">
      <c r="B58" s="14"/>
      <c r="C58" s="14" t="s">
        <v>643</v>
      </c>
      <c r="D58" s="14"/>
      <c r="E58" s="14"/>
      <c r="F58" s="14"/>
      <c r="G58" s="14"/>
      <c r="H58" s="14"/>
      <c r="I58" s="14"/>
      <c r="J58" s="14"/>
      <c r="K58" s="14"/>
      <c r="L58" s="14"/>
      <c r="M58" s="14"/>
      <c r="N58" s="14"/>
      <c r="O58" s="14"/>
      <c r="P58" s="14"/>
      <c r="Q58" s="14"/>
      <c r="R58" s="14"/>
      <c r="S58" s="14"/>
      <c r="T58" s="14"/>
      <c r="U58" s="14"/>
      <c r="V58" s="14"/>
    </row>
    <row r="59" spans="2:22" x14ac:dyDescent="0.25">
      <c r="B59" s="14"/>
      <c r="C59" s="14" t="s">
        <v>644</v>
      </c>
      <c r="D59" s="14"/>
      <c r="E59" s="14"/>
      <c r="F59" s="14"/>
      <c r="G59" s="14"/>
      <c r="H59" s="14"/>
      <c r="I59" s="14"/>
      <c r="J59" s="14"/>
      <c r="K59" s="14"/>
      <c r="L59" s="14"/>
      <c r="M59" s="14"/>
      <c r="N59" s="14"/>
      <c r="O59" s="14"/>
      <c r="P59" s="14"/>
      <c r="Q59" s="14"/>
      <c r="R59" s="14"/>
      <c r="S59" s="14"/>
      <c r="T59" s="14"/>
      <c r="U59" s="14"/>
      <c r="V59" s="14"/>
    </row>
    <row r="60" spans="2:22" x14ac:dyDescent="0.25">
      <c r="B60" s="14"/>
      <c r="C60" s="14" t="s">
        <v>647</v>
      </c>
      <c r="D60" s="14"/>
      <c r="E60" s="14"/>
      <c r="F60" s="14"/>
      <c r="G60" s="14"/>
      <c r="H60" s="14"/>
      <c r="I60" s="14"/>
      <c r="J60" s="14"/>
      <c r="K60" s="14"/>
      <c r="L60" s="14"/>
      <c r="M60" s="14"/>
      <c r="N60" s="14"/>
      <c r="O60" s="14"/>
      <c r="P60" s="14"/>
      <c r="Q60" s="14"/>
      <c r="R60" s="14"/>
      <c r="S60" s="14"/>
      <c r="T60" s="14"/>
      <c r="U60" s="14"/>
      <c r="V60" s="14"/>
    </row>
    <row r="61" spans="2:22" x14ac:dyDescent="0.25">
      <c r="B61" s="14"/>
      <c r="C61" s="14" t="s">
        <v>649</v>
      </c>
      <c r="D61" s="14"/>
      <c r="E61" s="14"/>
      <c r="F61" s="14"/>
      <c r="G61" s="14"/>
      <c r="H61" s="14"/>
      <c r="I61" s="14"/>
      <c r="J61" s="14"/>
      <c r="K61" s="14"/>
      <c r="L61" s="14"/>
      <c r="M61" s="14"/>
      <c r="N61" s="14"/>
      <c r="O61" s="14"/>
      <c r="P61" s="14"/>
      <c r="Q61" s="14"/>
      <c r="R61" s="14"/>
      <c r="S61" s="14"/>
      <c r="T61" s="14"/>
      <c r="U61" s="14"/>
      <c r="V61" s="14"/>
    </row>
    <row r="62" spans="2:22" x14ac:dyDescent="0.25">
      <c r="B62" s="14"/>
      <c r="C62" s="14" t="s">
        <v>650</v>
      </c>
      <c r="D62" s="14"/>
      <c r="E62" s="14"/>
      <c r="F62" s="14"/>
      <c r="G62" s="14"/>
      <c r="H62" s="14"/>
      <c r="I62" s="14"/>
      <c r="J62" s="14"/>
      <c r="K62" s="14"/>
      <c r="L62" s="14"/>
      <c r="M62" s="14"/>
      <c r="N62" s="14"/>
      <c r="O62" s="14"/>
      <c r="P62" s="14"/>
      <c r="Q62" s="14"/>
      <c r="R62" s="14"/>
      <c r="S62" s="14"/>
      <c r="T62" s="14"/>
      <c r="U62" s="14"/>
      <c r="V62" s="14"/>
    </row>
    <row r="63" spans="2:22" x14ac:dyDescent="0.25">
      <c r="B63" s="14"/>
      <c r="C63" s="14" t="s">
        <v>652</v>
      </c>
      <c r="D63" s="14"/>
      <c r="E63" s="14"/>
      <c r="F63" s="14"/>
      <c r="G63" s="14"/>
      <c r="H63" s="14"/>
      <c r="I63" s="14"/>
      <c r="J63" s="14"/>
      <c r="K63" s="14"/>
      <c r="L63" s="14"/>
      <c r="M63" s="14"/>
      <c r="N63" s="14"/>
      <c r="O63" s="14"/>
      <c r="P63" s="14"/>
      <c r="Q63" s="14"/>
      <c r="R63" s="14"/>
      <c r="S63" s="14"/>
      <c r="T63" s="14"/>
      <c r="U63" s="14"/>
      <c r="V63" s="14"/>
    </row>
    <row r="64" spans="2:22" x14ac:dyDescent="0.25">
      <c r="B64" s="14"/>
      <c r="C64" s="14" t="s">
        <v>654</v>
      </c>
      <c r="D64" s="14"/>
      <c r="E64" s="14"/>
      <c r="F64" s="14"/>
      <c r="G64" s="14"/>
      <c r="H64" s="14"/>
      <c r="I64" s="14"/>
      <c r="J64" s="14"/>
      <c r="K64" s="14"/>
      <c r="L64" s="14"/>
      <c r="M64" s="14"/>
      <c r="N64" s="14"/>
      <c r="O64" s="14"/>
      <c r="P64" s="14"/>
      <c r="Q64" s="14"/>
      <c r="R64" s="14"/>
      <c r="S64" s="14"/>
      <c r="T64" s="14"/>
      <c r="U64" s="14"/>
      <c r="V64" s="14"/>
    </row>
    <row r="65" spans="2:22" x14ac:dyDescent="0.25">
      <c r="B65" s="14"/>
      <c r="C65" s="14"/>
      <c r="D65" s="14"/>
      <c r="E65" s="14"/>
      <c r="F65" s="14"/>
      <c r="G65" s="14"/>
      <c r="H65" s="14"/>
      <c r="I65" s="14"/>
      <c r="J65" s="14"/>
      <c r="K65" s="14"/>
      <c r="L65" s="14"/>
      <c r="M65" s="14"/>
      <c r="N65" s="14"/>
      <c r="O65" s="14"/>
      <c r="P65" s="14"/>
      <c r="Q65" s="14"/>
      <c r="R65" s="14"/>
      <c r="S65" s="14"/>
      <c r="T65" s="14"/>
      <c r="U65" s="14"/>
      <c r="V65" s="14"/>
    </row>
  </sheetData>
  <mergeCells count="4">
    <mergeCell ref="C3:U3"/>
    <mergeCell ref="C4:U4"/>
    <mergeCell ref="C6:U6"/>
    <mergeCell ref="C7:U7"/>
  </mergeCells>
  <phoneticPr fontId="30" type="noConversion"/>
  <hyperlinks>
    <hyperlink ref="C9" location="Cover!A1" display="Go to Results" xr:uid="{EF3A8A03-030C-4658-A219-8E22D0102AF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04E7D-7F86-434D-947F-D9C228EF2863}">
  <sheetPr codeName="Sheet3">
    <tabColor theme="9" tint="0.79998168889431442"/>
  </sheetPr>
  <dimension ref="B2:V86"/>
  <sheetViews>
    <sheetView workbookViewId="0">
      <selection activeCell="C7" sqref="C7:U7"/>
    </sheetView>
  </sheetViews>
  <sheetFormatPr defaultColWidth="9.140625" defaultRowHeight="15" x14ac:dyDescent="0.25"/>
  <cols>
    <col min="1" max="2" width="9.140625" style="94"/>
    <col min="3" max="3" width="12.140625" style="94" customWidth="1"/>
    <col min="4" max="16384" width="9.140625" style="94"/>
  </cols>
  <sheetData>
    <row r="2" spans="2:22" x14ac:dyDescent="0.25">
      <c r="B2" s="14"/>
      <c r="C2" s="14"/>
      <c r="D2" s="14"/>
      <c r="E2" s="14"/>
      <c r="F2" s="14"/>
      <c r="G2" s="14"/>
      <c r="H2" s="14"/>
      <c r="I2" s="14"/>
      <c r="J2" s="14"/>
      <c r="K2" s="14"/>
      <c r="L2" s="14"/>
      <c r="M2" s="14"/>
      <c r="N2" s="14"/>
      <c r="O2" s="14"/>
      <c r="P2" s="14"/>
      <c r="Q2" s="14"/>
      <c r="R2" s="14"/>
      <c r="S2" s="14"/>
      <c r="T2" s="14"/>
      <c r="U2" s="14"/>
      <c r="V2" s="14"/>
    </row>
    <row r="3" spans="2:22" ht="18.75" x14ac:dyDescent="0.25">
      <c r="B3" s="14"/>
      <c r="C3" s="522" t="s">
        <v>665</v>
      </c>
      <c r="D3" s="522"/>
      <c r="E3" s="522"/>
      <c r="F3" s="522"/>
      <c r="G3" s="522"/>
      <c r="H3" s="522"/>
      <c r="I3" s="522"/>
      <c r="J3" s="522"/>
      <c r="K3" s="522"/>
      <c r="L3" s="522"/>
      <c r="M3" s="522"/>
      <c r="N3" s="522"/>
      <c r="O3" s="522"/>
      <c r="P3" s="522"/>
      <c r="Q3" s="522"/>
      <c r="R3" s="522"/>
      <c r="S3" s="522"/>
      <c r="T3" s="522"/>
      <c r="U3" s="522"/>
      <c r="V3" s="14"/>
    </row>
    <row r="4" spans="2:22" ht="15.75" x14ac:dyDescent="0.25">
      <c r="B4" s="14"/>
      <c r="C4" s="523" t="s">
        <v>38</v>
      </c>
      <c r="D4" s="523"/>
      <c r="E4" s="523"/>
      <c r="F4" s="523"/>
      <c r="G4" s="523"/>
      <c r="H4" s="523"/>
      <c r="I4" s="523"/>
      <c r="J4" s="523"/>
      <c r="K4" s="523"/>
      <c r="L4" s="523"/>
      <c r="M4" s="523"/>
      <c r="N4" s="523"/>
      <c r="O4" s="523"/>
      <c r="P4" s="523"/>
      <c r="Q4" s="523"/>
      <c r="R4" s="523"/>
      <c r="S4" s="523"/>
      <c r="T4" s="523"/>
      <c r="U4" s="523"/>
      <c r="V4" s="14"/>
    </row>
    <row r="5" spans="2:22" x14ac:dyDescent="0.25">
      <c r="B5" s="14"/>
      <c r="C5" s="14"/>
      <c r="D5" s="14"/>
      <c r="E5" s="14"/>
      <c r="F5" s="14"/>
      <c r="G5" s="14"/>
      <c r="H5" s="14"/>
      <c r="I5" s="14"/>
      <c r="J5" s="14"/>
      <c r="K5" s="14"/>
      <c r="L5" s="14"/>
      <c r="M5" s="14"/>
      <c r="N5" s="14"/>
      <c r="O5" s="14"/>
      <c r="P5" s="14"/>
      <c r="Q5" s="14"/>
      <c r="R5" s="14"/>
      <c r="S5" s="14"/>
      <c r="T5" s="14"/>
      <c r="U5" s="14"/>
      <c r="V5" s="14"/>
    </row>
    <row r="6" spans="2:22" x14ac:dyDescent="0.25">
      <c r="B6" s="14"/>
      <c r="C6" s="524" t="s">
        <v>674</v>
      </c>
      <c r="D6" s="524"/>
      <c r="E6" s="524"/>
      <c r="F6" s="524"/>
      <c r="G6" s="524"/>
      <c r="H6" s="524"/>
      <c r="I6" s="524"/>
      <c r="J6" s="524"/>
      <c r="K6" s="524"/>
      <c r="L6" s="524"/>
      <c r="M6" s="524"/>
      <c r="N6" s="524"/>
      <c r="O6" s="524"/>
      <c r="P6" s="524"/>
      <c r="Q6" s="524"/>
      <c r="R6" s="524"/>
      <c r="S6" s="524"/>
      <c r="T6" s="524"/>
      <c r="U6" s="524"/>
      <c r="V6" s="14"/>
    </row>
    <row r="7" spans="2:22" x14ac:dyDescent="0.25">
      <c r="B7" s="14"/>
      <c r="C7" s="524" t="s">
        <v>39</v>
      </c>
      <c r="D7" s="524"/>
      <c r="E7" s="524"/>
      <c r="F7" s="524"/>
      <c r="G7" s="524"/>
      <c r="H7" s="524"/>
      <c r="I7" s="524"/>
      <c r="J7" s="524"/>
      <c r="K7" s="524"/>
      <c r="L7" s="524"/>
      <c r="M7" s="524"/>
      <c r="N7" s="524"/>
      <c r="O7" s="524"/>
      <c r="P7" s="524"/>
      <c r="Q7" s="524"/>
      <c r="R7" s="524"/>
      <c r="S7" s="524"/>
      <c r="T7" s="524"/>
      <c r="U7" s="524"/>
      <c r="V7" s="14"/>
    </row>
    <row r="8" spans="2:22" x14ac:dyDescent="0.25">
      <c r="B8" s="14"/>
      <c r="C8" s="14"/>
      <c r="D8" s="14"/>
      <c r="E8" s="14"/>
      <c r="F8" s="14"/>
      <c r="G8" s="14"/>
      <c r="H8" s="14"/>
      <c r="I8" s="14"/>
      <c r="J8" s="14"/>
      <c r="K8" s="14"/>
      <c r="L8" s="14"/>
      <c r="M8" s="14"/>
      <c r="N8" s="14"/>
      <c r="O8" s="14"/>
      <c r="P8" s="14"/>
      <c r="Q8" s="14"/>
      <c r="R8" s="14"/>
      <c r="S8" s="14"/>
      <c r="T8" s="14"/>
      <c r="U8" s="14"/>
      <c r="V8" s="14"/>
    </row>
    <row r="9" spans="2:22" x14ac:dyDescent="0.25">
      <c r="B9" s="14"/>
      <c r="C9" s="118" t="s">
        <v>40</v>
      </c>
      <c r="D9" s="14"/>
      <c r="E9" s="14"/>
      <c r="F9" s="14"/>
      <c r="G9" s="14"/>
      <c r="H9" s="14"/>
      <c r="I9" s="14"/>
      <c r="J9" s="14"/>
      <c r="K9" s="14"/>
      <c r="L9" s="14"/>
      <c r="M9" s="14"/>
      <c r="N9" s="14"/>
      <c r="O9" s="14"/>
      <c r="P9" s="14"/>
      <c r="Q9" s="14"/>
      <c r="R9" s="14"/>
      <c r="S9" s="14"/>
      <c r="T9" s="14"/>
      <c r="U9" s="14"/>
      <c r="V9" s="14"/>
    </row>
    <row r="10" spans="2:22" x14ac:dyDescent="0.25">
      <c r="B10" s="14"/>
      <c r="C10" s="3"/>
      <c r="D10" s="14"/>
      <c r="E10" s="14"/>
      <c r="F10" s="14"/>
      <c r="G10" s="14"/>
      <c r="H10" s="14"/>
      <c r="I10" s="14"/>
      <c r="J10" s="14"/>
      <c r="K10" s="14"/>
      <c r="L10" s="14"/>
      <c r="M10" s="14"/>
      <c r="N10" s="14"/>
      <c r="O10" s="14"/>
      <c r="P10" s="14"/>
      <c r="Q10" s="14"/>
      <c r="R10" s="14"/>
      <c r="S10" s="14"/>
      <c r="T10" s="14"/>
      <c r="U10" s="14"/>
      <c r="V10" s="14"/>
    </row>
    <row r="11" spans="2:22" ht="15.75" x14ac:dyDescent="0.25">
      <c r="B11" s="14"/>
      <c r="C11" s="403" t="s">
        <v>41</v>
      </c>
      <c r="D11" s="133"/>
      <c r="E11" s="133"/>
      <c r="F11" s="133"/>
      <c r="G11" s="133"/>
      <c r="H11" s="133"/>
      <c r="I11" s="133"/>
      <c r="J11" s="133"/>
      <c r="K11" s="133"/>
      <c r="L11" s="133"/>
      <c r="M11" s="133"/>
      <c r="N11" s="133"/>
      <c r="O11" s="133"/>
      <c r="P11" s="133"/>
      <c r="Q11" s="133"/>
      <c r="R11" s="133"/>
      <c r="S11" s="133"/>
      <c r="T11" s="133"/>
      <c r="U11" s="133"/>
      <c r="V11" s="14"/>
    </row>
    <row r="12" spans="2:22" ht="5.0999999999999996" customHeight="1" x14ac:dyDescent="0.25">
      <c r="B12" s="14"/>
      <c r="C12" s="404"/>
      <c r="D12" s="14"/>
      <c r="E12" s="14"/>
      <c r="F12" s="14"/>
      <c r="G12" s="14"/>
      <c r="H12" s="14"/>
      <c r="I12" s="14"/>
      <c r="J12" s="14"/>
      <c r="K12" s="14"/>
      <c r="L12" s="14"/>
      <c r="M12" s="14"/>
      <c r="N12" s="14"/>
      <c r="O12" s="14"/>
      <c r="P12" s="14"/>
      <c r="Q12" s="14"/>
      <c r="R12" s="14"/>
      <c r="S12" s="14"/>
      <c r="T12" s="14"/>
      <c r="U12" s="14"/>
      <c r="V12" s="14"/>
    </row>
    <row r="13" spans="2:22" x14ac:dyDescent="0.25">
      <c r="B13" s="14"/>
      <c r="C13" s="14"/>
      <c r="D13" s="14"/>
      <c r="E13" s="14"/>
      <c r="F13" s="14"/>
      <c r="G13" s="14"/>
      <c r="H13" s="14"/>
      <c r="I13" s="14"/>
      <c r="J13" s="14"/>
      <c r="K13" s="14"/>
      <c r="L13" s="14"/>
      <c r="M13" s="14"/>
      <c r="N13" s="14"/>
      <c r="O13" s="14"/>
      <c r="P13" s="14"/>
      <c r="Q13" s="14"/>
      <c r="R13" s="14"/>
      <c r="S13" s="14"/>
      <c r="T13" s="14"/>
      <c r="U13" s="14"/>
      <c r="V13" s="14"/>
    </row>
    <row r="14" spans="2:22" x14ac:dyDescent="0.25">
      <c r="B14" s="14"/>
      <c r="C14" s="19" t="s">
        <v>85</v>
      </c>
      <c r="D14" s="19" t="s">
        <v>86</v>
      </c>
      <c r="E14" s="14"/>
      <c r="F14" s="14"/>
      <c r="G14" s="14"/>
      <c r="H14" s="14"/>
      <c r="I14" s="14"/>
      <c r="J14" s="14"/>
      <c r="K14" s="14"/>
      <c r="L14" s="14"/>
      <c r="M14" s="14"/>
      <c r="N14" s="14"/>
      <c r="O14" s="14"/>
      <c r="P14" s="14"/>
      <c r="Q14" s="14"/>
      <c r="R14" s="14"/>
      <c r="S14" s="14"/>
      <c r="T14" s="14"/>
      <c r="U14" s="14"/>
      <c r="V14" s="14"/>
    </row>
    <row r="15" spans="2:22" x14ac:dyDescent="0.25">
      <c r="B15" s="14"/>
      <c r="C15" s="408">
        <v>45257</v>
      </c>
      <c r="D15" s="14" t="s">
        <v>642</v>
      </c>
      <c r="E15" s="14"/>
      <c r="F15" s="14"/>
      <c r="G15" s="14"/>
      <c r="H15" s="14"/>
      <c r="I15" s="14"/>
      <c r="J15" s="14"/>
      <c r="K15" s="14"/>
      <c r="L15" s="14"/>
      <c r="M15" s="14"/>
      <c r="N15" s="14"/>
      <c r="O15" s="14"/>
      <c r="P15" s="14"/>
      <c r="Q15" s="14"/>
      <c r="R15" s="14"/>
      <c r="S15" s="14"/>
      <c r="T15" s="14"/>
      <c r="U15" s="14"/>
      <c r="V15" s="14"/>
    </row>
    <row r="16" spans="2:22" x14ac:dyDescent="0.25">
      <c r="B16" s="14"/>
      <c r="C16" s="15"/>
      <c r="D16" s="14"/>
      <c r="E16" s="14"/>
      <c r="F16" s="14"/>
      <c r="G16" s="14"/>
      <c r="H16" s="14"/>
      <c r="I16" s="14"/>
      <c r="J16" s="14"/>
      <c r="K16" s="14"/>
      <c r="L16" s="14"/>
      <c r="M16" s="14"/>
      <c r="N16" s="14"/>
      <c r="O16" s="14"/>
      <c r="P16" s="14"/>
      <c r="Q16" s="14"/>
      <c r="R16" s="14"/>
      <c r="S16" s="14"/>
      <c r="T16" s="14"/>
      <c r="U16" s="14"/>
      <c r="V16" s="14"/>
    </row>
    <row r="17" spans="2:22" x14ac:dyDescent="0.25">
      <c r="B17" s="14"/>
      <c r="C17" s="15"/>
      <c r="D17" s="14"/>
      <c r="E17" s="14"/>
      <c r="F17" s="14"/>
      <c r="G17" s="14"/>
      <c r="H17" s="14"/>
      <c r="I17" s="14"/>
      <c r="J17" s="14"/>
      <c r="K17" s="14"/>
      <c r="L17" s="14"/>
      <c r="M17" s="14"/>
      <c r="N17" s="14"/>
      <c r="O17" s="14"/>
      <c r="P17" s="14"/>
      <c r="Q17" s="14"/>
      <c r="R17" s="14"/>
      <c r="S17" s="14"/>
      <c r="T17" s="14"/>
      <c r="U17" s="14"/>
      <c r="V17" s="14"/>
    </row>
    <row r="18" spans="2:22" x14ac:dyDescent="0.25">
      <c r="B18" s="14"/>
      <c r="C18" s="15"/>
      <c r="D18" s="14"/>
      <c r="E18" s="14"/>
      <c r="F18" s="14"/>
      <c r="G18" s="14"/>
      <c r="H18" s="14"/>
      <c r="I18" s="14"/>
      <c r="J18" s="14"/>
      <c r="K18" s="14"/>
      <c r="L18" s="14"/>
      <c r="M18" s="14"/>
      <c r="N18" s="14"/>
      <c r="O18" s="14"/>
      <c r="P18" s="14"/>
      <c r="Q18" s="14"/>
      <c r="R18" s="14"/>
      <c r="S18" s="14"/>
      <c r="T18" s="14"/>
      <c r="U18" s="14"/>
      <c r="V18" s="14"/>
    </row>
    <row r="19" spans="2:22" x14ac:dyDescent="0.25">
      <c r="B19" s="14"/>
      <c r="C19" s="15"/>
      <c r="D19" s="14"/>
      <c r="E19" s="14"/>
      <c r="F19" s="14"/>
      <c r="G19" s="14"/>
      <c r="H19" s="14"/>
      <c r="I19" s="14"/>
      <c r="J19" s="14"/>
      <c r="K19" s="14"/>
      <c r="L19" s="14"/>
      <c r="M19" s="14"/>
      <c r="N19" s="14"/>
      <c r="O19" s="14"/>
      <c r="P19" s="14"/>
      <c r="Q19" s="14"/>
      <c r="R19" s="14"/>
      <c r="S19" s="14"/>
      <c r="T19" s="14"/>
      <c r="U19" s="14"/>
      <c r="V19" s="14"/>
    </row>
    <row r="20" spans="2:22" x14ac:dyDescent="0.25">
      <c r="B20" s="14"/>
      <c r="C20" s="15"/>
      <c r="D20" s="14"/>
      <c r="E20" s="14"/>
      <c r="F20" s="14"/>
      <c r="G20" s="14"/>
      <c r="H20" s="14"/>
      <c r="I20" s="14"/>
      <c r="J20" s="14"/>
      <c r="K20" s="14"/>
      <c r="L20" s="14"/>
      <c r="M20" s="14"/>
      <c r="N20" s="14"/>
      <c r="O20" s="14"/>
      <c r="P20" s="14"/>
      <c r="Q20" s="14"/>
      <c r="R20" s="14"/>
      <c r="S20" s="14"/>
      <c r="T20" s="14"/>
      <c r="U20" s="14"/>
      <c r="V20" s="14"/>
    </row>
    <row r="21" spans="2:22" x14ac:dyDescent="0.25">
      <c r="B21" s="14"/>
      <c r="C21" s="15"/>
      <c r="D21" s="14"/>
      <c r="E21" s="14"/>
      <c r="F21" s="14"/>
      <c r="G21" s="14"/>
      <c r="H21" s="14"/>
      <c r="I21" s="14"/>
      <c r="J21" s="14"/>
      <c r="K21" s="14"/>
      <c r="L21" s="14"/>
      <c r="M21" s="14"/>
      <c r="N21" s="14"/>
      <c r="O21" s="14"/>
      <c r="P21" s="14"/>
      <c r="Q21" s="14"/>
      <c r="R21" s="14"/>
      <c r="S21" s="14"/>
      <c r="T21" s="14"/>
      <c r="U21" s="14"/>
      <c r="V21" s="14"/>
    </row>
    <row r="22" spans="2:22" x14ac:dyDescent="0.25">
      <c r="B22" s="14"/>
      <c r="C22" s="15"/>
      <c r="D22" s="14"/>
      <c r="E22" s="14"/>
      <c r="F22" s="14"/>
      <c r="G22" s="14"/>
      <c r="H22" s="14"/>
      <c r="I22" s="14"/>
      <c r="J22" s="14"/>
      <c r="K22" s="14"/>
      <c r="L22" s="14"/>
      <c r="M22" s="14"/>
      <c r="N22" s="14"/>
      <c r="O22" s="14"/>
      <c r="P22" s="14"/>
      <c r="Q22" s="14"/>
      <c r="R22" s="14"/>
      <c r="S22" s="14"/>
      <c r="T22" s="14"/>
      <c r="U22" s="14"/>
      <c r="V22" s="14"/>
    </row>
    <row r="23" spans="2:22" x14ac:dyDescent="0.25">
      <c r="B23" s="14"/>
      <c r="C23" s="15"/>
      <c r="D23" s="45"/>
      <c r="E23" s="14"/>
      <c r="F23" s="14"/>
      <c r="G23" s="14"/>
      <c r="H23" s="14"/>
      <c r="I23" s="14"/>
      <c r="J23" s="14"/>
      <c r="K23" s="14"/>
      <c r="L23" s="14"/>
      <c r="M23" s="14"/>
      <c r="N23" s="14"/>
      <c r="O23" s="14"/>
      <c r="P23" s="14"/>
      <c r="Q23" s="14"/>
      <c r="R23" s="14"/>
      <c r="S23" s="14"/>
      <c r="T23" s="14"/>
      <c r="U23" s="14"/>
      <c r="V23" s="14"/>
    </row>
    <row r="24" spans="2:22" x14ac:dyDescent="0.25">
      <c r="B24" s="14"/>
      <c r="C24" s="15"/>
      <c r="D24" s="134"/>
      <c r="E24" s="14"/>
      <c r="F24" s="14"/>
      <c r="G24" s="14"/>
      <c r="H24" s="14"/>
      <c r="I24" s="14"/>
      <c r="J24" s="14"/>
      <c r="K24" s="14"/>
      <c r="L24" s="14"/>
      <c r="M24" s="14"/>
      <c r="N24" s="14"/>
      <c r="O24" s="14"/>
      <c r="P24" s="14"/>
      <c r="Q24" s="14"/>
      <c r="R24" s="14"/>
      <c r="S24" s="14"/>
      <c r="T24" s="14"/>
      <c r="U24" s="14"/>
      <c r="V24" s="14"/>
    </row>
    <row r="25" spans="2:22" x14ac:dyDescent="0.25">
      <c r="B25" s="14"/>
      <c r="C25" s="15"/>
      <c r="D25" s="134"/>
      <c r="E25" s="14"/>
      <c r="F25" s="14"/>
      <c r="G25" s="14"/>
      <c r="H25" s="14"/>
      <c r="I25" s="14"/>
      <c r="J25" s="14"/>
      <c r="K25" s="14"/>
      <c r="L25" s="14"/>
      <c r="M25" s="14"/>
      <c r="N25" s="14"/>
      <c r="O25" s="14"/>
      <c r="P25" s="14"/>
      <c r="Q25" s="14"/>
      <c r="R25" s="14"/>
      <c r="S25" s="14"/>
      <c r="T25" s="14"/>
      <c r="U25" s="14"/>
      <c r="V25" s="14"/>
    </row>
    <row r="26" spans="2:22" x14ac:dyDescent="0.25">
      <c r="B26" s="14"/>
      <c r="C26" s="15"/>
      <c r="D26" s="134"/>
      <c r="E26" s="14"/>
      <c r="F26" s="14"/>
      <c r="G26" s="14"/>
      <c r="H26" s="14"/>
      <c r="I26" s="14"/>
      <c r="J26" s="14"/>
      <c r="K26" s="14"/>
      <c r="L26" s="14"/>
      <c r="M26" s="14"/>
      <c r="N26" s="14"/>
      <c r="O26" s="14"/>
      <c r="P26" s="14"/>
      <c r="Q26" s="14"/>
      <c r="R26" s="14"/>
      <c r="S26" s="14"/>
      <c r="T26" s="14"/>
      <c r="U26" s="14"/>
      <c r="V26" s="14"/>
    </row>
    <row r="27" spans="2:22" x14ac:dyDescent="0.25">
      <c r="B27" s="14"/>
      <c r="C27" s="14"/>
      <c r="D27" s="14"/>
      <c r="E27" s="14"/>
      <c r="F27" s="14"/>
      <c r="G27" s="14"/>
      <c r="H27" s="14"/>
      <c r="I27" s="14"/>
      <c r="J27" s="14"/>
      <c r="K27" s="14"/>
      <c r="L27" s="14"/>
      <c r="M27" s="14"/>
      <c r="N27" s="14"/>
      <c r="O27" s="14"/>
      <c r="P27" s="14"/>
      <c r="Q27" s="14"/>
      <c r="R27" s="14"/>
      <c r="S27" s="14"/>
      <c r="T27" s="14"/>
      <c r="U27" s="14"/>
      <c r="V27" s="14"/>
    </row>
    <row r="28" spans="2:22" x14ac:dyDescent="0.25">
      <c r="B28" s="14"/>
      <c r="C28" s="14"/>
      <c r="D28" s="14"/>
      <c r="E28" s="14"/>
      <c r="F28" s="14"/>
      <c r="G28" s="14"/>
      <c r="H28" s="14"/>
      <c r="I28" s="14"/>
      <c r="J28" s="14"/>
      <c r="K28" s="14"/>
      <c r="L28" s="14"/>
      <c r="M28" s="14"/>
      <c r="N28" s="14"/>
      <c r="O28" s="14"/>
      <c r="P28" s="14"/>
      <c r="Q28" s="14"/>
      <c r="R28" s="14"/>
      <c r="S28" s="14"/>
      <c r="T28" s="14"/>
      <c r="U28" s="14"/>
      <c r="V28" s="14"/>
    </row>
    <row r="29" spans="2:22" x14ac:dyDescent="0.25">
      <c r="B29" s="14"/>
      <c r="C29" s="14"/>
      <c r="D29" s="14"/>
      <c r="E29" s="14"/>
      <c r="F29" s="14"/>
      <c r="G29" s="14"/>
      <c r="H29" s="14"/>
      <c r="I29" s="14"/>
      <c r="J29" s="14"/>
      <c r="K29" s="14"/>
      <c r="L29" s="14"/>
      <c r="M29" s="14"/>
      <c r="N29" s="14"/>
      <c r="O29" s="14"/>
      <c r="P29" s="14"/>
      <c r="Q29" s="14"/>
      <c r="R29" s="14"/>
      <c r="S29" s="14"/>
      <c r="T29" s="14"/>
      <c r="U29" s="14"/>
      <c r="V29" s="14"/>
    </row>
    <row r="30" spans="2:22" x14ac:dyDescent="0.25">
      <c r="B30" s="14"/>
      <c r="C30" s="96"/>
      <c r="D30" s="14"/>
      <c r="E30" s="14"/>
      <c r="F30" s="14"/>
      <c r="G30" s="14"/>
      <c r="H30" s="14"/>
      <c r="I30" s="14"/>
      <c r="J30" s="14"/>
      <c r="K30" s="14"/>
      <c r="L30" s="14"/>
      <c r="M30" s="14"/>
      <c r="N30" s="14"/>
      <c r="O30" s="14"/>
      <c r="P30" s="14"/>
      <c r="Q30" s="14"/>
      <c r="R30" s="14"/>
      <c r="S30" s="14"/>
      <c r="T30" s="14"/>
      <c r="U30" s="14"/>
      <c r="V30" s="14"/>
    </row>
    <row r="31" spans="2:22" x14ac:dyDescent="0.25">
      <c r="B31" s="14"/>
      <c r="C31" s="406"/>
      <c r="D31" s="14"/>
      <c r="E31" s="14"/>
      <c r="F31" s="14"/>
      <c r="G31" s="14"/>
      <c r="H31" s="14"/>
      <c r="I31" s="14"/>
      <c r="J31" s="14"/>
      <c r="K31" s="14"/>
      <c r="L31" s="14"/>
      <c r="M31" s="14"/>
      <c r="N31" s="14"/>
      <c r="O31" s="14"/>
      <c r="P31" s="14"/>
      <c r="Q31" s="14"/>
      <c r="R31" s="14"/>
      <c r="S31" s="14"/>
      <c r="T31" s="14"/>
      <c r="U31" s="14"/>
      <c r="V31" s="14"/>
    </row>
    <row r="32" spans="2:22" x14ac:dyDescent="0.25">
      <c r="B32" s="14"/>
      <c r="C32" s="14"/>
      <c r="D32" s="14"/>
      <c r="E32" s="14"/>
      <c r="F32" s="14"/>
      <c r="G32" s="14"/>
      <c r="H32" s="14"/>
      <c r="I32" s="14"/>
      <c r="J32" s="14"/>
      <c r="K32" s="14"/>
      <c r="L32" s="14"/>
      <c r="M32" s="14"/>
      <c r="N32" s="14"/>
      <c r="O32" s="14"/>
      <c r="P32" s="14"/>
      <c r="Q32" s="14"/>
      <c r="R32" s="14"/>
      <c r="S32" s="14"/>
      <c r="T32" s="14"/>
      <c r="U32" s="14"/>
      <c r="V32" s="14"/>
    </row>
    <row r="33" spans="2:22" x14ac:dyDescent="0.25">
      <c r="B33" s="14"/>
      <c r="C33" s="14"/>
      <c r="D33" s="14"/>
      <c r="E33" s="14"/>
      <c r="F33" s="14"/>
      <c r="G33" s="14"/>
      <c r="H33" s="14"/>
      <c r="I33" s="14"/>
      <c r="J33" s="14"/>
      <c r="K33" s="14"/>
      <c r="L33" s="14"/>
      <c r="M33" s="14"/>
      <c r="N33" s="14"/>
      <c r="O33" s="14"/>
      <c r="P33" s="14"/>
      <c r="Q33" s="14"/>
      <c r="R33" s="14"/>
      <c r="S33" s="14"/>
      <c r="T33" s="14"/>
      <c r="U33" s="14"/>
      <c r="V33" s="14"/>
    </row>
    <row r="34" spans="2:22" x14ac:dyDescent="0.25">
      <c r="B34" s="14"/>
      <c r="C34" s="14"/>
      <c r="D34" s="14"/>
      <c r="E34" s="14"/>
      <c r="F34" s="14"/>
      <c r="G34" s="14"/>
      <c r="H34" s="14"/>
      <c r="I34" s="14"/>
      <c r="J34" s="14"/>
      <c r="K34" s="14"/>
      <c r="L34" s="14"/>
      <c r="M34" s="14"/>
      <c r="N34" s="14"/>
      <c r="O34" s="14"/>
      <c r="P34" s="14"/>
      <c r="Q34" s="14"/>
      <c r="R34" s="14"/>
      <c r="S34" s="14"/>
      <c r="T34" s="14"/>
      <c r="U34" s="14"/>
      <c r="V34" s="14"/>
    </row>
    <row r="35" spans="2:22" x14ac:dyDescent="0.25">
      <c r="B35" s="14"/>
      <c r="C35" s="14"/>
      <c r="D35" s="14"/>
      <c r="E35" s="14"/>
      <c r="F35" s="14"/>
      <c r="G35" s="14"/>
      <c r="H35" s="14"/>
      <c r="I35" s="14"/>
      <c r="J35" s="14"/>
      <c r="K35" s="14"/>
      <c r="L35" s="14"/>
      <c r="M35" s="14"/>
      <c r="N35" s="14"/>
      <c r="O35" s="14"/>
      <c r="P35" s="14"/>
      <c r="Q35" s="14"/>
      <c r="R35" s="14"/>
      <c r="S35" s="14"/>
      <c r="T35" s="14"/>
      <c r="U35" s="14"/>
      <c r="V35" s="14"/>
    </row>
    <row r="36" spans="2:22" x14ac:dyDescent="0.25">
      <c r="B36" s="14"/>
      <c r="C36" s="14"/>
      <c r="D36" s="14"/>
      <c r="E36" s="14"/>
      <c r="F36" s="14"/>
      <c r="G36" s="14"/>
      <c r="H36" s="14"/>
      <c r="I36" s="14"/>
      <c r="J36" s="14"/>
      <c r="K36" s="14"/>
      <c r="L36" s="14"/>
      <c r="M36" s="14"/>
      <c r="N36" s="14"/>
      <c r="O36" s="14"/>
      <c r="P36" s="14"/>
      <c r="Q36" s="14"/>
      <c r="R36" s="14"/>
      <c r="S36" s="14"/>
      <c r="T36" s="14"/>
      <c r="U36" s="14"/>
      <c r="V36" s="14"/>
    </row>
    <row r="37" spans="2:22" x14ac:dyDescent="0.25">
      <c r="B37" s="14"/>
      <c r="C37" s="406"/>
      <c r="D37" s="14"/>
      <c r="E37" s="14"/>
      <c r="F37" s="14"/>
      <c r="G37" s="14"/>
      <c r="H37" s="14"/>
      <c r="I37" s="14"/>
      <c r="J37" s="14"/>
      <c r="K37" s="14"/>
      <c r="L37" s="14"/>
      <c r="M37" s="14"/>
      <c r="N37" s="14"/>
      <c r="O37" s="14"/>
      <c r="P37" s="14"/>
      <c r="Q37" s="14"/>
      <c r="R37" s="14"/>
      <c r="S37" s="14"/>
      <c r="T37" s="14"/>
      <c r="U37" s="14"/>
      <c r="V37" s="14"/>
    </row>
    <row r="38" spans="2:22" x14ac:dyDescent="0.25">
      <c r="B38" s="14"/>
      <c r="C38" s="14"/>
      <c r="D38" s="14"/>
      <c r="E38" s="14"/>
      <c r="F38" s="14"/>
      <c r="G38" s="14"/>
      <c r="H38" s="14"/>
      <c r="I38" s="14"/>
      <c r="J38" s="14"/>
      <c r="K38" s="14"/>
      <c r="L38" s="14"/>
      <c r="M38" s="14"/>
      <c r="N38" s="14"/>
      <c r="O38" s="14"/>
      <c r="P38" s="14"/>
      <c r="Q38" s="14"/>
      <c r="R38" s="14"/>
      <c r="S38" s="14"/>
      <c r="T38" s="14"/>
      <c r="U38" s="14"/>
      <c r="V38" s="14"/>
    </row>
    <row r="39" spans="2:22" x14ac:dyDescent="0.25">
      <c r="B39" s="14"/>
      <c r="C39" s="14"/>
      <c r="D39" s="14"/>
      <c r="E39" s="14"/>
      <c r="F39" s="14"/>
      <c r="G39" s="14"/>
      <c r="H39" s="14"/>
      <c r="I39" s="14"/>
      <c r="J39" s="14"/>
      <c r="K39" s="14"/>
      <c r="L39" s="14"/>
      <c r="M39" s="14"/>
      <c r="N39" s="14"/>
      <c r="O39" s="14"/>
      <c r="P39" s="14"/>
      <c r="Q39" s="14"/>
      <c r="R39" s="14"/>
      <c r="S39" s="14"/>
      <c r="T39" s="14"/>
      <c r="U39" s="14"/>
      <c r="V39" s="14"/>
    </row>
    <row r="40" spans="2:22" x14ac:dyDescent="0.25">
      <c r="B40" s="14"/>
      <c r="C40" s="406"/>
      <c r="D40" s="14"/>
      <c r="E40" s="14"/>
      <c r="F40" s="14"/>
      <c r="G40" s="14"/>
      <c r="H40" s="14"/>
      <c r="I40" s="14"/>
      <c r="J40" s="14"/>
      <c r="K40" s="14"/>
      <c r="L40" s="14"/>
      <c r="M40" s="14"/>
      <c r="N40" s="14"/>
      <c r="O40" s="14"/>
      <c r="P40" s="14"/>
      <c r="Q40" s="14"/>
      <c r="R40" s="14"/>
      <c r="S40" s="14"/>
      <c r="T40" s="14"/>
      <c r="U40" s="14"/>
      <c r="V40" s="14"/>
    </row>
    <row r="41" spans="2:22" x14ac:dyDescent="0.25">
      <c r="B41" s="14"/>
      <c r="C41" s="14"/>
      <c r="D41" s="14"/>
      <c r="E41" s="14"/>
      <c r="F41" s="14"/>
      <c r="G41" s="14"/>
      <c r="H41" s="14"/>
      <c r="I41" s="14"/>
      <c r="J41" s="14"/>
      <c r="K41" s="14"/>
      <c r="L41" s="14"/>
      <c r="M41" s="14"/>
      <c r="N41" s="14"/>
      <c r="O41" s="14"/>
      <c r="P41" s="14"/>
      <c r="Q41" s="14"/>
      <c r="R41" s="14"/>
      <c r="S41" s="14"/>
      <c r="T41" s="14"/>
      <c r="U41" s="14"/>
      <c r="V41" s="14"/>
    </row>
    <row r="42" spans="2:22" x14ac:dyDescent="0.25">
      <c r="B42" s="14"/>
      <c r="C42" s="14"/>
      <c r="D42" s="14"/>
      <c r="E42" s="14"/>
      <c r="F42" s="14"/>
      <c r="G42" s="14"/>
      <c r="H42" s="14"/>
      <c r="I42" s="14"/>
      <c r="J42" s="14"/>
      <c r="K42" s="14"/>
      <c r="L42" s="14"/>
      <c r="M42" s="14"/>
      <c r="N42" s="14"/>
      <c r="O42" s="14"/>
      <c r="P42" s="14"/>
      <c r="Q42" s="14"/>
      <c r="R42" s="14"/>
      <c r="S42" s="14"/>
      <c r="T42" s="14"/>
      <c r="U42" s="14"/>
      <c r="V42" s="14"/>
    </row>
    <row r="43" spans="2:22" x14ac:dyDescent="0.25">
      <c r="B43" s="14"/>
      <c r="C43" s="14"/>
      <c r="D43" s="14"/>
      <c r="E43" s="14"/>
      <c r="F43" s="14"/>
      <c r="G43" s="14"/>
      <c r="H43" s="14"/>
      <c r="I43" s="14"/>
      <c r="J43" s="14"/>
      <c r="K43" s="14"/>
      <c r="L43" s="14"/>
      <c r="M43" s="14"/>
      <c r="N43" s="14"/>
      <c r="O43" s="14"/>
      <c r="P43" s="14"/>
      <c r="Q43" s="14"/>
      <c r="R43" s="14"/>
      <c r="S43" s="14"/>
      <c r="T43" s="14"/>
      <c r="U43" s="14"/>
      <c r="V43" s="14"/>
    </row>
    <row r="44" spans="2:22" x14ac:dyDescent="0.25">
      <c r="B44" s="14"/>
      <c r="C44" s="14"/>
      <c r="D44" s="14"/>
      <c r="E44" s="14"/>
      <c r="F44" s="14"/>
      <c r="G44" s="14"/>
      <c r="H44" s="14"/>
      <c r="I44" s="14"/>
      <c r="J44" s="14"/>
      <c r="K44" s="14"/>
      <c r="L44" s="14"/>
      <c r="M44" s="14"/>
      <c r="N44" s="14"/>
      <c r="O44" s="14"/>
      <c r="P44" s="14"/>
      <c r="Q44" s="14"/>
      <c r="R44" s="14"/>
      <c r="S44" s="14"/>
      <c r="T44" s="14"/>
      <c r="U44" s="14"/>
      <c r="V44" s="14"/>
    </row>
    <row r="45" spans="2:22" x14ac:dyDescent="0.25">
      <c r="B45" s="14"/>
      <c r="C45" s="14"/>
      <c r="D45" s="14"/>
      <c r="E45" s="14"/>
      <c r="F45" s="14"/>
      <c r="G45" s="14"/>
      <c r="H45" s="14"/>
      <c r="I45" s="14"/>
      <c r="J45" s="14"/>
      <c r="K45" s="14"/>
      <c r="L45" s="14"/>
      <c r="M45" s="14"/>
      <c r="N45" s="14"/>
      <c r="O45" s="14"/>
      <c r="P45" s="14"/>
      <c r="Q45" s="14"/>
      <c r="R45" s="14"/>
      <c r="S45" s="14"/>
      <c r="T45" s="14"/>
      <c r="U45" s="14"/>
      <c r="V45" s="14"/>
    </row>
    <row r="46" spans="2:22" x14ac:dyDescent="0.25">
      <c r="B46" s="14"/>
      <c r="C46" s="406"/>
      <c r="D46" s="14"/>
      <c r="E46" s="14"/>
      <c r="F46" s="14"/>
      <c r="G46" s="14"/>
      <c r="H46" s="14"/>
      <c r="I46" s="14"/>
      <c r="J46" s="14"/>
      <c r="K46" s="14"/>
      <c r="L46" s="14"/>
      <c r="M46" s="14"/>
      <c r="N46" s="14"/>
      <c r="O46" s="14"/>
      <c r="P46" s="14"/>
      <c r="Q46" s="14"/>
      <c r="R46" s="14"/>
      <c r="S46" s="14"/>
      <c r="T46" s="14"/>
      <c r="U46" s="14"/>
      <c r="V46" s="14"/>
    </row>
    <row r="47" spans="2:22" x14ac:dyDescent="0.25">
      <c r="B47" s="14"/>
      <c r="C47" s="14"/>
      <c r="D47" s="14"/>
      <c r="E47" s="14"/>
      <c r="F47" s="14"/>
      <c r="G47" s="14"/>
      <c r="H47" s="14"/>
      <c r="I47" s="14"/>
      <c r="J47" s="14"/>
      <c r="K47" s="14"/>
      <c r="L47" s="14"/>
      <c r="M47" s="14"/>
      <c r="N47" s="14"/>
      <c r="O47" s="14"/>
      <c r="P47" s="14"/>
      <c r="Q47" s="14"/>
      <c r="R47" s="14"/>
      <c r="S47" s="14"/>
      <c r="T47" s="14"/>
      <c r="U47" s="14"/>
      <c r="V47" s="14"/>
    </row>
    <row r="48" spans="2:22" x14ac:dyDescent="0.25">
      <c r="B48" s="14"/>
      <c r="C48" s="14"/>
      <c r="D48" s="14"/>
      <c r="E48" s="14"/>
      <c r="F48" s="14"/>
      <c r="G48" s="14"/>
      <c r="H48" s="14"/>
      <c r="I48" s="14"/>
      <c r="J48" s="14"/>
      <c r="K48" s="14"/>
      <c r="L48" s="14"/>
      <c r="M48" s="14"/>
      <c r="N48" s="14"/>
      <c r="O48" s="14"/>
      <c r="P48" s="14"/>
      <c r="Q48" s="14"/>
      <c r="R48" s="14"/>
      <c r="S48" s="14"/>
      <c r="T48" s="14"/>
      <c r="U48" s="14"/>
      <c r="V48" s="14"/>
    </row>
    <row r="49" spans="2:22" x14ac:dyDescent="0.25">
      <c r="B49" s="14"/>
      <c r="C49" s="406"/>
      <c r="D49" s="14"/>
      <c r="E49" s="14"/>
      <c r="F49" s="14"/>
      <c r="G49" s="14"/>
      <c r="H49" s="14"/>
      <c r="I49" s="14"/>
      <c r="J49" s="14"/>
      <c r="K49" s="14"/>
      <c r="L49" s="14"/>
      <c r="M49" s="14"/>
      <c r="N49" s="14"/>
      <c r="O49" s="14"/>
      <c r="P49" s="14"/>
      <c r="Q49" s="14"/>
      <c r="R49" s="14"/>
      <c r="S49" s="14"/>
      <c r="T49" s="14"/>
      <c r="U49" s="14"/>
      <c r="V49" s="14"/>
    </row>
    <row r="50" spans="2:22" x14ac:dyDescent="0.25">
      <c r="B50" s="14"/>
      <c r="C50" s="14"/>
      <c r="D50" s="14"/>
      <c r="E50" s="14"/>
      <c r="F50" s="14"/>
      <c r="G50" s="14"/>
      <c r="H50" s="14"/>
      <c r="I50" s="14"/>
      <c r="J50" s="14"/>
      <c r="K50" s="14"/>
      <c r="L50" s="14"/>
      <c r="M50" s="14"/>
      <c r="N50" s="14"/>
      <c r="O50" s="14"/>
      <c r="P50" s="14"/>
      <c r="Q50" s="14"/>
      <c r="R50" s="14"/>
      <c r="S50" s="14"/>
      <c r="T50" s="14"/>
      <c r="U50" s="14"/>
      <c r="V50" s="14"/>
    </row>
    <row r="51" spans="2:22" x14ac:dyDescent="0.25">
      <c r="B51" s="14"/>
      <c r="C51" s="14"/>
      <c r="D51" s="14"/>
      <c r="E51" s="14"/>
      <c r="F51" s="14"/>
      <c r="G51" s="14"/>
      <c r="H51" s="14"/>
      <c r="I51" s="14"/>
      <c r="J51" s="14"/>
      <c r="K51" s="14"/>
      <c r="L51" s="14"/>
      <c r="M51" s="14"/>
      <c r="N51" s="14"/>
      <c r="O51" s="14"/>
      <c r="P51" s="14"/>
      <c r="Q51" s="14"/>
      <c r="R51" s="14"/>
      <c r="S51" s="14"/>
      <c r="T51" s="14"/>
      <c r="U51" s="14"/>
      <c r="V51" s="14"/>
    </row>
    <row r="52" spans="2:22" x14ac:dyDescent="0.25">
      <c r="B52" s="14"/>
      <c r="C52" s="406"/>
      <c r="D52" s="14"/>
      <c r="E52" s="14"/>
      <c r="F52" s="14"/>
      <c r="G52" s="14"/>
      <c r="H52" s="14"/>
      <c r="I52" s="14"/>
      <c r="J52" s="14"/>
      <c r="K52" s="14"/>
      <c r="L52" s="14"/>
      <c r="M52" s="14"/>
      <c r="N52" s="14"/>
      <c r="O52" s="14"/>
      <c r="P52" s="14"/>
      <c r="Q52" s="14"/>
      <c r="R52" s="14"/>
      <c r="S52" s="14"/>
      <c r="T52" s="14"/>
      <c r="U52" s="14"/>
      <c r="V52" s="14"/>
    </row>
    <row r="53" spans="2:22" x14ac:dyDescent="0.25">
      <c r="B53" s="14"/>
      <c r="C53" s="14"/>
      <c r="D53" s="14"/>
      <c r="E53" s="14"/>
      <c r="F53" s="14"/>
      <c r="G53" s="14"/>
      <c r="H53" s="14"/>
      <c r="I53" s="14"/>
      <c r="J53" s="14"/>
      <c r="K53" s="14"/>
      <c r="L53" s="14"/>
      <c r="M53" s="14"/>
      <c r="N53" s="14"/>
      <c r="O53" s="14"/>
      <c r="P53" s="14"/>
      <c r="Q53" s="14"/>
      <c r="R53" s="14"/>
      <c r="S53" s="14"/>
      <c r="T53" s="14"/>
      <c r="U53" s="14"/>
      <c r="V53" s="14"/>
    </row>
    <row r="54" spans="2:22" x14ac:dyDescent="0.25">
      <c r="B54" s="14"/>
      <c r="C54" s="14"/>
      <c r="D54" s="14"/>
      <c r="E54" s="14"/>
      <c r="F54" s="14"/>
      <c r="G54" s="14"/>
      <c r="H54" s="14"/>
      <c r="I54" s="14"/>
      <c r="J54" s="14"/>
      <c r="K54" s="14"/>
      <c r="L54" s="14"/>
      <c r="M54" s="14"/>
      <c r="N54" s="14"/>
      <c r="O54" s="14"/>
      <c r="P54" s="14"/>
      <c r="Q54" s="14"/>
      <c r="R54" s="14"/>
      <c r="S54" s="14"/>
      <c r="T54" s="14"/>
      <c r="U54" s="14"/>
      <c r="V54" s="14"/>
    </row>
    <row r="55" spans="2:22" x14ac:dyDescent="0.25">
      <c r="B55" s="14"/>
      <c r="C55" s="406"/>
      <c r="D55" s="14"/>
      <c r="E55" s="14"/>
      <c r="F55" s="14"/>
      <c r="G55" s="14"/>
      <c r="H55" s="14"/>
      <c r="I55" s="14"/>
      <c r="J55" s="14"/>
      <c r="K55" s="14"/>
      <c r="L55" s="14"/>
      <c r="M55" s="14"/>
      <c r="N55" s="14"/>
      <c r="O55" s="14"/>
      <c r="P55" s="14"/>
      <c r="Q55" s="14"/>
      <c r="R55" s="14"/>
      <c r="S55" s="14"/>
      <c r="T55" s="14"/>
      <c r="U55" s="14"/>
      <c r="V55" s="14"/>
    </row>
    <row r="56" spans="2:22" x14ac:dyDescent="0.25">
      <c r="B56" s="14"/>
      <c r="C56" s="14"/>
      <c r="D56" s="14"/>
      <c r="E56" s="14"/>
      <c r="F56" s="14"/>
      <c r="G56" s="14"/>
      <c r="H56" s="14"/>
      <c r="I56" s="14"/>
      <c r="J56" s="14"/>
      <c r="K56" s="14"/>
      <c r="L56" s="14"/>
      <c r="M56" s="14"/>
      <c r="N56" s="14"/>
      <c r="O56" s="14"/>
      <c r="P56" s="14"/>
      <c r="Q56" s="14"/>
      <c r="R56" s="14"/>
      <c r="S56" s="14"/>
      <c r="T56" s="14"/>
      <c r="U56" s="14"/>
      <c r="V56" s="14"/>
    </row>
    <row r="57" spans="2:22" x14ac:dyDescent="0.25">
      <c r="B57" s="14"/>
      <c r="C57" s="14"/>
      <c r="D57" s="14"/>
      <c r="E57" s="14"/>
      <c r="F57" s="14"/>
      <c r="G57" s="14"/>
      <c r="H57" s="14"/>
      <c r="I57" s="14"/>
      <c r="J57" s="14"/>
      <c r="K57" s="14"/>
      <c r="L57" s="14"/>
      <c r="M57" s="14"/>
      <c r="N57" s="14"/>
      <c r="O57" s="14"/>
      <c r="P57" s="14"/>
      <c r="Q57" s="14"/>
      <c r="R57" s="14"/>
      <c r="S57" s="14"/>
      <c r="T57" s="14"/>
      <c r="U57" s="14"/>
      <c r="V57" s="14"/>
    </row>
    <row r="58" spans="2:22" x14ac:dyDescent="0.25">
      <c r="B58" s="14"/>
      <c r="C58" s="407"/>
      <c r="D58" s="14"/>
      <c r="E58" s="14"/>
      <c r="F58" s="14"/>
      <c r="G58" s="14"/>
      <c r="H58" s="14"/>
      <c r="I58" s="14"/>
      <c r="J58" s="14"/>
      <c r="K58" s="14"/>
      <c r="L58" s="14"/>
      <c r="M58" s="14"/>
      <c r="N58" s="14"/>
      <c r="O58" s="14"/>
      <c r="P58" s="14"/>
      <c r="Q58" s="14"/>
      <c r="R58" s="14"/>
      <c r="S58" s="14"/>
      <c r="T58" s="14"/>
      <c r="U58" s="14"/>
      <c r="V58" s="14"/>
    </row>
    <row r="59" spans="2:22" x14ac:dyDescent="0.25">
      <c r="B59" s="14"/>
      <c r="C59" s="14"/>
      <c r="D59" s="14"/>
      <c r="E59" s="14"/>
      <c r="F59" s="14"/>
      <c r="G59" s="14"/>
      <c r="H59" s="14"/>
      <c r="I59" s="14"/>
      <c r="J59" s="14"/>
      <c r="K59" s="14"/>
      <c r="L59" s="14"/>
      <c r="M59" s="14"/>
      <c r="N59" s="14"/>
      <c r="O59" s="14"/>
      <c r="P59" s="14"/>
      <c r="Q59" s="14"/>
      <c r="R59" s="14"/>
      <c r="S59" s="14"/>
      <c r="T59" s="14"/>
      <c r="U59" s="14"/>
      <c r="V59" s="14"/>
    </row>
    <row r="60" spans="2:22" x14ac:dyDescent="0.25">
      <c r="B60" s="14"/>
      <c r="C60" s="14"/>
      <c r="D60" s="14"/>
      <c r="E60" s="14"/>
      <c r="F60" s="14"/>
      <c r="G60" s="14"/>
      <c r="H60" s="14"/>
      <c r="I60" s="14"/>
      <c r="J60" s="14"/>
      <c r="K60" s="14"/>
      <c r="L60" s="14"/>
      <c r="M60" s="14"/>
      <c r="N60" s="14"/>
      <c r="O60" s="14"/>
      <c r="P60" s="14"/>
      <c r="Q60" s="14"/>
      <c r="R60" s="14"/>
      <c r="S60" s="14"/>
      <c r="T60" s="14"/>
      <c r="U60" s="14"/>
      <c r="V60" s="14"/>
    </row>
    <row r="61" spans="2:22" x14ac:dyDescent="0.25">
      <c r="B61" s="14"/>
      <c r="C61" s="407"/>
      <c r="D61" s="14"/>
      <c r="E61" s="14"/>
      <c r="F61" s="14"/>
      <c r="G61" s="14"/>
      <c r="H61" s="14"/>
      <c r="I61" s="14"/>
      <c r="J61" s="14"/>
      <c r="K61" s="14"/>
      <c r="L61" s="14"/>
      <c r="M61" s="14"/>
      <c r="N61" s="14"/>
      <c r="O61" s="14"/>
      <c r="P61" s="14"/>
      <c r="Q61" s="14"/>
      <c r="R61" s="14"/>
      <c r="S61" s="14"/>
      <c r="T61" s="14"/>
      <c r="U61" s="14"/>
      <c r="V61" s="14"/>
    </row>
    <row r="62" spans="2:22" x14ac:dyDescent="0.25">
      <c r="B62" s="14"/>
      <c r="C62" s="14"/>
      <c r="D62" s="14"/>
      <c r="E62" s="14"/>
      <c r="F62" s="14"/>
      <c r="G62" s="14"/>
      <c r="H62" s="14"/>
      <c r="I62" s="14"/>
      <c r="J62" s="14"/>
      <c r="K62" s="14"/>
      <c r="L62" s="14"/>
      <c r="M62" s="14"/>
      <c r="N62" s="14"/>
      <c r="O62" s="14"/>
      <c r="P62" s="14"/>
      <c r="Q62" s="14"/>
      <c r="R62" s="14"/>
      <c r="S62" s="14"/>
      <c r="T62" s="14"/>
      <c r="U62" s="14"/>
      <c r="V62" s="14"/>
    </row>
    <row r="63" spans="2:22" x14ac:dyDescent="0.25">
      <c r="B63" s="14"/>
      <c r="C63" s="14"/>
      <c r="D63" s="14"/>
      <c r="E63" s="14"/>
      <c r="F63" s="14"/>
      <c r="G63" s="14"/>
      <c r="H63" s="14"/>
      <c r="I63" s="14"/>
      <c r="J63" s="14"/>
      <c r="K63" s="14"/>
      <c r="L63" s="14"/>
      <c r="M63" s="14"/>
      <c r="N63" s="14"/>
      <c r="O63" s="14"/>
      <c r="P63" s="14"/>
      <c r="Q63" s="14"/>
      <c r="R63" s="14"/>
      <c r="S63" s="14"/>
      <c r="T63" s="14"/>
      <c r="U63" s="14"/>
      <c r="V63" s="14"/>
    </row>
    <row r="64" spans="2:22" x14ac:dyDescent="0.25">
      <c r="B64" s="14"/>
      <c r="C64" s="14"/>
      <c r="D64" s="14"/>
      <c r="E64" s="14"/>
      <c r="F64" s="14"/>
      <c r="G64" s="14"/>
      <c r="H64" s="14"/>
      <c r="I64" s="14"/>
      <c r="J64" s="14"/>
      <c r="K64" s="14"/>
      <c r="L64" s="14"/>
      <c r="M64" s="14"/>
      <c r="N64" s="14"/>
      <c r="O64" s="14"/>
      <c r="P64" s="14"/>
      <c r="Q64" s="14"/>
      <c r="R64" s="14"/>
      <c r="S64" s="14"/>
      <c r="T64" s="14"/>
      <c r="U64" s="14"/>
      <c r="V64" s="14"/>
    </row>
    <row r="65" spans="2:22" x14ac:dyDescent="0.25">
      <c r="B65" s="14"/>
      <c r="C65" s="14"/>
      <c r="D65" s="14"/>
      <c r="E65" s="14"/>
      <c r="F65" s="14"/>
      <c r="G65" s="14"/>
      <c r="H65" s="14"/>
      <c r="I65" s="14"/>
      <c r="J65" s="14"/>
      <c r="K65" s="14"/>
      <c r="L65" s="14"/>
      <c r="M65" s="14"/>
      <c r="N65" s="14"/>
      <c r="O65" s="14"/>
      <c r="P65" s="14"/>
      <c r="Q65" s="14"/>
      <c r="R65" s="14"/>
      <c r="S65" s="14"/>
      <c r="T65" s="14"/>
      <c r="U65" s="14"/>
      <c r="V65" s="14"/>
    </row>
    <row r="66" spans="2:22" x14ac:dyDescent="0.25">
      <c r="B66" s="14"/>
      <c r="C66" s="406"/>
      <c r="D66" s="14"/>
      <c r="E66" s="14"/>
      <c r="F66" s="14"/>
      <c r="G66" s="14"/>
      <c r="H66" s="14"/>
      <c r="I66" s="14"/>
      <c r="J66" s="14"/>
      <c r="K66" s="14"/>
      <c r="L66" s="14"/>
      <c r="M66" s="14"/>
      <c r="N66" s="14"/>
      <c r="O66" s="14"/>
      <c r="P66" s="14"/>
      <c r="Q66" s="14"/>
      <c r="R66" s="14"/>
      <c r="S66" s="14"/>
      <c r="T66" s="14"/>
      <c r="U66" s="14"/>
      <c r="V66" s="14"/>
    </row>
    <row r="67" spans="2:22" x14ac:dyDescent="0.25">
      <c r="B67" s="14"/>
      <c r="C67" s="14"/>
      <c r="D67" s="14"/>
      <c r="E67" s="14"/>
      <c r="F67" s="14"/>
      <c r="G67" s="14"/>
      <c r="H67" s="14"/>
      <c r="I67" s="14"/>
      <c r="J67" s="14"/>
      <c r="K67" s="14"/>
      <c r="L67" s="14"/>
      <c r="M67" s="14"/>
      <c r="N67" s="14"/>
      <c r="O67" s="14"/>
      <c r="P67" s="14"/>
      <c r="Q67" s="14"/>
      <c r="R67" s="14"/>
      <c r="S67" s="14"/>
      <c r="T67" s="14"/>
      <c r="U67" s="14"/>
      <c r="V67" s="14"/>
    </row>
    <row r="68" spans="2:22" x14ac:dyDescent="0.25">
      <c r="B68" s="14"/>
      <c r="C68" s="14"/>
      <c r="D68" s="14"/>
      <c r="E68" s="14"/>
      <c r="F68" s="14"/>
      <c r="G68" s="14"/>
      <c r="H68" s="14"/>
      <c r="I68" s="14"/>
      <c r="J68" s="14"/>
      <c r="K68" s="14"/>
      <c r="L68" s="14"/>
      <c r="M68" s="14"/>
      <c r="N68" s="14"/>
      <c r="O68" s="14"/>
      <c r="P68" s="14"/>
      <c r="Q68" s="14"/>
      <c r="R68" s="14"/>
      <c r="S68" s="14"/>
      <c r="T68" s="14"/>
      <c r="U68" s="14"/>
      <c r="V68" s="14"/>
    </row>
    <row r="69" spans="2:22" x14ac:dyDescent="0.25">
      <c r="B69" s="14"/>
      <c r="C69" s="407"/>
      <c r="D69" s="14"/>
      <c r="E69" s="14"/>
      <c r="F69" s="14"/>
      <c r="G69" s="14"/>
      <c r="H69" s="14"/>
      <c r="I69" s="14"/>
      <c r="J69" s="14"/>
      <c r="K69" s="14"/>
      <c r="L69" s="14"/>
      <c r="M69" s="14"/>
      <c r="N69" s="14"/>
      <c r="O69" s="14"/>
      <c r="P69" s="14"/>
      <c r="Q69" s="14"/>
      <c r="R69" s="14"/>
      <c r="S69" s="14"/>
      <c r="T69" s="14"/>
      <c r="U69" s="14"/>
      <c r="V69" s="14"/>
    </row>
    <row r="70" spans="2:22" x14ac:dyDescent="0.25">
      <c r="B70" s="14"/>
      <c r="C70" s="14"/>
      <c r="D70" s="14"/>
      <c r="E70" s="14"/>
      <c r="F70" s="14"/>
      <c r="G70" s="14"/>
      <c r="H70" s="14"/>
      <c r="I70" s="14"/>
      <c r="J70" s="14"/>
      <c r="K70" s="14"/>
      <c r="L70" s="14"/>
      <c r="M70" s="14"/>
      <c r="N70" s="14"/>
      <c r="O70" s="14"/>
      <c r="P70" s="14"/>
      <c r="Q70" s="14"/>
      <c r="R70" s="14"/>
      <c r="S70" s="14"/>
      <c r="T70" s="14"/>
      <c r="U70" s="14"/>
      <c r="V70" s="14"/>
    </row>
    <row r="71" spans="2:22" x14ac:dyDescent="0.25">
      <c r="B71" s="14"/>
      <c r="C71" s="14"/>
      <c r="D71" s="14"/>
      <c r="E71" s="14"/>
      <c r="F71" s="14"/>
      <c r="G71" s="14"/>
      <c r="H71" s="14"/>
      <c r="I71" s="14"/>
      <c r="J71" s="14"/>
      <c r="K71" s="14"/>
      <c r="L71" s="14"/>
      <c r="M71" s="14"/>
      <c r="N71" s="14"/>
      <c r="O71" s="14"/>
      <c r="P71" s="14"/>
      <c r="Q71" s="14"/>
      <c r="R71" s="14"/>
      <c r="S71" s="14"/>
      <c r="T71" s="14"/>
      <c r="U71" s="14"/>
      <c r="V71" s="14"/>
    </row>
    <row r="72" spans="2:22" x14ac:dyDescent="0.25">
      <c r="B72" s="14"/>
      <c r="C72" s="407"/>
      <c r="D72" s="14"/>
      <c r="E72" s="14"/>
      <c r="F72" s="14"/>
      <c r="G72" s="14"/>
      <c r="H72" s="14"/>
      <c r="I72" s="14"/>
      <c r="J72" s="14"/>
      <c r="K72" s="14"/>
      <c r="L72" s="14"/>
      <c r="M72" s="14"/>
      <c r="N72" s="14"/>
      <c r="O72" s="14"/>
      <c r="P72" s="14"/>
      <c r="Q72" s="14"/>
      <c r="R72" s="14"/>
      <c r="S72" s="14"/>
      <c r="T72" s="14"/>
      <c r="U72" s="14"/>
      <c r="V72" s="14"/>
    </row>
    <row r="73" spans="2:22" x14ac:dyDescent="0.25">
      <c r="B73" s="14"/>
      <c r="C73" s="14"/>
      <c r="D73" s="14"/>
      <c r="E73" s="14"/>
      <c r="F73" s="14"/>
      <c r="G73" s="14"/>
      <c r="H73" s="14"/>
      <c r="I73" s="14"/>
      <c r="J73" s="14"/>
      <c r="K73" s="14"/>
      <c r="L73" s="14"/>
      <c r="M73" s="14"/>
      <c r="N73" s="14"/>
      <c r="O73" s="14"/>
      <c r="P73" s="14"/>
      <c r="Q73" s="14"/>
      <c r="R73" s="14"/>
      <c r="S73" s="14"/>
      <c r="T73" s="14"/>
      <c r="U73" s="14"/>
      <c r="V73" s="14"/>
    </row>
    <row r="74" spans="2:22" x14ac:dyDescent="0.25">
      <c r="B74" s="14"/>
      <c r="C74" s="14"/>
      <c r="D74" s="14"/>
      <c r="E74" s="14"/>
      <c r="F74" s="14"/>
      <c r="G74" s="14"/>
      <c r="H74" s="14"/>
      <c r="I74" s="14"/>
      <c r="J74" s="14"/>
      <c r="K74" s="14"/>
      <c r="L74" s="14"/>
      <c r="M74" s="14"/>
      <c r="N74" s="14"/>
      <c r="O74" s="14"/>
      <c r="P74" s="14"/>
      <c r="Q74" s="14"/>
      <c r="R74" s="14"/>
      <c r="S74" s="14"/>
      <c r="T74" s="14"/>
      <c r="U74" s="14"/>
      <c r="V74" s="14"/>
    </row>
    <row r="75" spans="2:22" x14ac:dyDescent="0.25">
      <c r="B75" s="14"/>
      <c r="C75" s="407"/>
      <c r="D75" s="14"/>
      <c r="E75" s="14"/>
      <c r="F75" s="14"/>
      <c r="G75" s="14"/>
      <c r="H75" s="14"/>
      <c r="I75" s="14"/>
      <c r="J75" s="14"/>
      <c r="K75" s="14"/>
      <c r="L75" s="14"/>
      <c r="M75" s="14"/>
      <c r="N75" s="14"/>
      <c r="O75" s="14"/>
      <c r="P75" s="14"/>
      <c r="Q75" s="14"/>
      <c r="R75" s="14"/>
      <c r="S75" s="14"/>
      <c r="T75" s="14"/>
      <c r="U75" s="14"/>
      <c r="V75" s="14"/>
    </row>
    <row r="76" spans="2:22" x14ac:dyDescent="0.25">
      <c r="B76" s="14"/>
      <c r="C76" s="14"/>
      <c r="D76" s="14"/>
      <c r="E76" s="14"/>
      <c r="F76" s="14"/>
      <c r="G76" s="14"/>
      <c r="H76" s="14"/>
      <c r="I76" s="14"/>
      <c r="J76" s="14"/>
      <c r="K76" s="14"/>
      <c r="L76" s="14"/>
      <c r="M76" s="14"/>
      <c r="N76" s="14"/>
      <c r="O76" s="14"/>
      <c r="P76" s="14"/>
      <c r="Q76" s="14"/>
      <c r="R76" s="14"/>
      <c r="S76" s="14"/>
      <c r="T76" s="14"/>
      <c r="U76" s="14"/>
      <c r="V76" s="14"/>
    </row>
    <row r="77" spans="2:22" x14ac:dyDescent="0.25">
      <c r="B77" s="14"/>
      <c r="C77" s="14"/>
      <c r="D77" s="14"/>
      <c r="E77" s="14"/>
      <c r="F77" s="14"/>
      <c r="G77" s="14"/>
      <c r="H77" s="14"/>
      <c r="I77" s="14"/>
      <c r="J77" s="14"/>
      <c r="K77" s="14"/>
      <c r="L77" s="14"/>
      <c r="M77" s="14"/>
      <c r="N77" s="14"/>
      <c r="O77" s="14"/>
      <c r="P77" s="14"/>
      <c r="Q77" s="14"/>
      <c r="R77" s="14"/>
      <c r="S77" s="14"/>
      <c r="T77" s="14"/>
      <c r="U77" s="14"/>
      <c r="V77" s="14"/>
    </row>
    <row r="78" spans="2:22" x14ac:dyDescent="0.25">
      <c r="B78" s="14"/>
      <c r="C78" s="14"/>
      <c r="D78" s="14"/>
      <c r="E78" s="14"/>
      <c r="F78" s="14"/>
      <c r="G78" s="14"/>
      <c r="H78" s="14"/>
      <c r="I78" s="14"/>
      <c r="J78" s="14"/>
      <c r="K78" s="14"/>
      <c r="L78" s="14"/>
      <c r="M78" s="14"/>
      <c r="N78" s="14"/>
      <c r="O78" s="14"/>
      <c r="P78" s="14"/>
      <c r="Q78" s="14"/>
      <c r="R78" s="14"/>
      <c r="S78" s="14"/>
      <c r="T78" s="14"/>
      <c r="U78" s="14"/>
      <c r="V78" s="14"/>
    </row>
    <row r="79" spans="2:22" x14ac:dyDescent="0.25">
      <c r="B79" s="14"/>
      <c r="C79" s="14"/>
      <c r="D79" s="14"/>
      <c r="E79" s="14"/>
      <c r="F79" s="14"/>
      <c r="G79" s="14"/>
      <c r="H79" s="14"/>
      <c r="I79" s="14"/>
      <c r="J79" s="14"/>
      <c r="K79" s="14"/>
      <c r="L79" s="14"/>
      <c r="M79" s="14"/>
      <c r="N79" s="14"/>
      <c r="O79" s="14"/>
      <c r="P79" s="14"/>
      <c r="Q79" s="14"/>
      <c r="R79" s="14"/>
      <c r="S79" s="14"/>
      <c r="T79" s="14"/>
      <c r="U79" s="14"/>
      <c r="V79" s="14"/>
    </row>
    <row r="80" spans="2:22" x14ac:dyDescent="0.25">
      <c r="B80" s="14"/>
      <c r="C80" s="407"/>
      <c r="D80" s="14"/>
      <c r="E80" s="14"/>
      <c r="F80" s="14"/>
      <c r="G80" s="14"/>
      <c r="H80" s="14"/>
      <c r="I80" s="14"/>
      <c r="J80" s="14"/>
      <c r="K80" s="14"/>
      <c r="L80" s="14"/>
      <c r="M80" s="14"/>
      <c r="N80" s="14"/>
      <c r="O80" s="14"/>
      <c r="P80" s="14"/>
      <c r="Q80" s="14"/>
      <c r="R80" s="14"/>
      <c r="S80" s="14"/>
      <c r="T80" s="14"/>
      <c r="U80" s="14"/>
      <c r="V80" s="14"/>
    </row>
    <row r="81" spans="2:22" x14ac:dyDescent="0.25">
      <c r="B81" s="14"/>
      <c r="C81" s="14"/>
      <c r="D81" s="14"/>
      <c r="E81" s="14"/>
      <c r="F81" s="14"/>
      <c r="G81" s="14"/>
      <c r="H81" s="14"/>
      <c r="I81" s="14"/>
      <c r="J81" s="14"/>
      <c r="K81" s="14"/>
      <c r="L81" s="14"/>
      <c r="M81" s="14"/>
      <c r="N81" s="14"/>
      <c r="O81" s="14"/>
      <c r="P81" s="14"/>
      <c r="Q81" s="14"/>
      <c r="R81" s="14"/>
      <c r="S81" s="14"/>
      <c r="T81" s="14"/>
      <c r="U81" s="14"/>
      <c r="V81" s="14"/>
    </row>
    <row r="82" spans="2:22" x14ac:dyDescent="0.25">
      <c r="B82" s="14"/>
      <c r="C82" s="14"/>
      <c r="D82" s="14"/>
      <c r="E82" s="14"/>
      <c r="F82" s="14"/>
      <c r="G82" s="14"/>
      <c r="H82" s="14"/>
      <c r="I82" s="14"/>
      <c r="J82" s="14"/>
      <c r="K82" s="14"/>
      <c r="L82" s="14"/>
      <c r="M82" s="14"/>
      <c r="N82" s="14"/>
      <c r="O82" s="14"/>
      <c r="P82" s="14"/>
      <c r="Q82" s="14"/>
      <c r="R82" s="14"/>
      <c r="S82" s="14"/>
      <c r="T82" s="14"/>
      <c r="U82" s="14"/>
      <c r="V82" s="14"/>
    </row>
    <row r="83" spans="2:22" x14ac:dyDescent="0.25">
      <c r="B83" s="14"/>
      <c r="C83" s="14"/>
      <c r="D83" s="14"/>
      <c r="E83" s="14"/>
      <c r="F83" s="14"/>
      <c r="G83" s="14"/>
      <c r="H83" s="14"/>
      <c r="I83" s="14"/>
      <c r="J83" s="14"/>
      <c r="K83" s="14"/>
      <c r="L83" s="14"/>
      <c r="M83" s="14"/>
      <c r="N83" s="14"/>
      <c r="O83" s="14"/>
      <c r="P83" s="14"/>
      <c r="Q83" s="14"/>
      <c r="R83" s="14"/>
      <c r="S83" s="14"/>
      <c r="T83" s="14"/>
      <c r="U83" s="14"/>
      <c r="V83" s="14"/>
    </row>
    <row r="84" spans="2:22" x14ac:dyDescent="0.25">
      <c r="B84" s="14"/>
      <c r="C84" s="14"/>
      <c r="D84" s="14"/>
      <c r="E84" s="14"/>
      <c r="F84" s="14"/>
      <c r="G84" s="14"/>
      <c r="H84" s="14"/>
      <c r="I84" s="14"/>
      <c r="J84" s="14"/>
      <c r="K84" s="14"/>
      <c r="L84" s="14"/>
      <c r="M84" s="14"/>
      <c r="N84" s="14"/>
      <c r="O84" s="14"/>
      <c r="P84" s="14"/>
      <c r="Q84" s="14"/>
      <c r="R84" s="14"/>
      <c r="S84" s="14"/>
      <c r="T84" s="14"/>
      <c r="U84" s="14"/>
      <c r="V84" s="14"/>
    </row>
    <row r="85" spans="2:22" x14ac:dyDescent="0.25">
      <c r="B85" s="14"/>
      <c r="C85" s="14"/>
      <c r="D85" s="14"/>
      <c r="E85" s="14"/>
      <c r="F85" s="14"/>
      <c r="G85" s="14"/>
      <c r="H85" s="14"/>
      <c r="I85" s="14"/>
      <c r="J85" s="14"/>
      <c r="K85" s="14"/>
      <c r="L85" s="14"/>
      <c r="M85" s="14"/>
      <c r="N85" s="14"/>
      <c r="O85" s="14"/>
      <c r="P85" s="14"/>
      <c r="Q85" s="14"/>
      <c r="R85" s="14"/>
      <c r="S85" s="14"/>
      <c r="T85" s="14"/>
      <c r="U85" s="14"/>
      <c r="V85" s="14"/>
    </row>
    <row r="86" spans="2:22" x14ac:dyDescent="0.25">
      <c r="B86" s="14"/>
      <c r="C86" s="14"/>
      <c r="D86" s="14"/>
      <c r="E86" s="14"/>
      <c r="F86" s="14"/>
      <c r="G86" s="14"/>
      <c r="H86" s="14"/>
      <c r="I86" s="14"/>
      <c r="J86" s="14"/>
      <c r="K86" s="14"/>
      <c r="L86" s="14"/>
      <c r="M86" s="14"/>
      <c r="N86" s="14"/>
      <c r="O86" s="14"/>
      <c r="P86" s="14"/>
      <c r="Q86" s="14"/>
      <c r="R86" s="14"/>
      <c r="S86" s="14"/>
      <c r="T86" s="14"/>
      <c r="U86" s="14"/>
      <c r="V86" s="14"/>
    </row>
  </sheetData>
  <mergeCells count="4">
    <mergeCell ref="C3:U3"/>
    <mergeCell ref="C4:U4"/>
    <mergeCell ref="C6:U6"/>
    <mergeCell ref="C7:U7"/>
  </mergeCells>
  <hyperlinks>
    <hyperlink ref="C9" location="Cover!A1" display="Go to Results" xr:uid="{F55D8CE5-49BE-4AEA-A618-DAE3CC11F281}"/>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00A6D-ED91-46B3-A268-2FBCA33B787C}">
  <sheetPr codeName="Sheet4">
    <tabColor rgb="FFFF0000"/>
    <pageSetUpPr autoPageBreaks="0"/>
  </sheetPr>
  <dimension ref="B2:AO92"/>
  <sheetViews>
    <sheetView zoomScale="85" zoomScaleNormal="85" workbookViewId="0">
      <selection activeCell="D12" sqref="D12"/>
    </sheetView>
  </sheetViews>
  <sheetFormatPr defaultColWidth="9.140625" defaultRowHeight="15" x14ac:dyDescent="0.25"/>
  <cols>
    <col min="1" max="1" width="5.85546875" style="94" customWidth="1"/>
    <col min="2" max="2" width="10.85546875" style="94" customWidth="1"/>
    <col min="3" max="3" width="9.140625" style="94"/>
    <col min="4" max="4" width="11" style="94" customWidth="1"/>
    <col min="5" max="5" width="11.140625" style="94" customWidth="1"/>
    <col min="6" max="6" width="9.140625" style="94"/>
    <col min="7" max="7" width="21.85546875" style="94" customWidth="1"/>
    <col min="8" max="8" width="18.5703125" style="94" customWidth="1"/>
    <col min="9" max="9" width="41.5703125" style="94" customWidth="1"/>
    <col min="10" max="10" width="13.7109375" style="94" customWidth="1"/>
    <col min="11" max="11" width="13.140625" style="94" customWidth="1"/>
    <col min="12" max="15" width="9.140625" style="94"/>
    <col min="16" max="16" width="26.140625" style="94" customWidth="1"/>
    <col min="17" max="17" width="11" style="94" customWidth="1"/>
    <col min="18" max="20" width="12.28515625" style="94" customWidth="1"/>
    <col min="21" max="28" width="9.140625" style="94"/>
    <col min="29" max="29" width="13.140625" style="94" customWidth="1"/>
    <col min="30" max="30" width="16.7109375" style="94" customWidth="1"/>
    <col min="31" max="40" width="9.140625" style="94"/>
    <col min="41" max="41" width="10.85546875" style="94" customWidth="1"/>
    <col min="42" max="16384" width="9.140625" style="94"/>
  </cols>
  <sheetData>
    <row r="2" spans="2:41" ht="39.950000000000003" customHeight="1" x14ac:dyDescent="0.25">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row>
    <row r="3" spans="2:41" x14ac:dyDescent="0.25">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row>
    <row r="4" spans="2:41" x14ac:dyDescent="0.25">
      <c r="B4" s="14"/>
      <c r="C4" s="13"/>
      <c r="D4" s="13"/>
      <c r="E4" s="13"/>
      <c r="F4" s="13"/>
      <c r="G4" s="13"/>
      <c r="H4" s="13"/>
      <c r="I4" s="13"/>
      <c r="J4" s="13"/>
      <c r="K4" s="13"/>
      <c r="L4" s="13"/>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row>
    <row r="5" spans="2:41" x14ac:dyDescent="0.25">
      <c r="B5" s="14"/>
      <c r="C5" s="13"/>
      <c r="D5" s="13"/>
      <c r="E5" s="13"/>
      <c r="F5" s="13"/>
      <c r="G5" s="13"/>
      <c r="H5" s="13"/>
      <c r="I5" s="13"/>
      <c r="J5" s="13"/>
      <c r="K5" s="13"/>
      <c r="L5" s="13"/>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row>
    <row r="6" spans="2:41" x14ac:dyDescent="0.25">
      <c r="B6" s="14"/>
      <c r="C6" s="13"/>
      <c r="D6" s="13"/>
      <c r="E6" s="13"/>
      <c r="F6" s="13"/>
      <c r="G6" s="13"/>
      <c r="H6" s="13"/>
      <c r="I6" s="13"/>
      <c r="J6" s="13"/>
      <c r="K6" s="13"/>
      <c r="L6" s="13"/>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row>
    <row r="7" spans="2:41" x14ac:dyDescent="0.25">
      <c r="B7" s="14"/>
      <c r="C7" s="13"/>
      <c r="D7" s="13"/>
      <c r="E7" s="13"/>
      <c r="F7" s="13"/>
      <c r="G7" s="13"/>
      <c r="H7" s="13"/>
      <c r="I7" s="13"/>
      <c r="J7" s="13"/>
      <c r="K7" s="13"/>
      <c r="L7" s="13"/>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row>
    <row r="8" spans="2:41" x14ac:dyDescent="0.25">
      <c r="B8" s="14"/>
      <c r="C8" s="13"/>
      <c r="D8" s="13"/>
      <c r="E8" s="13"/>
      <c r="F8" s="13"/>
      <c r="G8" s="13"/>
      <c r="H8" s="13"/>
      <c r="I8" s="13"/>
      <c r="J8" s="13"/>
      <c r="K8" s="13"/>
      <c r="L8" s="13"/>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row>
    <row r="9" spans="2:41" x14ac:dyDescent="0.25">
      <c r="B9" s="14"/>
      <c r="C9" s="13"/>
      <c r="D9" s="13"/>
      <c r="E9" s="13"/>
      <c r="F9" s="13"/>
      <c r="G9" s="13"/>
      <c r="H9" s="13"/>
      <c r="I9" s="13"/>
      <c r="J9" s="13"/>
      <c r="K9" s="13"/>
      <c r="L9" s="13"/>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row>
    <row r="10" spans="2:41" x14ac:dyDescent="0.25">
      <c r="B10" s="14"/>
      <c r="C10" s="13"/>
      <c r="D10" s="13"/>
      <c r="E10" s="13"/>
      <c r="F10" s="13"/>
      <c r="G10" s="13"/>
      <c r="H10" s="13"/>
      <c r="I10" s="13"/>
      <c r="J10" s="13"/>
      <c r="K10" s="13"/>
      <c r="L10" s="13"/>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row>
    <row r="11" spans="2:41" x14ac:dyDescent="0.25">
      <c r="B11" s="14"/>
      <c r="C11" s="13"/>
      <c r="D11" s="13"/>
      <c r="E11" s="13"/>
      <c r="F11" s="13"/>
      <c r="G11" s="13"/>
      <c r="H11" s="13"/>
      <c r="I11" s="13"/>
      <c r="J11" s="13"/>
      <c r="K11" s="13"/>
      <c r="L11" s="13"/>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row>
    <row r="12" spans="2:41" x14ac:dyDescent="0.25">
      <c r="B12" s="14"/>
      <c r="C12" s="13"/>
      <c r="D12" s="13"/>
      <c r="E12" s="13"/>
      <c r="F12" s="13"/>
      <c r="G12" s="13"/>
      <c r="H12" s="13"/>
      <c r="I12" s="13"/>
      <c r="J12" s="13"/>
      <c r="K12" s="13"/>
      <c r="L12" s="13"/>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row>
    <row r="13" spans="2:41" ht="20.100000000000001" customHeight="1" x14ac:dyDescent="0.25">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row>
    <row r="14" spans="2:41" ht="20.100000000000001" customHeight="1" x14ac:dyDescent="0.25">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row>
    <row r="15" spans="2:41" ht="9.9499999999999993" customHeight="1" x14ac:dyDescent="0.25">
      <c r="B15" s="14"/>
      <c r="C15" s="95"/>
      <c r="D15" s="96"/>
      <c r="E15" s="96"/>
      <c r="F15" s="96"/>
      <c r="G15" s="96"/>
      <c r="H15" s="96"/>
      <c r="I15" s="96"/>
      <c r="J15" s="14"/>
      <c r="K15" s="14"/>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14"/>
    </row>
    <row r="16" spans="2:41" ht="31.5" x14ac:dyDescent="0.45">
      <c r="B16" s="108"/>
      <c r="C16" s="108"/>
      <c r="D16" s="97" t="s">
        <v>87</v>
      </c>
      <c r="E16" s="98"/>
      <c r="F16" s="98"/>
      <c r="G16" s="98"/>
      <c r="H16" s="96"/>
      <c r="I16" s="96"/>
      <c r="J16" s="96"/>
      <c r="K16" s="97" t="s">
        <v>88</v>
      </c>
      <c r="L16" s="96"/>
      <c r="M16" s="96"/>
      <c r="N16" s="96"/>
      <c r="O16" s="96"/>
      <c r="P16" s="14"/>
      <c r="Q16" s="96"/>
      <c r="R16" s="96"/>
      <c r="S16" s="96"/>
      <c r="T16" s="96"/>
      <c r="U16" s="96"/>
      <c r="V16" s="99"/>
      <c r="W16" s="96"/>
      <c r="X16" s="96"/>
      <c r="Y16" s="96"/>
      <c r="Z16" s="96"/>
      <c r="AA16" s="96"/>
      <c r="AB16" s="96"/>
      <c r="AC16" s="96"/>
      <c r="AD16" s="96"/>
      <c r="AE16" s="96"/>
      <c r="AF16" s="96"/>
      <c r="AG16" s="14"/>
      <c r="AH16" s="14"/>
      <c r="AI16" s="14"/>
      <c r="AJ16" s="14"/>
      <c r="AK16" s="14"/>
      <c r="AL16" s="14"/>
      <c r="AM16" s="14"/>
      <c r="AN16" s="14"/>
      <c r="AO16" s="14"/>
    </row>
    <row r="17" spans="2:41" x14ac:dyDescent="0.25">
      <c r="B17" s="14"/>
      <c r="C17" s="14"/>
      <c r="D17" s="100"/>
      <c r="E17" s="100"/>
      <c r="F17" s="100"/>
      <c r="G17" s="100"/>
      <c r="H17" s="100"/>
      <c r="I17" s="100"/>
      <c r="J17" s="14"/>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4"/>
      <c r="AO17" s="14"/>
    </row>
    <row r="18" spans="2:41" x14ac:dyDescent="0.25">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row>
    <row r="19" spans="2:41" ht="15.75" x14ac:dyDescent="0.25">
      <c r="B19" s="14"/>
      <c r="C19" s="14"/>
      <c r="D19" s="102" t="s">
        <v>89</v>
      </c>
      <c r="E19" s="103"/>
      <c r="F19" s="103"/>
      <c r="G19" s="103"/>
      <c r="H19" s="103"/>
      <c r="I19" s="103"/>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row>
    <row r="20" spans="2:41" ht="15.75" x14ac:dyDescent="0.25">
      <c r="B20" s="14"/>
      <c r="C20" s="14"/>
      <c r="D20" s="102" t="s">
        <v>90</v>
      </c>
      <c r="E20" s="103"/>
      <c r="F20" s="103"/>
      <c r="G20" s="103"/>
      <c r="H20" s="103"/>
      <c r="I20" s="103"/>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row>
    <row r="21" spans="2:41" ht="15.75" x14ac:dyDescent="0.25">
      <c r="B21" s="14"/>
      <c r="C21" s="14"/>
      <c r="D21" s="102"/>
      <c r="E21" s="103"/>
      <c r="F21" s="103"/>
      <c r="G21" s="103"/>
      <c r="H21" s="103"/>
      <c r="I21" s="107"/>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row>
    <row r="22" spans="2:41" x14ac:dyDescent="0.25">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row>
    <row r="23" spans="2:41" x14ac:dyDescent="0.25">
      <c r="B23" s="14"/>
      <c r="C23" s="14"/>
      <c r="D23" s="95" t="s">
        <v>91</v>
      </c>
      <c r="E23" s="14"/>
      <c r="F23" s="14"/>
      <c r="G23" s="14"/>
      <c r="H23" s="109" t="s">
        <v>92</v>
      </c>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row>
    <row r="24" spans="2:41" x14ac:dyDescent="0.25">
      <c r="B24" s="14"/>
      <c r="C24" s="14"/>
      <c r="D24" s="45" t="s">
        <v>93</v>
      </c>
      <c r="E24" s="14"/>
      <c r="F24" s="14"/>
      <c r="G24" s="14"/>
      <c r="H24" s="193">
        <v>33</v>
      </c>
      <c r="I24" s="15"/>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row>
    <row r="25" spans="2:41" x14ac:dyDescent="0.25">
      <c r="B25" s="14"/>
      <c r="C25" s="14"/>
      <c r="D25" s="45" t="s">
        <v>94</v>
      </c>
      <c r="E25" s="14"/>
      <c r="F25" s="14"/>
      <c r="G25" s="14"/>
      <c r="H25" s="193">
        <v>2023</v>
      </c>
      <c r="I25" s="110"/>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row>
    <row r="26" spans="2:41" x14ac:dyDescent="0.25">
      <c r="B26" s="14"/>
      <c r="C26" s="14"/>
      <c r="D26" s="45" t="s">
        <v>95</v>
      </c>
      <c r="E26" s="14"/>
      <c r="F26" s="14"/>
      <c r="G26" s="14"/>
      <c r="H26" s="194">
        <f>chart_start_proj+chart_proj_years</f>
        <v>2056</v>
      </c>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row>
    <row r="27" spans="2:41" x14ac:dyDescent="0.25">
      <c r="B27" s="14"/>
      <c r="C27" s="14"/>
      <c r="D27" s="45"/>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row>
    <row r="28" spans="2:41" x14ac:dyDescent="0.25">
      <c r="B28" s="14"/>
      <c r="C28" s="14"/>
      <c r="D28" s="14"/>
      <c r="E28" s="14"/>
      <c r="F28" s="14"/>
      <c r="G28" s="14"/>
      <c r="H28" s="14"/>
      <c r="I28" s="14"/>
      <c r="J28" s="14"/>
      <c r="K28" s="14"/>
      <c r="L28" s="108"/>
      <c r="M28" s="108"/>
      <c r="N28" s="108"/>
      <c r="O28" s="108"/>
      <c r="P28" s="108"/>
      <c r="Q28" s="108"/>
      <c r="R28" s="108"/>
      <c r="S28" s="108"/>
      <c r="T28" s="108"/>
      <c r="U28" s="108"/>
      <c r="V28" s="14"/>
      <c r="W28" s="14"/>
      <c r="X28" s="14"/>
      <c r="Y28" s="14"/>
      <c r="Z28" s="14"/>
      <c r="AA28" s="14"/>
      <c r="AB28" s="14"/>
      <c r="AC28" s="14"/>
      <c r="AD28" s="14"/>
      <c r="AE28" s="14"/>
      <c r="AF28" s="14"/>
      <c r="AG28" s="14"/>
      <c r="AH28" s="14"/>
      <c r="AI28" s="14"/>
      <c r="AJ28" s="14"/>
      <c r="AK28" s="14"/>
      <c r="AL28" s="14"/>
      <c r="AM28" s="14"/>
      <c r="AN28" s="14"/>
      <c r="AO28" s="14"/>
    </row>
    <row r="29" spans="2:41" ht="23.25" x14ac:dyDescent="0.25">
      <c r="B29" s="14"/>
      <c r="C29" s="14"/>
      <c r="D29" s="395" t="s">
        <v>96</v>
      </c>
      <c r="E29" s="270"/>
      <c r="F29" s="270"/>
      <c r="G29" s="270"/>
      <c r="H29" s="270"/>
      <c r="I29" s="270"/>
      <c r="J29" s="14"/>
      <c r="K29" s="395" t="s">
        <v>97</v>
      </c>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108"/>
      <c r="AO29" s="14"/>
    </row>
    <row r="30" spans="2:41" ht="18.75" x14ac:dyDescent="0.3">
      <c r="B30" s="14"/>
      <c r="C30" s="14"/>
      <c r="D30" s="119" t="s">
        <v>655</v>
      </c>
      <c r="E30" s="100"/>
      <c r="F30" s="100"/>
      <c r="G30" s="100"/>
      <c r="H30" s="100"/>
      <c r="I30" s="100"/>
      <c r="J30" s="14"/>
      <c r="K30" s="14"/>
      <c r="L30" s="14"/>
      <c r="M30" s="14"/>
      <c r="N30" s="14"/>
      <c r="O30" s="14"/>
      <c r="P30" s="111"/>
      <c r="Q30" s="14"/>
      <c r="R30" s="108"/>
      <c r="S30" s="108"/>
      <c r="T30" s="108"/>
      <c r="U30" s="108"/>
      <c r="V30" s="14"/>
      <c r="W30" s="14"/>
      <c r="X30" s="14"/>
      <c r="Y30" s="14"/>
      <c r="Z30" s="14"/>
      <c r="AA30" s="14"/>
      <c r="AB30" s="14"/>
      <c r="AC30" s="14"/>
      <c r="AD30" s="14"/>
      <c r="AE30" s="14"/>
      <c r="AF30" s="14"/>
      <c r="AG30" s="14"/>
      <c r="AH30" s="14"/>
      <c r="AI30" s="14"/>
      <c r="AJ30" s="14"/>
      <c r="AK30" s="14"/>
      <c r="AL30" s="14"/>
      <c r="AM30" s="14"/>
      <c r="AN30" s="108"/>
      <c r="AO30" s="14"/>
    </row>
    <row r="31" spans="2:41" ht="18.75" x14ac:dyDescent="0.3">
      <c r="B31" s="14"/>
      <c r="C31" s="14"/>
      <c r="D31" s="111" t="s">
        <v>99</v>
      </c>
      <c r="E31" s="14"/>
      <c r="F31" s="14"/>
      <c r="G31" s="14"/>
      <c r="H31" s="131" t="s">
        <v>266</v>
      </c>
      <c r="I31" s="390">
        <v>12</v>
      </c>
      <c r="J31" s="105"/>
      <c r="K31" s="279" t="s">
        <v>100</v>
      </c>
      <c r="L31" s="108"/>
      <c r="M31" s="108"/>
      <c r="N31" s="108"/>
      <c r="O31" s="108"/>
      <c r="P31" s="108"/>
      <c r="Q31" s="108"/>
      <c r="R31" s="108"/>
      <c r="S31" s="108"/>
      <c r="T31" s="279" t="s">
        <v>101</v>
      </c>
      <c r="U31" s="108"/>
      <c r="V31" s="108"/>
      <c r="W31" s="108"/>
      <c r="X31" s="108"/>
      <c r="Y31" s="108"/>
      <c r="Z31" s="108"/>
      <c r="AA31" s="108"/>
      <c r="AB31" s="108"/>
      <c r="AC31" s="108"/>
      <c r="AD31" s="279" t="s">
        <v>102</v>
      </c>
      <c r="AE31" s="108"/>
      <c r="AF31" s="108"/>
      <c r="AG31" s="108"/>
      <c r="AH31" s="108"/>
      <c r="AI31" s="108"/>
      <c r="AJ31" s="108"/>
      <c r="AK31" s="108"/>
      <c r="AL31" s="108"/>
      <c r="AM31" s="108"/>
      <c r="AN31" s="108"/>
      <c r="AO31" s="14"/>
    </row>
    <row r="32" spans="2:41" ht="18.75" x14ac:dyDescent="0.3">
      <c r="B32" s="14"/>
      <c r="C32" s="14"/>
      <c r="D32" s="111" t="s">
        <v>103</v>
      </c>
      <c r="E32" s="14"/>
      <c r="F32" s="14"/>
      <c r="G32" s="14"/>
      <c r="H32" s="131" t="s">
        <v>266</v>
      </c>
      <c r="I32" s="390">
        <v>12</v>
      </c>
      <c r="J32" s="105"/>
      <c r="K32" s="279"/>
      <c r="L32" s="108"/>
      <c r="M32" s="108"/>
      <c r="N32" s="108"/>
      <c r="O32" s="108"/>
      <c r="P32" s="108"/>
      <c r="Q32" s="108"/>
      <c r="R32" s="108"/>
      <c r="S32" s="108"/>
      <c r="T32" s="279"/>
      <c r="U32" s="108"/>
      <c r="V32" s="108"/>
      <c r="W32" s="108"/>
      <c r="X32" s="108"/>
      <c r="Y32" s="108"/>
      <c r="Z32" s="108"/>
      <c r="AA32" s="108"/>
      <c r="AB32" s="108"/>
      <c r="AC32" s="108"/>
      <c r="AD32" s="279"/>
      <c r="AE32" s="108"/>
      <c r="AF32" s="108"/>
      <c r="AG32" s="108"/>
      <c r="AH32" s="108"/>
      <c r="AI32" s="108"/>
      <c r="AJ32" s="108"/>
      <c r="AK32" s="108"/>
      <c r="AL32" s="108"/>
      <c r="AM32" s="108"/>
      <c r="AN32" s="108"/>
      <c r="AO32" s="14"/>
    </row>
    <row r="33" spans="2:41" x14ac:dyDescent="0.25">
      <c r="B33" s="14"/>
      <c r="C33" s="14"/>
      <c r="D33" s="111" t="s">
        <v>104</v>
      </c>
      <c r="E33" s="14"/>
      <c r="F33" s="14"/>
      <c r="G33" s="14"/>
      <c r="H33" s="14"/>
      <c r="I33" s="390" t="s">
        <v>105</v>
      </c>
      <c r="J33" s="105"/>
      <c r="K33" s="105"/>
      <c r="L33" s="108"/>
      <c r="M33" s="108"/>
      <c r="N33" s="108"/>
      <c r="O33" s="108"/>
      <c r="P33" s="108"/>
      <c r="Q33" s="108"/>
      <c r="R33" s="108"/>
      <c r="S33" s="108"/>
      <c r="T33" s="108"/>
      <c r="U33" s="108"/>
      <c r="V33" s="14"/>
      <c r="W33" s="14"/>
      <c r="X33" s="14"/>
      <c r="Y33" s="14"/>
      <c r="Z33" s="14"/>
      <c r="AA33" s="14"/>
      <c r="AB33" s="14"/>
      <c r="AC33" s="14"/>
      <c r="AD33" s="14"/>
      <c r="AE33" s="14"/>
      <c r="AF33" s="14"/>
      <c r="AG33" s="14"/>
      <c r="AH33" s="14"/>
      <c r="AI33" s="14"/>
      <c r="AJ33" s="14"/>
      <c r="AK33" s="14"/>
      <c r="AL33" s="14"/>
      <c r="AM33" s="14"/>
      <c r="AN33" s="108"/>
      <c r="AO33" s="14"/>
    </row>
    <row r="34" spans="2:41" x14ac:dyDescent="0.25">
      <c r="B34" s="14"/>
      <c r="C34" s="14"/>
      <c r="D34" s="111" t="s">
        <v>106</v>
      </c>
      <c r="E34" s="14"/>
      <c r="F34" s="14"/>
      <c r="G34" s="14"/>
      <c r="H34" s="131" t="s">
        <v>167</v>
      </c>
      <c r="I34" s="390" t="s">
        <v>656</v>
      </c>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4"/>
    </row>
    <row r="35" spans="2:41" x14ac:dyDescent="0.25">
      <c r="B35" s="14"/>
      <c r="C35" s="14"/>
      <c r="D35" s="111" t="s">
        <v>107</v>
      </c>
      <c r="E35" s="14"/>
      <c r="F35" s="14"/>
      <c r="G35" s="14"/>
      <c r="H35" s="14"/>
      <c r="I35" s="390" t="s">
        <v>108</v>
      </c>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4"/>
    </row>
    <row r="36" spans="2:41" x14ac:dyDescent="0.25">
      <c r="B36" s="14"/>
      <c r="C36" s="14"/>
      <c r="D36" s="14"/>
      <c r="E36" s="14"/>
      <c r="F36" s="14"/>
      <c r="G36" s="14"/>
      <c r="H36" s="14"/>
      <c r="I36" s="14"/>
      <c r="J36" s="108"/>
      <c r="K36" s="108"/>
      <c r="L36" s="108"/>
      <c r="M36" s="108"/>
      <c r="N36" s="108"/>
      <c r="O36" s="108"/>
      <c r="P36" s="108"/>
      <c r="Q36" s="108"/>
      <c r="R36" s="108"/>
      <c r="S36" s="108"/>
      <c r="T36" s="108"/>
      <c r="U36" s="108"/>
      <c r="V36" s="14"/>
      <c r="W36" s="14"/>
      <c r="X36" s="14"/>
      <c r="Y36" s="14"/>
      <c r="Z36" s="14"/>
      <c r="AA36" s="14"/>
      <c r="AB36" s="14"/>
      <c r="AC36" s="14"/>
      <c r="AD36" s="14"/>
      <c r="AE36" s="14"/>
      <c r="AF36" s="14"/>
      <c r="AG36" s="14"/>
      <c r="AH36" s="14"/>
      <c r="AI36" s="14"/>
      <c r="AJ36" s="14"/>
      <c r="AK36" s="14"/>
      <c r="AL36" s="14"/>
      <c r="AM36" s="14"/>
      <c r="AN36" s="108"/>
      <c r="AO36" s="14"/>
    </row>
    <row r="37" spans="2:41" ht="18.75" x14ac:dyDescent="0.3">
      <c r="B37" s="14"/>
      <c r="C37" s="14"/>
      <c r="D37" s="483" t="s">
        <v>109</v>
      </c>
      <c r="E37" s="484"/>
      <c r="F37" s="484"/>
      <c r="G37" s="484"/>
      <c r="H37" s="484"/>
      <c r="I37" s="484"/>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4"/>
    </row>
    <row r="38" spans="2:41" x14ac:dyDescent="0.25">
      <c r="B38" s="14"/>
      <c r="C38" s="14"/>
      <c r="D38" s="14"/>
      <c r="E38" s="14"/>
      <c r="F38" s="14"/>
      <c r="G38" s="14"/>
      <c r="H38" s="131" t="s">
        <v>110</v>
      </c>
      <c r="I38" s="115"/>
      <c r="J38" s="108"/>
      <c r="K38" s="108"/>
      <c r="L38" s="108"/>
      <c r="M38" s="108"/>
      <c r="N38" s="108"/>
      <c r="O38" s="108"/>
      <c r="P38" s="108"/>
      <c r="Q38" s="108"/>
      <c r="R38" s="108"/>
      <c r="S38" s="108"/>
      <c r="T38" s="108"/>
      <c r="U38" s="108"/>
      <c r="V38" s="14"/>
      <c r="W38" s="14"/>
      <c r="X38" s="14"/>
      <c r="Y38" s="14"/>
      <c r="Z38" s="14"/>
      <c r="AA38" s="14"/>
      <c r="AB38" s="14"/>
      <c r="AC38" s="14"/>
      <c r="AD38" s="14"/>
      <c r="AE38" s="14"/>
      <c r="AF38" s="14"/>
      <c r="AG38" s="14"/>
      <c r="AH38" s="14"/>
      <c r="AI38" s="14"/>
      <c r="AJ38" s="14"/>
      <c r="AK38" s="14"/>
      <c r="AL38" s="14"/>
      <c r="AM38" s="14"/>
      <c r="AN38" s="108"/>
      <c r="AO38" s="14"/>
    </row>
    <row r="39" spans="2:41" x14ac:dyDescent="0.25">
      <c r="B39" s="14"/>
      <c r="C39" s="14"/>
      <c r="D39" s="111" t="s">
        <v>111</v>
      </c>
      <c r="E39" s="14"/>
      <c r="F39" s="14"/>
      <c r="G39" s="14"/>
      <c r="H39" s="131" t="s">
        <v>112</v>
      </c>
      <c r="I39" s="390">
        <v>20</v>
      </c>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4"/>
    </row>
    <row r="40" spans="2:41" x14ac:dyDescent="0.25">
      <c r="B40" s="14"/>
      <c r="C40" s="14"/>
      <c r="D40" s="111" t="s">
        <v>113</v>
      </c>
      <c r="E40" s="14"/>
      <c r="F40" s="14"/>
      <c r="G40" s="14"/>
      <c r="H40" s="131" t="s">
        <v>114</v>
      </c>
      <c r="I40" s="390">
        <v>15</v>
      </c>
      <c r="J40" s="108"/>
      <c r="K40" s="108"/>
      <c r="L40" s="108"/>
      <c r="M40" s="108"/>
      <c r="N40" s="108"/>
      <c r="O40" s="108"/>
      <c r="P40" s="108"/>
      <c r="Q40" s="108"/>
      <c r="R40" s="108"/>
      <c r="S40" s="108"/>
      <c r="T40" s="108"/>
      <c r="U40" s="108"/>
      <c r="V40" s="14"/>
      <c r="W40" s="14"/>
      <c r="X40" s="14"/>
      <c r="Y40" s="14"/>
      <c r="Z40" s="14"/>
      <c r="AA40" s="14"/>
      <c r="AB40" s="14"/>
      <c r="AC40" s="14"/>
      <c r="AD40" s="14"/>
      <c r="AE40" s="14"/>
      <c r="AF40" s="14"/>
      <c r="AG40" s="14"/>
      <c r="AH40" s="14"/>
      <c r="AI40" s="14"/>
      <c r="AJ40" s="14"/>
      <c r="AK40" s="14"/>
      <c r="AL40" s="14"/>
      <c r="AM40" s="14"/>
      <c r="AN40" s="108"/>
      <c r="AO40" s="14"/>
    </row>
    <row r="41" spans="2:41" x14ac:dyDescent="0.25">
      <c r="B41" s="14"/>
      <c r="C41" s="14"/>
      <c r="D41" s="111" t="s">
        <v>115</v>
      </c>
      <c r="E41" s="14"/>
      <c r="F41" s="14"/>
      <c r="G41" s="14"/>
      <c r="H41" s="131" t="s">
        <v>116</v>
      </c>
      <c r="I41" s="390">
        <v>6</v>
      </c>
      <c r="J41" s="108"/>
      <c r="K41" s="108"/>
      <c r="L41" s="45"/>
      <c r="M41" s="116"/>
      <c r="N41" s="116"/>
      <c r="O41" s="116"/>
      <c r="P41" s="116"/>
      <c r="Q41" s="116"/>
      <c r="R41" s="116"/>
      <c r="S41" s="116"/>
      <c r="T41" s="116"/>
      <c r="U41" s="116"/>
      <c r="V41" s="108"/>
      <c r="W41" s="108"/>
      <c r="X41" s="108"/>
      <c r="Y41" s="108"/>
      <c r="Z41" s="108"/>
      <c r="AA41" s="108"/>
      <c r="AB41" s="108"/>
      <c r="AC41" s="108"/>
      <c r="AD41" s="108"/>
      <c r="AE41" s="108"/>
      <c r="AF41" s="108"/>
      <c r="AG41" s="108"/>
      <c r="AH41" s="108"/>
      <c r="AI41" s="108"/>
      <c r="AJ41" s="108"/>
      <c r="AK41" s="108"/>
      <c r="AL41" s="108"/>
      <c r="AM41" s="108"/>
      <c r="AN41" s="14"/>
      <c r="AO41" s="14"/>
    </row>
    <row r="42" spans="2:41" x14ac:dyDescent="0.25">
      <c r="B42" s="14"/>
      <c r="C42" s="14"/>
      <c r="D42" s="111" t="s">
        <v>117</v>
      </c>
      <c r="E42" s="14"/>
      <c r="F42" s="14"/>
      <c r="G42" s="14"/>
      <c r="H42" s="131"/>
      <c r="I42" s="390" t="s">
        <v>118</v>
      </c>
      <c r="J42" s="14"/>
      <c r="K42" s="14"/>
      <c r="L42" s="14"/>
      <c r="M42" s="14"/>
      <c r="N42" s="14"/>
      <c r="O42" s="116"/>
      <c r="P42" s="116"/>
      <c r="Q42" s="116"/>
      <c r="R42" s="116"/>
      <c r="S42" s="116"/>
      <c r="T42" s="116"/>
      <c r="U42" s="116"/>
      <c r="V42" s="14"/>
      <c r="W42" s="14"/>
      <c r="X42" s="14"/>
      <c r="Y42" s="14"/>
      <c r="Z42" s="14"/>
      <c r="AA42" s="14"/>
      <c r="AB42" s="14"/>
      <c r="AC42" s="14"/>
      <c r="AD42" s="14"/>
      <c r="AE42" s="14"/>
      <c r="AF42" s="14"/>
      <c r="AG42" s="14"/>
      <c r="AH42" s="14"/>
      <c r="AI42" s="14"/>
      <c r="AJ42" s="14"/>
      <c r="AK42" s="14"/>
      <c r="AL42" s="14"/>
      <c r="AM42" s="14"/>
      <c r="AN42" s="14"/>
      <c r="AO42" s="14"/>
    </row>
    <row r="43" spans="2:41" x14ac:dyDescent="0.25">
      <c r="B43" s="14"/>
      <c r="C43" s="14"/>
      <c r="D43" s="111" t="s">
        <v>119</v>
      </c>
      <c r="E43" s="14"/>
      <c r="F43" s="14"/>
      <c r="G43" s="14"/>
      <c r="H43" s="131"/>
      <c r="I43" s="390" t="s">
        <v>120</v>
      </c>
      <c r="J43" s="14"/>
      <c r="K43" s="14"/>
      <c r="L43" s="14"/>
      <c r="M43" s="14"/>
      <c r="N43" s="14"/>
      <c r="O43" s="14"/>
      <c r="P43" s="14"/>
      <c r="Q43" s="14"/>
      <c r="R43" s="46"/>
      <c r="S43" s="114"/>
      <c r="T43" s="14"/>
      <c r="U43" s="116"/>
      <c r="V43" s="108"/>
      <c r="W43" s="108"/>
      <c r="X43" s="108"/>
      <c r="Y43" s="108"/>
      <c r="Z43" s="108"/>
      <c r="AA43" s="108"/>
      <c r="AB43" s="108"/>
      <c r="AC43" s="108"/>
      <c r="AD43" s="108"/>
      <c r="AE43" s="108"/>
      <c r="AF43" s="108"/>
      <c r="AG43" s="108"/>
      <c r="AH43" s="108"/>
      <c r="AI43" s="108"/>
      <c r="AJ43" s="108"/>
      <c r="AK43" s="108"/>
      <c r="AL43" s="108"/>
      <c r="AM43" s="108"/>
      <c r="AN43" s="14"/>
      <c r="AO43" s="14"/>
    </row>
    <row r="44" spans="2:41" x14ac:dyDescent="0.25">
      <c r="B44" s="14"/>
      <c r="C44" s="14"/>
      <c r="D44" s="111" t="s">
        <v>121</v>
      </c>
      <c r="E44" s="14"/>
      <c r="F44" s="14"/>
      <c r="G44" s="14"/>
      <c r="H44" s="131" t="s">
        <v>116</v>
      </c>
      <c r="I44" s="390">
        <v>0</v>
      </c>
      <c r="J44" s="14"/>
      <c r="K44" s="14"/>
      <c r="L44" s="14"/>
      <c r="M44" s="14"/>
      <c r="N44" s="14"/>
      <c r="O44" s="14"/>
      <c r="P44" s="14"/>
      <c r="Q44" s="14"/>
      <c r="R44" s="111"/>
      <c r="S44" s="114"/>
      <c r="T44" s="14"/>
      <c r="U44" s="116"/>
      <c r="V44" s="14"/>
      <c r="W44" s="14"/>
      <c r="X44" s="14"/>
      <c r="Y44" s="14"/>
      <c r="Z44" s="14"/>
      <c r="AA44" s="14"/>
      <c r="AB44" s="14"/>
      <c r="AC44" s="14"/>
      <c r="AD44" s="14"/>
      <c r="AE44" s="14"/>
      <c r="AF44" s="14"/>
      <c r="AG44" s="14"/>
      <c r="AH44" s="14"/>
      <c r="AI44" s="14"/>
      <c r="AJ44" s="14"/>
      <c r="AK44" s="14"/>
      <c r="AL44" s="14"/>
      <c r="AM44" s="14"/>
      <c r="AN44" s="14"/>
      <c r="AO44" s="14"/>
    </row>
    <row r="45" spans="2:41" x14ac:dyDescent="0.25">
      <c r="B45" s="14"/>
      <c r="C45" s="14"/>
      <c r="D45" s="108"/>
      <c r="E45" s="108"/>
      <c r="F45" s="108"/>
      <c r="G45" s="108"/>
      <c r="H45" s="389"/>
      <c r="I45" s="108"/>
      <c r="J45" s="14"/>
      <c r="K45" s="14"/>
      <c r="L45" s="14"/>
      <c r="M45" s="14"/>
      <c r="N45" s="14"/>
      <c r="O45" s="117"/>
      <c r="P45" s="117"/>
      <c r="Q45" s="117"/>
      <c r="R45" s="117"/>
      <c r="S45" s="117"/>
      <c r="T45" s="117"/>
      <c r="U45" s="117"/>
      <c r="V45" s="108"/>
      <c r="W45" s="108"/>
      <c r="X45" s="108"/>
      <c r="Y45" s="108"/>
      <c r="Z45" s="108"/>
      <c r="AA45" s="108"/>
      <c r="AB45" s="108"/>
      <c r="AC45" s="108"/>
      <c r="AD45" s="108"/>
      <c r="AE45" s="108"/>
      <c r="AF45" s="108"/>
      <c r="AG45" s="108"/>
      <c r="AH45" s="108"/>
      <c r="AI45" s="108"/>
      <c r="AJ45" s="108"/>
      <c r="AK45" s="108"/>
      <c r="AL45" s="108"/>
      <c r="AM45" s="108"/>
      <c r="AN45" s="14"/>
      <c r="AO45" s="14"/>
    </row>
    <row r="46" spans="2:41" ht="15" customHeight="1" x14ac:dyDescent="0.25">
      <c r="B46" s="14"/>
      <c r="C46" s="14"/>
      <c r="D46" s="14"/>
      <c r="E46" s="14"/>
      <c r="F46" s="14"/>
      <c r="G46" s="14"/>
      <c r="H46" s="115"/>
      <c r="I46" s="14"/>
      <c r="J46" s="14"/>
      <c r="K46" s="14"/>
      <c r="L46" s="14"/>
      <c r="M46" s="14"/>
      <c r="N46" s="14"/>
      <c r="O46" s="117"/>
      <c r="P46" s="117"/>
      <c r="Q46" s="117"/>
      <c r="R46" s="117"/>
      <c r="S46" s="117"/>
      <c r="T46" s="117"/>
      <c r="U46" s="117"/>
      <c r="V46" s="14"/>
      <c r="W46" s="14"/>
      <c r="X46" s="14"/>
      <c r="Y46" s="14"/>
      <c r="Z46" s="14"/>
      <c r="AA46" s="14"/>
      <c r="AB46" s="14"/>
      <c r="AC46" s="14"/>
      <c r="AD46" s="14"/>
      <c r="AE46" s="14"/>
      <c r="AF46" s="14"/>
      <c r="AG46" s="14"/>
      <c r="AH46" s="14"/>
      <c r="AI46" s="14"/>
      <c r="AJ46" s="14"/>
      <c r="AK46" s="14"/>
      <c r="AL46" s="14"/>
      <c r="AM46" s="14"/>
      <c r="AN46" s="14"/>
      <c r="AO46" s="14"/>
    </row>
    <row r="47" spans="2:41" ht="18.75" x14ac:dyDescent="0.3">
      <c r="B47" s="14"/>
      <c r="C47" s="14"/>
      <c r="D47" s="483" t="s">
        <v>101</v>
      </c>
      <c r="E47" s="484"/>
      <c r="F47" s="484"/>
      <c r="G47" s="484"/>
      <c r="H47" s="485"/>
      <c r="I47" s="484"/>
      <c r="J47" s="14"/>
      <c r="K47" s="14"/>
      <c r="L47" s="14"/>
      <c r="M47" s="14"/>
      <c r="N47" s="14"/>
      <c r="O47" s="116"/>
      <c r="P47" s="116"/>
      <c r="Q47" s="116"/>
      <c r="R47" s="116"/>
      <c r="S47" s="116"/>
      <c r="T47" s="116"/>
      <c r="U47" s="116"/>
      <c r="V47" s="108"/>
      <c r="W47" s="108"/>
      <c r="X47" s="108"/>
      <c r="Y47" s="108"/>
      <c r="Z47" s="108"/>
      <c r="AA47" s="108"/>
      <c r="AB47" s="108"/>
      <c r="AC47" s="108"/>
      <c r="AD47" s="108"/>
      <c r="AE47" s="108"/>
      <c r="AF47" s="108"/>
      <c r="AG47" s="108"/>
      <c r="AH47" s="108"/>
      <c r="AI47" s="108"/>
      <c r="AJ47" s="108"/>
      <c r="AK47" s="108"/>
      <c r="AL47" s="108"/>
      <c r="AM47" s="108"/>
      <c r="AN47" s="14"/>
      <c r="AO47" s="14"/>
    </row>
    <row r="48" spans="2:41" x14ac:dyDescent="0.25">
      <c r="B48" s="14"/>
      <c r="C48" s="14"/>
      <c r="D48" s="14"/>
      <c r="E48" s="14"/>
      <c r="F48" s="14"/>
      <c r="G48" s="14"/>
      <c r="H48" s="131" t="s">
        <v>110</v>
      </c>
      <c r="I48" s="14"/>
      <c r="J48" s="14"/>
      <c r="K48" s="14"/>
      <c r="L48" s="14"/>
      <c r="M48" s="14"/>
      <c r="N48" s="14"/>
      <c r="O48" s="116"/>
      <c r="P48" s="116"/>
      <c r="Q48" s="116"/>
      <c r="R48" s="116"/>
      <c r="S48" s="116"/>
      <c r="T48" s="116"/>
      <c r="U48" s="116"/>
      <c r="V48" s="14"/>
      <c r="W48" s="14"/>
      <c r="X48" s="14"/>
      <c r="Y48" s="14"/>
      <c r="Z48" s="14"/>
      <c r="AA48" s="14"/>
      <c r="AB48" s="14"/>
      <c r="AC48" s="14"/>
      <c r="AD48" s="14"/>
      <c r="AE48" s="14"/>
      <c r="AF48" s="14"/>
      <c r="AG48" s="14"/>
      <c r="AH48" s="14"/>
      <c r="AI48" s="14"/>
      <c r="AJ48" s="14"/>
      <c r="AK48" s="14"/>
      <c r="AL48" s="14"/>
      <c r="AM48" s="14"/>
      <c r="AN48" s="14"/>
      <c r="AO48" s="14"/>
    </row>
    <row r="49" spans="2:41" x14ac:dyDescent="0.25">
      <c r="B49" s="14"/>
      <c r="C49" s="14"/>
      <c r="D49" s="111" t="s">
        <v>111</v>
      </c>
      <c r="E49" s="14"/>
      <c r="F49" s="14"/>
      <c r="G49" s="14"/>
      <c r="H49" s="131" t="s">
        <v>112</v>
      </c>
      <c r="I49" s="390">
        <v>33</v>
      </c>
      <c r="J49" s="14"/>
      <c r="K49" s="14"/>
      <c r="L49" s="14"/>
      <c r="M49" s="14"/>
      <c r="N49" s="14"/>
      <c r="O49" s="116"/>
      <c r="P49" s="116"/>
      <c r="Q49" s="116"/>
      <c r="R49" s="116"/>
      <c r="S49" s="116"/>
      <c r="T49" s="116"/>
      <c r="U49" s="116"/>
      <c r="V49" s="108"/>
      <c r="W49" s="108"/>
      <c r="X49" s="108"/>
      <c r="Y49" s="108"/>
      <c r="Z49" s="108"/>
      <c r="AA49" s="108"/>
      <c r="AB49" s="108"/>
      <c r="AC49" s="108"/>
      <c r="AD49" s="108"/>
      <c r="AE49" s="108"/>
      <c r="AF49" s="108"/>
      <c r="AG49" s="108"/>
      <c r="AH49" s="108"/>
      <c r="AI49" s="108"/>
      <c r="AJ49" s="108"/>
      <c r="AK49" s="108"/>
      <c r="AL49" s="108"/>
      <c r="AM49" s="108"/>
      <c r="AN49" s="108"/>
      <c r="AO49" s="14"/>
    </row>
    <row r="50" spans="2:41" x14ac:dyDescent="0.25">
      <c r="B50" s="14"/>
      <c r="C50" s="14"/>
      <c r="D50" s="111" t="s">
        <v>113</v>
      </c>
      <c r="E50" s="14"/>
      <c r="F50" s="14"/>
      <c r="G50" s="14"/>
      <c r="H50" s="131" t="s">
        <v>114</v>
      </c>
      <c r="I50" s="390">
        <v>5</v>
      </c>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08"/>
      <c r="AO50" s="14"/>
    </row>
    <row r="51" spans="2:41" x14ac:dyDescent="0.25">
      <c r="B51" s="14"/>
      <c r="C51" s="14"/>
      <c r="D51" s="111" t="s">
        <v>115</v>
      </c>
      <c r="E51" s="14"/>
      <c r="F51" s="14"/>
      <c r="G51" s="14"/>
      <c r="H51" s="131" t="s">
        <v>116</v>
      </c>
      <c r="I51" s="390">
        <v>6</v>
      </c>
      <c r="J51" s="14"/>
      <c r="K51" s="14"/>
      <c r="L51" s="14"/>
      <c r="M51" s="14"/>
      <c r="N51" s="14"/>
      <c r="O51" s="14"/>
      <c r="P51" s="14"/>
      <c r="Q51" s="14"/>
      <c r="R51" s="14"/>
      <c r="S51" s="14"/>
      <c r="T51" s="14"/>
      <c r="U51" s="14"/>
      <c r="V51" s="108"/>
      <c r="W51" s="108"/>
      <c r="X51" s="108"/>
      <c r="Y51" s="108"/>
      <c r="Z51" s="108"/>
      <c r="AA51" s="108"/>
      <c r="AB51" s="108"/>
      <c r="AC51" s="108"/>
      <c r="AD51" s="108"/>
      <c r="AE51" s="108"/>
      <c r="AF51" s="108"/>
      <c r="AG51" s="108"/>
      <c r="AH51" s="108"/>
      <c r="AI51" s="108"/>
      <c r="AJ51" s="108"/>
      <c r="AK51" s="108"/>
      <c r="AL51" s="108"/>
      <c r="AM51" s="108"/>
      <c r="AN51" s="108"/>
      <c r="AO51" s="14"/>
    </row>
    <row r="52" spans="2:41" x14ac:dyDescent="0.25">
      <c r="B52" s="14"/>
      <c r="C52" s="14"/>
      <c r="D52" s="111" t="s">
        <v>117</v>
      </c>
      <c r="E52" s="14"/>
      <c r="F52" s="14"/>
      <c r="G52" s="14"/>
      <c r="H52" s="131"/>
      <c r="I52" s="390" t="s">
        <v>156</v>
      </c>
      <c r="J52" s="14"/>
      <c r="K52" s="14"/>
      <c r="L52" s="14"/>
      <c r="M52" s="14"/>
      <c r="N52" s="14"/>
      <c r="O52" s="14"/>
      <c r="P52" s="14" t="s">
        <v>123</v>
      </c>
      <c r="Q52" s="14"/>
      <c r="R52" s="14"/>
      <c r="S52" s="14"/>
      <c r="T52" s="14"/>
      <c r="U52" s="14"/>
      <c r="V52" s="14"/>
      <c r="W52" s="14"/>
      <c r="X52" s="14"/>
      <c r="Y52" s="14"/>
      <c r="Z52" s="14"/>
      <c r="AA52" s="14"/>
      <c r="AB52" s="14"/>
      <c r="AC52" s="14"/>
      <c r="AD52" s="14"/>
      <c r="AE52" s="14"/>
      <c r="AF52" s="14"/>
      <c r="AG52" s="14"/>
      <c r="AH52" s="14"/>
      <c r="AI52" s="14"/>
      <c r="AJ52" s="14"/>
      <c r="AK52" s="14"/>
      <c r="AL52" s="14"/>
      <c r="AM52" s="14"/>
      <c r="AN52" s="108"/>
      <c r="AO52" s="14"/>
    </row>
    <row r="53" spans="2:41" ht="15" customHeight="1" x14ac:dyDescent="0.25">
      <c r="B53" s="14"/>
      <c r="C53" s="14"/>
      <c r="D53" s="111" t="s">
        <v>119</v>
      </c>
      <c r="E53" s="14"/>
      <c r="F53" s="14"/>
      <c r="G53" s="14"/>
      <c r="H53" s="131"/>
      <c r="I53" s="390" t="s">
        <v>124</v>
      </c>
      <c r="J53" s="14"/>
      <c r="K53" s="14"/>
      <c r="L53" s="14"/>
      <c r="M53" s="14"/>
      <c r="N53" s="14"/>
      <c r="O53" s="14"/>
      <c r="P53" s="14"/>
      <c r="Q53" s="14"/>
      <c r="R53" s="14"/>
      <c r="S53" s="14"/>
      <c r="T53" s="14"/>
      <c r="U53" s="14"/>
      <c r="V53" s="108"/>
      <c r="W53" s="108"/>
      <c r="X53" s="108"/>
      <c r="Y53" s="108"/>
      <c r="Z53" s="108"/>
      <c r="AA53" s="108"/>
      <c r="AB53" s="108"/>
      <c r="AC53" s="108"/>
      <c r="AD53" s="108"/>
      <c r="AE53" s="108"/>
      <c r="AF53" s="108"/>
      <c r="AG53" s="108"/>
      <c r="AH53" s="108"/>
      <c r="AI53" s="108"/>
      <c r="AJ53" s="108"/>
      <c r="AK53" s="108"/>
      <c r="AL53" s="108"/>
      <c r="AM53" s="108"/>
      <c r="AN53" s="108"/>
      <c r="AO53" s="14"/>
    </row>
    <row r="54" spans="2:41" ht="15" customHeight="1" x14ac:dyDescent="0.25">
      <c r="B54" s="14"/>
      <c r="C54" s="14"/>
      <c r="D54" s="111" t="s">
        <v>121</v>
      </c>
      <c r="E54" s="14"/>
      <c r="F54" s="14"/>
      <c r="G54" s="14"/>
      <c r="H54" s="131" t="s">
        <v>116</v>
      </c>
      <c r="I54" s="390">
        <v>0</v>
      </c>
      <c r="J54" s="14"/>
      <c r="K54" s="14"/>
      <c r="L54" s="14"/>
      <c r="M54" s="14"/>
      <c r="N54" s="14"/>
      <c r="O54" s="14"/>
      <c r="P54" s="14" t="s">
        <v>123</v>
      </c>
      <c r="Q54" s="14"/>
      <c r="R54" s="14"/>
      <c r="S54" s="14"/>
      <c r="T54" s="14"/>
      <c r="U54" s="14"/>
      <c r="V54" s="14"/>
      <c r="W54" s="14"/>
      <c r="X54" s="14"/>
      <c r="Y54" s="14"/>
      <c r="Z54" s="14"/>
      <c r="AA54" s="14"/>
      <c r="AB54" s="14"/>
      <c r="AC54" s="14"/>
      <c r="AD54" s="14"/>
      <c r="AE54" s="14"/>
      <c r="AF54" s="14"/>
      <c r="AG54" s="14"/>
      <c r="AH54" s="14"/>
      <c r="AI54" s="14"/>
      <c r="AJ54" s="14"/>
      <c r="AK54" s="14"/>
      <c r="AL54" s="14"/>
      <c r="AM54" s="14"/>
      <c r="AN54" s="108"/>
      <c r="AO54" s="14"/>
    </row>
    <row r="55" spans="2:41" x14ac:dyDescent="0.25">
      <c r="B55" s="14"/>
      <c r="C55" s="14"/>
      <c r="D55" s="14"/>
      <c r="E55" s="14"/>
      <c r="F55" s="14"/>
      <c r="G55" s="14"/>
      <c r="H55" s="115"/>
      <c r="I55" s="14"/>
      <c r="J55" s="14"/>
      <c r="K55" s="14"/>
      <c r="L55" s="14"/>
      <c r="M55" s="14"/>
      <c r="N55" s="14"/>
      <c r="O55" s="14"/>
      <c r="P55" s="14"/>
      <c r="Q55" s="14"/>
      <c r="R55" s="14"/>
      <c r="S55" s="14"/>
      <c r="T55" s="14"/>
      <c r="U55" s="14"/>
      <c r="V55" s="108"/>
      <c r="W55" s="108"/>
      <c r="X55" s="108"/>
      <c r="Y55" s="108"/>
      <c r="Z55" s="108"/>
      <c r="AA55" s="108"/>
      <c r="AB55" s="108"/>
      <c r="AC55" s="108"/>
      <c r="AD55" s="108"/>
      <c r="AE55" s="108"/>
      <c r="AF55" s="108"/>
      <c r="AG55" s="108"/>
      <c r="AH55" s="108"/>
      <c r="AI55" s="108"/>
      <c r="AJ55" s="108"/>
      <c r="AK55" s="108"/>
      <c r="AL55" s="108"/>
      <c r="AM55" s="108"/>
      <c r="AN55" s="108"/>
      <c r="AO55" s="14"/>
    </row>
    <row r="56" spans="2:41" x14ac:dyDescent="0.25">
      <c r="B56" s="14"/>
      <c r="C56" s="14"/>
      <c r="D56" s="14"/>
      <c r="E56" s="14"/>
      <c r="F56" s="14"/>
      <c r="G56" s="14"/>
      <c r="H56" s="115"/>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08"/>
      <c r="AO56" s="14"/>
    </row>
    <row r="57" spans="2:41" ht="18.75" x14ac:dyDescent="0.3">
      <c r="B57" s="14"/>
      <c r="C57" s="14"/>
      <c r="D57" s="483" t="s">
        <v>102</v>
      </c>
      <c r="E57" s="484"/>
      <c r="F57" s="484"/>
      <c r="G57" s="484"/>
      <c r="H57" s="485"/>
      <c r="I57" s="484"/>
      <c r="J57" s="14"/>
      <c r="K57" s="14"/>
      <c r="L57" s="14"/>
      <c r="M57" s="14"/>
      <c r="N57" s="14"/>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4"/>
    </row>
    <row r="58" spans="2:41" ht="15" customHeight="1" x14ac:dyDescent="0.25">
      <c r="B58" s="14"/>
      <c r="C58" s="14"/>
      <c r="D58" s="14"/>
      <c r="E58" s="14"/>
      <c r="F58" s="14"/>
      <c r="G58" s="14"/>
      <c r="H58" s="131" t="s">
        <v>110</v>
      </c>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08"/>
      <c r="AO58" s="14"/>
    </row>
    <row r="59" spans="2:41" x14ac:dyDescent="0.25">
      <c r="B59" s="14"/>
      <c r="C59" s="14"/>
      <c r="D59" s="111" t="s">
        <v>111</v>
      </c>
      <c r="E59" s="14"/>
      <c r="F59" s="14"/>
      <c r="G59" s="14"/>
      <c r="H59" s="131" t="s">
        <v>112</v>
      </c>
      <c r="I59" s="390">
        <v>60</v>
      </c>
      <c r="J59" s="14"/>
      <c r="K59" s="14"/>
      <c r="L59" s="14"/>
      <c r="M59" s="14"/>
      <c r="N59" s="14"/>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4"/>
    </row>
    <row r="60" spans="2:41" x14ac:dyDescent="0.25">
      <c r="B60" s="14"/>
      <c r="C60" s="14"/>
      <c r="D60" s="111" t="s">
        <v>113</v>
      </c>
      <c r="E60" s="14"/>
      <c r="F60" s="14"/>
      <c r="G60" s="14"/>
      <c r="H60" s="131" t="s">
        <v>114</v>
      </c>
      <c r="I60" s="390">
        <v>5</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08"/>
      <c r="AO60" s="14"/>
    </row>
    <row r="61" spans="2:41" x14ac:dyDescent="0.25">
      <c r="B61" s="14"/>
      <c r="C61" s="14"/>
      <c r="D61" s="111" t="s">
        <v>115</v>
      </c>
      <c r="E61" s="14"/>
      <c r="F61" s="14"/>
      <c r="G61" s="14"/>
      <c r="H61" s="131" t="s">
        <v>116</v>
      </c>
      <c r="I61" s="390">
        <v>13</v>
      </c>
      <c r="J61" s="14"/>
      <c r="K61" s="14"/>
      <c r="L61" s="14"/>
      <c r="M61" s="14"/>
      <c r="N61" s="14"/>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4"/>
    </row>
    <row r="62" spans="2:41" ht="23.25" x14ac:dyDescent="0.25">
      <c r="B62" s="14"/>
      <c r="C62" s="14"/>
      <c r="D62" s="111" t="s">
        <v>117</v>
      </c>
      <c r="E62" s="14"/>
      <c r="F62" s="14"/>
      <c r="G62" s="14"/>
      <c r="H62" s="131"/>
      <c r="I62" s="390" t="s">
        <v>156</v>
      </c>
      <c r="J62" s="14"/>
      <c r="K62" s="395" t="s">
        <v>125</v>
      </c>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c r="AN62" s="271"/>
      <c r="AO62" s="14"/>
    </row>
    <row r="63" spans="2:41" x14ac:dyDescent="0.25">
      <c r="B63" s="14"/>
      <c r="C63" s="14"/>
      <c r="D63" s="111" t="s">
        <v>119</v>
      </c>
      <c r="E63" s="14"/>
      <c r="F63" s="14"/>
      <c r="G63" s="14"/>
      <c r="H63" s="131"/>
      <c r="I63" s="390" t="s">
        <v>126</v>
      </c>
      <c r="J63" s="14"/>
      <c r="K63" s="14"/>
      <c r="L63" s="14"/>
      <c r="M63" s="14"/>
      <c r="N63" s="14"/>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4"/>
    </row>
    <row r="64" spans="2:41" x14ac:dyDescent="0.25">
      <c r="B64" s="14"/>
      <c r="C64" s="14"/>
      <c r="D64" s="111" t="s">
        <v>121</v>
      </c>
      <c r="E64" s="14"/>
      <c r="F64" s="14"/>
      <c r="G64" s="14"/>
      <c r="H64" s="131" t="s">
        <v>116</v>
      </c>
      <c r="I64" s="390">
        <v>1</v>
      </c>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08"/>
      <c r="AO64" s="14"/>
    </row>
    <row r="65" spans="2:41" ht="18.75" x14ac:dyDescent="0.3">
      <c r="B65" s="14"/>
      <c r="C65" s="14"/>
      <c r="D65" s="14"/>
      <c r="E65" s="14"/>
      <c r="F65" s="14"/>
      <c r="G65" s="14"/>
      <c r="H65" s="115"/>
      <c r="I65" s="14"/>
      <c r="J65" s="14"/>
      <c r="K65" s="279" t="s">
        <v>100</v>
      </c>
      <c r="L65" s="108"/>
      <c r="M65" s="108"/>
      <c r="N65" s="108"/>
      <c r="O65" s="108"/>
      <c r="P65" s="108"/>
      <c r="Q65" s="108"/>
      <c r="R65" s="108"/>
      <c r="S65" s="108"/>
      <c r="T65" s="279" t="s">
        <v>101</v>
      </c>
      <c r="U65" s="108"/>
      <c r="V65" s="108"/>
      <c r="W65" s="108"/>
      <c r="X65" s="108"/>
      <c r="Y65" s="108"/>
      <c r="Z65" s="108"/>
      <c r="AA65" s="108"/>
      <c r="AB65" s="108"/>
      <c r="AC65" s="108"/>
      <c r="AD65" s="279" t="s">
        <v>102</v>
      </c>
      <c r="AE65" s="108"/>
      <c r="AF65" s="108"/>
      <c r="AG65" s="108"/>
      <c r="AH65" s="108"/>
      <c r="AI65" s="108"/>
      <c r="AJ65" s="108"/>
      <c r="AK65" s="108"/>
      <c r="AL65" s="108"/>
      <c r="AM65" s="108"/>
      <c r="AN65" s="108"/>
      <c r="AO65" s="14"/>
    </row>
    <row r="66" spans="2:41" x14ac:dyDescent="0.25">
      <c r="B66" s="14"/>
      <c r="C66" s="14"/>
      <c r="D66" s="14"/>
      <c r="E66" s="14"/>
      <c r="F66" s="14"/>
      <c r="G66" s="14"/>
      <c r="H66" s="115"/>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08"/>
      <c r="AO66" s="14"/>
    </row>
    <row r="67" spans="2:41" ht="18.75" x14ac:dyDescent="0.3">
      <c r="B67" s="14"/>
      <c r="C67" s="14"/>
      <c r="D67" s="483" t="s">
        <v>641</v>
      </c>
      <c r="E67" s="483"/>
      <c r="F67" s="483"/>
      <c r="G67" s="483"/>
      <c r="H67" s="486"/>
      <c r="I67" s="483"/>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08"/>
      <c r="AO67" s="14"/>
    </row>
    <row r="68" spans="2:41" x14ac:dyDescent="0.25">
      <c r="B68" s="14"/>
      <c r="C68" s="14"/>
      <c r="D68" s="14"/>
      <c r="E68" s="14"/>
      <c r="F68" s="14"/>
      <c r="G68" s="14"/>
      <c r="H68" s="131" t="s">
        <v>110</v>
      </c>
      <c r="I68" s="14"/>
      <c r="J68" s="14"/>
      <c r="K68" s="14"/>
      <c r="L68" s="14"/>
      <c r="M68" s="14"/>
      <c r="N68" s="14"/>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4"/>
    </row>
    <row r="69" spans="2:41" x14ac:dyDescent="0.25">
      <c r="B69" s="14"/>
      <c r="C69" s="14"/>
      <c r="D69" s="111" t="s">
        <v>111</v>
      </c>
      <c r="E69" s="113"/>
      <c r="F69" s="113"/>
      <c r="G69" s="14"/>
      <c r="H69" s="131" t="s">
        <v>112</v>
      </c>
      <c r="I69" s="390">
        <v>6</v>
      </c>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08"/>
      <c r="AO69" s="14"/>
    </row>
    <row r="70" spans="2:41" x14ac:dyDescent="0.25">
      <c r="B70" s="14"/>
      <c r="C70" s="14"/>
      <c r="D70" s="111" t="s">
        <v>113</v>
      </c>
      <c r="E70" s="14"/>
      <c r="F70" s="14"/>
      <c r="G70" s="14"/>
      <c r="H70" s="131" t="s">
        <v>114</v>
      </c>
      <c r="I70" s="390">
        <v>2</v>
      </c>
      <c r="J70" s="14"/>
      <c r="K70" s="14"/>
      <c r="L70" s="14"/>
      <c r="M70" s="14"/>
      <c r="N70" s="14"/>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4"/>
    </row>
    <row r="71" spans="2:41" ht="18.75" x14ac:dyDescent="0.25">
      <c r="B71" s="14"/>
      <c r="C71" s="14"/>
      <c r="D71" s="111" t="s">
        <v>127</v>
      </c>
      <c r="E71" s="14"/>
      <c r="F71" s="14"/>
      <c r="G71" s="14"/>
      <c r="H71" s="131"/>
      <c r="I71" s="390" t="s">
        <v>118</v>
      </c>
      <c r="J71" s="14"/>
      <c r="K71" s="14"/>
      <c r="L71" s="14"/>
      <c r="M71" s="10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08"/>
      <c r="AO71" s="14"/>
    </row>
    <row r="72" spans="2:41" x14ac:dyDescent="0.25">
      <c r="B72" s="14"/>
      <c r="C72" s="14"/>
      <c r="D72" s="111" t="s">
        <v>119</v>
      </c>
      <c r="E72" s="14"/>
      <c r="F72" s="14"/>
      <c r="G72" s="14"/>
      <c r="H72" s="131"/>
      <c r="I72" s="390" t="s">
        <v>120</v>
      </c>
      <c r="J72" s="14"/>
      <c r="K72" s="14"/>
      <c r="L72" s="14"/>
      <c r="M72" s="105"/>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4"/>
    </row>
    <row r="73" spans="2:41" ht="15" customHeight="1" x14ac:dyDescent="0.25">
      <c r="B73" s="14"/>
      <c r="C73" s="14"/>
      <c r="D73" s="419" t="str">
        <f>Route!C91</f>
        <v>Proportion of people switching to bus</v>
      </c>
      <c r="E73" s="14"/>
      <c r="F73" s="14"/>
      <c r="G73" s="14"/>
      <c r="H73" s="421" t="s">
        <v>128</v>
      </c>
      <c r="I73" s="420">
        <v>0.7</v>
      </c>
      <c r="J73" s="14"/>
      <c r="K73" s="14"/>
      <c r="L73" s="14"/>
      <c r="M73" s="105"/>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08"/>
      <c r="AO73" s="14"/>
    </row>
    <row r="74" spans="2:41" ht="15" customHeight="1" x14ac:dyDescent="0.25">
      <c r="B74" s="14"/>
      <c r="C74" s="14"/>
      <c r="D74" s="14"/>
      <c r="E74" s="14"/>
      <c r="F74" s="14"/>
      <c r="G74" s="14"/>
      <c r="H74" s="115"/>
      <c r="I74" s="14"/>
      <c r="J74" s="14"/>
      <c r="K74" s="14"/>
      <c r="L74" s="14"/>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4"/>
    </row>
    <row r="75" spans="2:41" x14ac:dyDescent="0.25">
      <c r="B75" s="14"/>
      <c r="C75" s="14"/>
      <c r="D75" s="14"/>
      <c r="E75" s="14"/>
      <c r="F75" s="14"/>
      <c r="G75" s="14"/>
      <c r="H75" s="115"/>
      <c r="I75" s="14"/>
      <c r="J75" s="14"/>
      <c r="K75" s="14"/>
      <c r="L75" s="14"/>
      <c r="M75" s="108"/>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08"/>
      <c r="AO75" s="14"/>
    </row>
    <row r="76" spans="2:41" ht="23.25" x14ac:dyDescent="0.25">
      <c r="B76" s="14"/>
      <c r="C76" s="14"/>
      <c r="D76" s="395" t="s">
        <v>129</v>
      </c>
      <c r="E76" s="270"/>
      <c r="F76" s="270"/>
      <c r="G76" s="270"/>
      <c r="H76" s="270"/>
      <c r="I76" s="270"/>
      <c r="J76" s="14"/>
      <c r="K76" s="14"/>
      <c r="L76" s="14"/>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4"/>
    </row>
    <row r="77" spans="2:41" ht="30" x14ac:dyDescent="0.25">
      <c r="B77" s="14"/>
      <c r="C77" s="14"/>
      <c r="D77" s="507" t="s">
        <v>130</v>
      </c>
      <c r="E77" s="507"/>
      <c r="F77" s="507" t="s">
        <v>110</v>
      </c>
      <c r="G77" s="507" t="s">
        <v>131</v>
      </c>
      <c r="H77" s="507" t="s">
        <v>132</v>
      </c>
      <c r="I77" s="507" t="s">
        <v>133</v>
      </c>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08"/>
      <c r="AO77" s="14"/>
    </row>
    <row r="78" spans="2:41" x14ac:dyDescent="0.25">
      <c r="B78" s="14"/>
      <c r="C78" s="14"/>
      <c r="D78" s="111" t="s">
        <v>134</v>
      </c>
      <c r="E78" s="14"/>
      <c r="F78" s="46" t="s">
        <v>135</v>
      </c>
      <c r="G78" s="214">
        <f>Data!E59</f>
        <v>1.5808498912979279</v>
      </c>
      <c r="H78" s="394">
        <v>0</v>
      </c>
      <c r="I78" s="202">
        <f>G78*(1+H78)</f>
        <v>1.5808498912979279</v>
      </c>
      <c r="J78" s="14"/>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4"/>
    </row>
    <row r="79" spans="2:41" ht="12.75" customHeight="1" x14ac:dyDescent="0.25">
      <c r="B79" s="14"/>
      <c r="C79" s="14"/>
      <c r="D79" s="111" t="s">
        <v>136</v>
      </c>
      <c r="E79" s="14"/>
      <c r="F79" s="46" t="s">
        <v>137</v>
      </c>
      <c r="G79" s="214">
        <f>Data!E64</f>
        <v>7.2281164324592293</v>
      </c>
      <c r="H79" s="391">
        <v>0</v>
      </c>
      <c r="I79" s="202">
        <f>G79*(1+H79)</f>
        <v>7.2281164324592293</v>
      </c>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08"/>
      <c r="AO79" s="14"/>
    </row>
    <row r="80" spans="2:41" x14ac:dyDescent="0.25">
      <c r="B80" s="14"/>
      <c r="C80" s="14"/>
      <c r="D80" s="111" t="s">
        <v>138</v>
      </c>
      <c r="E80" s="14"/>
      <c r="F80" s="46" t="s">
        <v>135</v>
      </c>
      <c r="G80" s="214">
        <f>Data!E69</f>
        <v>3.786833283941212</v>
      </c>
      <c r="H80" s="391">
        <v>0</v>
      </c>
      <c r="I80" s="202">
        <f t="shared" ref="I80:I86" si="0">G80*(1+H80)</f>
        <v>3.786833283941212</v>
      </c>
      <c r="J80" s="14"/>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4"/>
    </row>
    <row r="81" spans="2:41" ht="14.25" customHeight="1" x14ac:dyDescent="0.25">
      <c r="B81" s="14"/>
      <c r="C81" s="14"/>
      <c r="D81" s="477" t="s">
        <v>139</v>
      </c>
      <c r="E81" s="256"/>
      <c r="F81" s="478" t="s">
        <v>140</v>
      </c>
      <c r="G81" s="479">
        <f>Data!E74</f>
        <v>0.13658912257927455</v>
      </c>
      <c r="H81" s="480">
        <v>0</v>
      </c>
      <c r="I81" s="481">
        <f t="shared" si="0"/>
        <v>0.13658912257927455</v>
      </c>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row>
    <row r="82" spans="2:41" ht="15" customHeight="1" x14ac:dyDescent="0.25">
      <c r="B82" s="14"/>
      <c r="C82" s="14"/>
      <c r="D82" s="111" t="s">
        <v>141</v>
      </c>
      <c r="E82" s="14"/>
      <c r="F82" s="46" t="s">
        <v>142</v>
      </c>
      <c r="G82" s="215">
        <f>AVERAGE(Data!E107:E109)</f>
        <v>483333.33333333331</v>
      </c>
      <c r="H82" s="394">
        <v>0</v>
      </c>
      <c r="I82" s="216">
        <f t="shared" si="0"/>
        <v>483333.33333333331</v>
      </c>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row>
    <row r="83" spans="2:41" ht="15" customHeight="1" x14ac:dyDescent="0.25">
      <c r="B83" s="14"/>
      <c r="C83" s="14"/>
      <c r="D83" s="111" t="s">
        <v>143</v>
      </c>
      <c r="E83" s="14"/>
      <c r="F83" s="46" t="s">
        <v>142</v>
      </c>
      <c r="G83" s="217">
        <f>AVERAGE(Data!E184:E186)</f>
        <v>19041.599999999999</v>
      </c>
      <c r="H83" s="391">
        <v>0</v>
      </c>
      <c r="I83" s="216">
        <f t="shared" si="0"/>
        <v>19041.599999999999</v>
      </c>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row>
    <row r="84" spans="2:41" ht="15" customHeight="1" x14ac:dyDescent="0.25">
      <c r="B84" s="14"/>
      <c r="C84" s="14"/>
      <c r="D84" s="111" t="s">
        <v>144</v>
      </c>
      <c r="E84" s="14"/>
      <c r="F84" s="46" t="s">
        <v>142</v>
      </c>
      <c r="G84" s="215">
        <f>AVERAGE(Data!E231:E233)</f>
        <v>423666.66666666669</v>
      </c>
      <c r="H84" s="391">
        <v>0</v>
      </c>
      <c r="I84" s="216">
        <f t="shared" si="0"/>
        <v>423666.66666666669</v>
      </c>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row>
    <row r="85" spans="2:41" ht="15" customHeight="1" x14ac:dyDescent="0.25">
      <c r="B85" s="14"/>
      <c r="C85" s="14"/>
      <c r="D85" s="111" t="s">
        <v>145</v>
      </c>
      <c r="E85" s="14"/>
      <c r="F85" s="46" t="s">
        <v>142</v>
      </c>
      <c r="G85" s="218">
        <f>AVERAGE(Data!E297:E299)</f>
        <v>758222.22222222236</v>
      </c>
      <c r="H85" s="391">
        <v>0</v>
      </c>
      <c r="I85" s="216">
        <f t="shared" si="0"/>
        <v>758222.22222222236</v>
      </c>
      <c r="J85" s="14"/>
      <c r="K85" s="108"/>
      <c r="L85" s="108"/>
      <c r="M85" s="108"/>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row>
    <row r="86" spans="2:41" ht="15" customHeight="1" x14ac:dyDescent="0.25">
      <c r="B86" s="14"/>
      <c r="C86" s="14"/>
      <c r="D86" s="111" t="s">
        <v>146</v>
      </c>
      <c r="E86" s="14"/>
      <c r="F86" s="46" t="s">
        <v>142</v>
      </c>
      <c r="G86" s="218">
        <f>AVERAGE(Data!E365:E367)</f>
        <v>968333.33333333337</v>
      </c>
      <c r="H86" s="391">
        <v>0</v>
      </c>
      <c r="I86" s="216">
        <f t="shared" si="0"/>
        <v>968333.33333333337</v>
      </c>
      <c r="J86" s="14"/>
      <c r="K86" s="108"/>
      <c r="L86" s="108"/>
      <c r="M86" s="108"/>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387"/>
      <c r="AM86" s="388" t="s">
        <v>40</v>
      </c>
      <c r="AO86" s="14"/>
    </row>
    <row r="87" spans="2:41" ht="14.25" customHeight="1" x14ac:dyDescent="0.25">
      <c r="B87" s="14"/>
      <c r="C87" s="14"/>
      <c r="D87" s="14"/>
      <c r="E87" s="46"/>
      <c r="F87" s="14"/>
      <c r="G87" s="14"/>
      <c r="H87" s="14"/>
      <c r="I87" s="14"/>
      <c r="J87" s="14"/>
      <c r="K87" s="108"/>
      <c r="L87" s="108"/>
      <c r="M87" s="108"/>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row>
    <row r="88" spans="2:41" ht="14.25" customHeight="1" x14ac:dyDescent="0.25">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row>
    <row r="89" spans="2:41" ht="14.25" customHeight="1" x14ac:dyDescent="0.25">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row>
    <row r="90" spans="2:41" ht="14.25" customHeight="1" x14ac:dyDescent="0.25">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row>
    <row r="91" spans="2:41" ht="14.25" customHeight="1" x14ac:dyDescent="0.25">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row>
    <row r="92" spans="2:41" ht="14.25" customHeight="1" x14ac:dyDescent="0.25">
      <c r="B92" s="14"/>
      <c r="C92" s="14"/>
      <c r="D92" s="108"/>
      <c r="E92" s="108"/>
      <c r="F92" s="108"/>
      <c r="G92" s="108"/>
      <c r="H92" s="108"/>
      <c r="I92" s="108"/>
      <c r="J92" s="14"/>
      <c r="K92" s="108"/>
      <c r="L92" s="108"/>
      <c r="M92" s="108"/>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row>
  </sheetData>
  <phoneticPr fontId="30" type="noConversion"/>
  <conditionalFormatting sqref="H78:H86">
    <cfRule type="cellIs" dxfId="1014" priority="2" operator="notEqual">
      <formula>0</formula>
    </cfRule>
  </conditionalFormatting>
  <conditionalFormatting sqref="I31:I32">
    <cfRule type="cellIs" dxfId="1013" priority="1" operator="greaterThan">
      <formula>12</formula>
    </cfRule>
  </conditionalFormatting>
  <conditionalFormatting sqref="I35">
    <cfRule type="containsText" dxfId="1012" priority="3" operator="containsText" text="OFF">
      <formula>NOT(ISERROR(SEARCH("OFF",I35)))</formula>
    </cfRule>
    <cfRule type="containsText" dxfId="1011" priority="4" operator="containsText" text="ON">
      <formula>NOT(ISERROR(SEARCH("ON",I35)))</formula>
    </cfRule>
  </conditionalFormatting>
  <conditionalFormatting sqref="J27:N27">
    <cfRule type="cellIs" dxfId="1010" priority="7" operator="equal">
      <formula>"Error"</formula>
    </cfRule>
    <cfRule type="cellIs" dxfId="1009" priority="8" operator="equal">
      <formula>"OK"</formula>
    </cfRule>
  </conditionalFormatting>
  <conditionalFormatting sqref="M20:N20">
    <cfRule type="cellIs" dxfId="1008" priority="9" operator="equal">
      <formula>"Error"</formula>
    </cfRule>
    <cfRule type="cellIs" dxfId="1007" priority="10" operator="equal">
      <formula>"OK"</formula>
    </cfRule>
  </conditionalFormatting>
  <hyperlinks>
    <hyperlink ref="AM86" location="Cover!A1" display="Go to Results" xr:uid="{1EE673F6-2111-459B-9D78-CC5D6FD5801F}"/>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4C17BF60-0C16-4328-A80E-7FF7CDAF6E9C}">
          <x14:formula1>
            <xm:f>'Control panel'!$D$9:$D$11</xm:f>
          </x14:formula1>
          <xm:sqref>I42 I71 I52 I62</xm:sqref>
        </x14:dataValidation>
        <x14:dataValidation type="list" allowBlank="1" showInputMessage="1" showErrorMessage="1" xr:uid="{2D0968B0-6DF9-44AE-BAEB-DF893B29BDA2}">
          <x14:formula1>
            <xm:f>'Control panel'!$C$9:$C$11</xm:f>
          </x14:formula1>
          <xm:sqref>I43 I72 I53 I63</xm:sqref>
        </x14:dataValidation>
        <x14:dataValidation type="list" allowBlank="1" showInputMessage="1" showErrorMessage="1" xr:uid="{8D8E48B8-F84C-4E78-ABE9-BC2623236E49}">
          <x14:formula1>
            <xm:f>'Control panel'!$F$9:$F$11</xm:f>
          </x14:formula1>
          <xm:sqref>I33</xm:sqref>
        </x14:dataValidation>
        <x14:dataValidation type="list" allowBlank="1" showInputMessage="1" showErrorMessage="1" xr:uid="{1EE34869-690D-4A6A-A91E-B476A8BC0B74}">
          <x14:formula1>
            <xm:f>'Control panel'!$G$9:$G$10</xm:f>
          </x14:formula1>
          <xm:sqref>I34</xm:sqref>
        </x14:dataValidation>
        <x14:dataValidation type="list" allowBlank="1" showInputMessage="1" showErrorMessage="1" xr:uid="{D04854B4-DE36-47C3-A471-25CFF9AB4674}">
          <x14:formula1>
            <xm:f>'Control panel'!$H$9:$H$10</xm:f>
          </x14:formula1>
          <xm:sqref>I35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6370-AF6C-4607-8940-49F6D488727B}">
  <sheetPr codeName="Sheet5">
    <tabColor theme="9" tint="0.79998168889431442"/>
  </sheetPr>
  <dimension ref="B1:O119"/>
  <sheetViews>
    <sheetView zoomScale="70" zoomScaleNormal="70" workbookViewId="0">
      <selection activeCell="G20" sqref="G20"/>
    </sheetView>
  </sheetViews>
  <sheetFormatPr defaultColWidth="9.140625" defaultRowHeight="15" x14ac:dyDescent="0.25"/>
  <cols>
    <col min="1" max="2" width="9.140625" style="94"/>
    <col min="3" max="3" width="48.85546875" style="94" customWidth="1"/>
    <col min="4" max="12" width="24.140625" style="94" customWidth="1"/>
    <col min="13" max="13" width="16.140625" style="94" bestFit="1" customWidth="1"/>
    <col min="14" max="16384" width="9.140625" style="94"/>
  </cols>
  <sheetData>
    <row r="1" spans="2:15" x14ac:dyDescent="0.25">
      <c r="B1" s="14"/>
      <c r="C1" s="14"/>
      <c r="D1" s="14"/>
      <c r="E1" s="14"/>
      <c r="F1" s="14"/>
      <c r="G1" s="14"/>
      <c r="H1" s="14"/>
      <c r="I1" s="14"/>
      <c r="J1" s="14"/>
      <c r="K1" s="14"/>
      <c r="L1" s="14"/>
      <c r="M1" s="14"/>
      <c r="N1" s="14"/>
      <c r="O1" s="14"/>
    </row>
    <row r="2" spans="2:15" x14ac:dyDescent="0.25">
      <c r="B2" s="14"/>
      <c r="C2" s="144" t="s">
        <v>40</v>
      </c>
      <c r="D2" s="14"/>
      <c r="E2" s="14"/>
      <c r="F2" s="14"/>
      <c r="G2" s="14"/>
      <c r="H2" s="14"/>
      <c r="I2" s="14"/>
      <c r="J2" s="14"/>
      <c r="K2" s="14"/>
      <c r="L2" s="14"/>
      <c r="M2" s="14"/>
      <c r="N2" s="14"/>
      <c r="O2" s="14"/>
    </row>
    <row r="3" spans="2:15" x14ac:dyDescent="0.25">
      <c r="B3" s="14"/>
      <c r="C3" s="14"/>
      <c r="D3" s="14"/>
      <c r="E3" s="14"/>
      <c r="F3" s="14"/>
      <c r="G3" s="14"/>
      <c r="H3" s="14"/>
      <c r="I3" s="14"/>
      <c r="J3" s="14"/>
      <c r="K3" s="14"/>
      <c r="L3" s="14"/>
      <c r="M3" s="14"/>
      <c r="N3" s="14"/>
      <c r="O3" s="14"/>
    </row>
    <row r="4" spans="2:15" x14ac:dyDescent="0.25">
      <c r="B4" s="14"/>
      <c r="C4" s="14"/>
      <c r="D4" s="15"/>
      <c r="E4" s="15"/>
      <c r="F4" s="21"/>
      <c r="G4" s="15"/>
      <c r="H4" s="15"/>
      <c r="I4" s="15"/>
      <c r="J4" s="15"/>
      <c r="K4" s="15"/>
      <c r="L4" s="15"/>
      <c r="M4" s="79"/>
      <c r="N4" s="14"/>
      <c r="O4" s="14"/>
    </row>
    <row r="5" spans="2:15" x14ac:dyDescent="0.25">
      <c r="B5" s="2"/>
      <c r="C5" s="24" t="s">
        <v>98</v>
      </c>
      <c r="D5" s="26"/>
      <c r="E5" s="26"/>
      <c r="F5" s="26"/>
      <c r="G5" s="26"/>
      <c r="H5" s="26"/>
      <c r="I5" s="26"/>
      <c r="J5" s="26"/>
      <c r="K5" s="26"/>
      <c r="L5" s="26"/>
      <c r="M5" s="26"/>
      <c r="N5" s="26"/>
      <c r="O5" s="26"/>
    </row>
    <row r="6" spans="2:15" x14ac:dyDescent="0.25">
      <c r="B6" s="96"/>
      <c r="C6" s="14"/>
      <c r="D6" s="14"/>
      <c r="E6" s="14"/>
      <c r="F6" s="14"/>
      <c r="G6" s="14"/>
      <c r="H6" s="14"/>
      <c r="I6" s="14"/>
      <c r="J6" s="14"/>
      <c r="K6" s="14"/>
      <c r="L6" s="14"/>
      <c r="M6" s="14"/>
      <c r="N6" s="14"/>
      <c r="O6" s="14"/>
    </row>
    <row r="7" spans="2:15" x14ac:dyDescent="0.25">
      <c r="B7" s="14"/>
      <c r="C7" s="37" t="s">
        <v>147</v>
      </c>
      <c r="D7" s="40"/>
      <c r="E7" s="14"/>
      <c r="F7" s="14"/>
      <c r="G7" s="14"/>
      <c r="H7" s="14"/>
      <c r="I7" s="14"/>
      <c r="J7" s="14"/>
      <c r="K7" s="14"/>
      <c r="L7" s="14"/>
      <c r="M7" s="14"/>
      <c r="N7" s="14"/>
      <c r="O7" s="14"/>
    </row>
    <row r="8" spans="2:15" x14ac:dyDescent="0.25">
      <c r="B8" s="14"/>
      <c r="C8" s="143" t="s">
        <v>148</v>
      </c>
      <c r="D8" s="143" t="s">
        <v>117</v>
      </c>
      <c r="E8" s="143" t="s">
        <v>149</v>
      </c>
      <c r="F8" s="143" t="s">
        <v>104</v>
      </c>
      <c r="G8" s="143" t="s">
        <v>106</v>
      </c>
      <c r="H8" s="143" t="s">
        <v>150</v>
      </c>
      <c r="I8" s="14"/>
      <c r="J8" s="14"/>
      <c r="K8" s="14"/>
      <c r="L8" s="14"/>
      <c r="M8" s="14"/>
      <c r="N8" s="14"/>
      <c r="O8" s="14"/>
    </row>
    <row r="9" spans="2:15" x14ac:dyDescent="0.25">
      <c r="B9" s="14"/>
      <c r="C9" s="14" t="s">
        <v>120</v>
      </c>
      <c r="D9" s="14" t="s">
        <v>118</v>
      </c>
      <c r="E9" s="14" t="s">
        <v>151</v>
      </c>
      <c r="F9" s="14" t="s">
        <v>152</v>
      </c>
      <c r="G9" s="14" t="s">
        <v>656</v>
      </c>
      <c r="H9" s="14" t="s">
        <v>108</v>
      </c>
      <c r="I9" s="14"/>
      <c r="J9" s="14"/>
      <c r="K9" s="14"/>
      <c r="L9" s="14"/>
      <c r="M9" s="14"/>
      <c r="N9" s="14"/>
      <c r="O9" s="14"/>
    </row>
    <row r="10" spans="2:15" x14ac:dyDescent="0.25">
      <c r="B10" s="14"/>
      <c r="C10" s="14" t="s">
        <v>124</v>
      </c>
      <c r="D10" s="14" t="s">
        <v>122</v>
      </c>
      <c r="E10" s="14" t="s">
        <v>154</v>
      </c>
      <c r="F10" s="14" t="s">
        <v>105</v>
      </c>
      <c r="G10" s="14" t="s">
        <v>657</v>
      </c>
      <c r="H10" s="14" t="s">
        <v>155</v>
      </c>
      <c r="I10" s="14"/>
      <c r="J10" s="14"/>
      <c r="K10" s="14"/>
      <c r="L10" s="14"/>
      <c r="M10" s="14"/>
      <c r="N10" s="14"/>
      <c r="O10" s="14"/>
    </row>
    <row r="11" spans="2:15" x14ac:dyDescent="0.25">
      <c r="B11" s="14"/>
      <c r="C11" s="14" t="s">
        <v>126</v>
      </c>
      <c r="D11" s="14" t="s">
        <v>156</v>
      </c>
      <c r="E11" s="14" t="s">
        <v>157</v>
      </c>
      <c r="F11" s="14" t="s">
        <v>153</v>
      </c>
      <c r="G11" s="14"/>
      <c r="H11" s="14"/>
      <c r="I11" s="14"/>
      <c r="J11" s="14"/>
      <c r="K11" s="14"/>
      <c r="L11" s="14"/>
      <c r="M11" s="14"/>
      <c r="N11" s="14"/>
      <c r="O11" s="14"/>
    </row>
    <row r="12" spans="2:15" x14ac:dyDescent="0.25">
      <c r="B12" s="14"/>
      <c r="C12" s="14"/>
      <c r="D12" s="14"/>
      <c r="E12" s="14"/>
      <c r="F12" s="14"/>
      <c r="G12" s="14"/>
      <c r="H12" s="14"/>
      <c r="I12" s="14"/>
      <c r="J12" s="14"/>
      <c r="K12" s="14"/>
      <c r="L12" s="14"/>
      <c r="M12" s="14"/>
      <c r="N12" s="14"/>
      <c r="O12" s="14"/>
    </row>
    <row r="13" spans="2:15" x14ac:dyDescent="0.25">
      <c r="B13" s="14"/>
      <c r="C13" s="14"/>
      <c r="D13" s="14"/>
      <c r="E13" s="14"/>
      <c r="F13" s="14"/>
      <c r="G13" s="14"/>
      <c r="H13" s="14"/>
      <c r="I13" s="14"/>
      <c r="J13" s="14"/>
      <c r="K13" s="14"/>
      <c r="L13" s="14"/>
      <c r="M13" s="14"/>
      <c r="N13" s="14"/>
      <c r="O13" s="14"/>
    </row>
    <row r="14" spans="2:15" x14ac:dyDescent="0.25">
      <c r="B14" s="14"/>
      <c r="C14" s="20"/>
      <c r="D14" s="15"/>
      <c r="E14" s="15"/>
      <c r="F14" s="14"/>
      <c r="G14" s="14"/>
      <c r="H14" s="14"/>
      <c r="I14" s="14"/>
      <c r="J14" s="14"/>
      <c r="K14" s="14"/>
      <c r="L14" s="14"/>
      <c r="M14" s="14"/>
      <c r="N14" s="14"/>
      <c r="O14" s="14"/>
    </row>
    <row r="15" spans="2:15" x14ac:dyDescent="0.25">
      <c r="B15" s="14"/>
      <c r="C15" s="37" t="s">
        <v>158</v>
      </c>
      <c r="D15" s="40"/>
      <c r="E15" s="40"/>
      <c r="F15" s="14"/>
      <c r="G15" s="14"/>
      <c r="H15" s="14"/>
      <c r="I15" s="14"/>
      <c r="J15" s="14"/>
      <c r="K15" s="14"/>
      <c r="L15" s="14"/>
      <c r="M15" s="14"/>
      <c r="N15" s="14"/>
      <c r="O15" s="14"/>
    </row>
    <row r="16" spans="2:15" x14ac:dyDescent="0.25">
      <c r="B16" s="14"/>
      <c r="C16" s="20" t="s">
        <v>159</v>
      </c>
      <c r="D16" s="20" t="s">
        <v>110</v>
      </c>
      <c r="E16" s="123" t="str">
        <f>Data!B80</f>
        <v>Diesel/RE Diesel/H2 Blending</v>
      </c>
      <c r="F16" s="21" t="str">
        <f>Data!B85</f>
        <v>BEB/Repowered/Hydrogen</v>
      </c>
      <c r="G16" s="21"/>
      <c r="H16" s="14"/>
      <c r="I16" s="14"/>
      <c r="J16" s="14"/>
      <c r="K16" s="20"/>
      <c r="L16" s="14"/>
      <c r="M16" s="14"/>
      <c r="N16" s="14"/>
      <c r="O16" s="20"/>
    </row>
    <row r="17" spans="2:15" x14ac:dyDescent="0.25">
      <c r="B17" s="14"/>
      <c r="C17" s="14" t="s">
        <v>118</v>
      </c>
      <c r="D17" s="304" t="s">
        <v>160</v>
      </c>
      <c r="E17" s="308">
        <f>Data!E81</f>
        <v>0</v>
      </c>
      <c r="F17" s="175">
        <v>0</v>
      </c>
      <c r="G17" s="15"/>
      <c r="H17" s="14"/>
      <c r="I17" s="14"/>
      <c r="J17" s="14"/>
      <c r="K17" s="14"/>
      <c r="L17" s="14"/>
      <c r="M17" s="14"/>
      <c r="N17" s="14"/>
      <c r="O17" s="14"/>
    </row>
    <row r="18" spans="2:15" x14ac:dyDescent="0.25">
      <c r="B18" s="14"/>
      <c r="C18" s="14" t="s">
        <v>122</v>
      </c>
      <c r="D18" s="304" t="s">
        <v>160</v>
      </c>
      <c r="E18" s="175">
        <f>'Bus research'!T102</f>
        <v>0.62137817963019071</v>
      </c>
      <c r="F18" s="175">
        <v>7.0000000000000007E-2</v>
      </c>
      <c r="G18" s="145"/>
      <c r="H18" s="14"/>
      <c r="I18" s="14"/>
      <c r="J18" s="14"/>
      <c r="K18" s="14"/>
      <c r="L18" s="14"/>
      <c r="M18" s="14"/>
      <c r="N18" s="14"/>
      <c r="O18" s="14"/>
    </row>
    <row r="19" spans="2:15" x14ac:dyDescent="0.25">
      <c r="B19" s="14"/>
      <c r="C19" s="14" t="s">
        <v>156</v>
      </c>
      <c r="D19" s="304" t="s">
        <v>160</v>
      </c>
      <c r="E19" s="175">
        <f>'Bus research'!T91</f>
        <v>2.0035308778415004</v>
      </c>
      <c r="F19" s="175">
        <v>0.15</v>
      </c>
      <c r="G19" s="15"/>
      <c r="H19" s="14"/>
      <c r="I19" s="14"/>
      <c r="J19" s="14"/>
      <c r="K19" s="14"/>
      <c r="L19" s="14"/>
      <c r="M19" s="14"/>
      <c r="N19" s="14"/>
      <c r="O19" s="14"/>
    </row>
    <row r="20" spans="2:15" x14ac:dyDescent="0.25">
      <c r="B20" s="14"/>
      <c r="C20" s="15"/>
      <c r="D20" s="15"/>
      <c r="E20" s="15"/>
      <c r="F20" s="15"/>
      <c r="G20" s="15"/>
      <c r="H20" s="14"/>
      <c r="I20" s="14"/>
      <c r="J20" s="14"/>
      <c r="K20" s="14"/>
      <c r="L20" s="14"/>
      <c r="M20" s="14"/>
      <c r="N20" s="14"/>
      <c r="O20" s="14"/>
    </row>
    <row r="21" spans="2:15" x14ac:dyDescent="0.25">
      <c r="B21" s="14"/>
      <c r="C21" s="20"/>
      <c r="D21" s="15"/>
      <c r="E21" s="15"/>
      <c r="F21" s="15"/>
      <c r="G21" s="15"/>
      <c r="H21" s="14"/>
      <c r="I21" s="14"/>
      <c r="J21" s="14"/>
      <c r="K21" s="14"/>
      <c r="L21" s="14"/>
      <c r="M21" s="14"/>
      <c r="N21" s="14"/>
      <c r="O21" s="14"/>
    </row>
    <row r="22" spans="2:15" x14ac:dyDescent="0.25">
      <c r="B22" s="14"/>
      <c r="C22" s="37" t="s">
        <v>161</v>
      </c>
      <c r="D22" s="40"/>
      <c r="E22" s="40"/>
      <c r="F22" s="40"/>
      <c r="G22" s="14"/>
      <c r="H22" s="14"/>
      <c r="I22" s="14"/>
      <c r="J22" s="14"/>
      <c r="K22" s="14"/>
      <c r="L22" s="14"/>
      <c r="M22" s="14"/>
      <c r="N22" s="14"/>
      <c r="O22" s="14"/>
    </row>
    <row r="23" spans="2:15" ht="30" x14ac:dyDescent="0.25">
      <c r="B23" s="14"/>
      <c r="C23" s="20" t="s">
        <v>148</v>
      </c>
      <c r="D23" s="501" t="s">
        <v>162</v>
      </c>
      <c r="E23" s="502" t="s">
        <v>163</v>
      </c>
      <c r="F23" s="14"/>
      <c r="G23" s="14"/>
      <c r="H23" s="14"/>
      <c r="I23" s="14"/>
      <c r="J23" s="14"/>
      <c r="K23" s="14"/>
      <c r="L23" s="14"/>
      <c r="M23" s="14"/>
      <c r="N23" s="14"/>
      <c r="O23" s="14"/>
    </row>
    <row r="24" spans="2:15" x14ac:dyDescent="0.25">
      <c r="B24" s="14"/>
      <c r="C24" s="14" t="s">
        <v>120</v>
      </c>
      <c r="D24" s="273">
        <v>4.7456240676165873</v>
      </c>
      <c r="E24" s="14">
        <v>6.9</v>
      </c>
      <c r="F24" s="14"/>
      <c r="G24" s="14"/>
      <c r="H24" s="14"/>
      <c r="I24" s="14"/>
      <c r="J24" s="14"/>
      <c r="K24" s="14"/>
      <c r="L24" s="14"/>
      <c r="M24" s="14"/>
      <c r="N24" s="14"/>
      <c r="O24" s="14"/>
    </row>
    <row r="25" spans="2:15" x14ac:dyDescent="0.25">
      <c r="B25" s="14"/>
      <c r="C25" s="14" t="s">
        <v>124</v>
      </c>
      <c r="D25" s="273">
        <v>5.8682582167401822</v>
      </c>
      <c r="E25" s="202">
        <v>6.0450381628346816</v>
      </c>
      <c r="F25" s="14"/>
      <c r="G25" s="14"/>
      <c r="H25" s="14"/>
      <c r="I25" s="14"/>
      <c r="J25" s="14"/>
      <c r="K25" s="14"/>
      <c r="L25" s="14"/>
      <c r="M25" s="14"/>
      <c r="N25" s="14"/>
      <c r="O25" s="14"/>
    </row>
    <row r="26" spans="2:15" x14ac:dyDescent="0.25">
      <c r="B26" s="14"/>
      <c r="C26" s="14" t="s">
        <v>126</v>
      </c>
      <c r="D26" s="273">
        <v>5.7326023724922752</v>
      </c>
      <c r="E26" s="14">
        <v>14.26</v>
      </c>
      <c r="F26" s="14"/>
      <c r="G26" s="14"/>
      <c r="H26" s="14"/>
      <c r="I26" s="14"/>
      <c r="J26" s="14"/>
      <c r="K26" s="14"/>
      <c r="L26" s="14"/>
      <c r="M26" s="14"/>
      <c r="N26" s="14"/>
      <c r="O26" s="14"/>
    </row>
    <row r="27" spans="2:15" x14ac:dyDescent="0.25">
      <c r="B27" s="14"/>
      <c r="C27" s="14"/>
      <c r="D27" s="273"/>
      <c r="E27" s="273"/>
      <c r="F27" s="14"/>
      <c r="G27" s="14"/>
      <c r="H27" s="14"/>
      <c r="I27" s="14"/>
      <c r="J27" s="14"/>
      <c r="K27" s="14"/>
      <c r="L27" s="14"/>
      <c r="M27" s="14"/>
      <c r="N27" s="14"/>
      <c r="O27" s="14"/>
    </row>
    <row r="28" spans="2:15" x14ac:dyDescent="0.25">
      <c r="B28" s="14"/>
      <c r="C28" s="37" t="s">
        <v>106</v>
      </c>
      <c r="D28" s="37" t="s">
        <v>106</v>
      </c>
      <c r="E28" s="37" t="s">
        <v>106</v>
      </c>
      <c r="F28" s="14"/>
      <c r="G28" s="14"/>
      <c r="H28" s="14"/>
      <c r="I28" s="14"/>
      <c r="J28" s="14"/>
      <c r="K28" s="14"/>
      <c r="L28" s="14"/>
      <c r="M28" s="14"/>
      <c r="N28" s="14"/>
      <c r="O28" s="14"/>
    </row>
    <row r="29" spans="2:15" x14ac:dyDescent="0.25">
      <c r="B29" s="14"/>
      <c r="C29" s="20" t="s">
        <v>164</v>
      </c>
      <c r="D29" s="20" t="s">
        <v>165</v>
      </c>
      <c r="E29" s="123" t="s">
        <v>166</v>
      </c>
      <c r="F29" s="14"/>
      <c r="G29" s="14"/>
      <c r="H29" s="14"/>
      <c r="I29" s="14"/>
      <c r="J29" s="14"/>
      <c r="K29" s="14"/>
      <c r="L29" s="14"/>
      <c r="M29" s="14"/>
      <c r="N29" s="14"/>
      <c r="O29" s="14"/>
    </row>
    <row r="30" spans="2:15" x14ac:dyDescent="0.25">
      <c r="B30" s="14"/>
      <c r="C30" s="14" t="s">
        <v>656</v>
      </c>
      <c r="D30" s="304" t="s">
        <v>167</v>
      </c>
      <c r="E30" s="56">
        <f>Data!E24*(1+Data!E31)</f>
        <v>371001.88764044945</v>
      </c>
      <c r="F30" s="14"/>
      <c r="G30" s="14"/>
      <c r="H30" s="14"/>
      <c r="I30" s="14"/>
      <c r="J30" s="14"/>
      <c r="K30" s="14"/>
      <c r="L30" s="14"/>
      <c r="M30" s="14"/>
      <c r="N30" s="14"/>
      <c r="O30" s="14"/>
    </row>
    <row r="31" spans="2:15" x14ac:dyDescent="0.25">
      <c r="B31" s="14"/>
      <c r="C31" s="14" t="s">
        <v>657</v>
      </c>
      <c r="D31" s="304" t="s">
        <v>167</v>
      </c>
      <c r="E31" s="56">
        <f>Data!E25*(1+Data!E32)</f>
        <v>19910.646000000001</v>
      </c>
      <c r="F31" s="14"/>
      <c r="G31" s="14"/>
      <c r="H31" s="14"/>
      <c r="I31" s="14"/>
      <c r="J31" s="14"/>
      <c r="K31" s="14"/>
      <c r="L31" s="14"/>
      <c r="M31" s="14"/>
      <c r="N31" s="14"/>
      <c r="O31" s="14"/>
    </row>
    <row r="32" spans="2:15" x14ac:dyDescent="0.25">
      <c r="B32" s="14"/>
      <c r="C32" s="14"/>
      <c r="D32" s="14"/>
      <c r="E32" s="14"/>
      <c r="F32" s="63"/>
      <c r="G32" s="14"/>
      <c r="H32" s="14"/>
      <c r="I32" s="14"/>
      <c r="J32" s="14"/>
      <c r="K32" s="14"/>
      <c r="L32" s="14"/>
      <c r="M32" s="14"/>
      <c r="N32" s="14"/>
      <c r="O32" s="14"/>
    </row>
    <row r="33" spans="2:15" x14ac:dyDescent="0.25">
      <c r="B33" s="2"/>
      <c r="C33" s="24" t="s">
        <v>168</v>
      </c>
      <c r="D33" s="26"/>
      <c r="E33" s="26"/>
      <c r="F33" s="26"/>
      <c r="G33" s="26"/>
      <c r="H33" s="26"/>
      <c r="I33" s="26"/>
      <c r="J33" s="26"/>
      <c r="K33" s="26"/>
      <c r="L33" s="26"/>
      <c r="M33" s="26"/>
      <c r="N33" s="26"/>
      <c r="O33" s="26"/>
    </row>
    <row r="34" spans="2:15" x14ac:dyDescent="0.25">
      <c r="B34" s="14"/>
      <c r="C34" s="14"/>
      <c r="D34" s="15"/>
      <c r="E34" s="15"/>
      <c r="F34" s="15"/>
      <c r="G34" s="15"/>
      <c r="H34" s="14"/>
      <c r="I34" s="14"/>
      <c r="J34" s="14"/>
      <c r="K34" s="14"/>
      <c r="L34" s="14"/>
      <c r="M34" s="14"/>
      <c r="N34" s="14"/>
      <c r="O34" s="14"/>
    </row>
    <row r="35" spans="2:15" x14ac:dyDescent="0.25">
      <c r="B35" s="14"/>
      <c r="C35" s="14"/>
      <c r="D35" s="15"/>
      <c r="E35" s="15"/>
      <c r="F35" s="15"/>
      <c r="G35" s="15"/>
      <c r="H35" s="14"/>
      <c r="I35" s="14"/>
      <c r="J35" s="14"/>
      <c r="K35" s="14"/>
      <c r="L35" s="14"/>
      <c r="M35" s="14"/>
      <c r="N35" s="14"/>
      <c r="O35" s="14"/>
    </row>
    <row r="36" spans="2:15" x14ac:dyDescent="0.25">
      <c r="B36" s="14"/>
      <c r="C36" s="37" t="s">
        <v>169</v>
      </c>
      <c r="D36" s="37"/>
      <c r="E36" s="37"/>
      <c r="F36" s="37"/>
      <c r="G36" s="37"/>
      <c r="H36" s="37"/>
      <c r="I36" s="37"/>
      <c r="J36" s="37"/>
      <c r="K36" s="37"/>
      <c r="L36" s="37"/>
      <c r="M36" s="14"/>
      <c r="N36" s="14"/>
      <c r="O36" s="14"/>
    </row>
    <row r="37" spans="2:15" x14ac:dyDescent="0.25">
      <c r="B37" s="14"/>
      <c r="C37" s="14"/>
      <c r="D37" s="15"/>
      <c r="E37" s="15"/>
      <c r="F37" s="15"/>
      <c r="G37" s="115" t="s">
        <v>170</v>
      </c>
      <c r="H37" s="14"/>
      <c r="I37" s="14"/>
      <c r="J37" s="14"/>
      <c r="K37" s="14"/>
      <c r="L37" s="14"/>
      <c r="M37" s="14"/>
      <c r="N37" s="14"/>
      <c r="O37" s="14"/>
    </row>
    <row r="38" spans="2:15" x14ac:dyDescent="0.25">
      <c r="B38" s="14"/>
      <c r="C38" s="14" t="s">
        <v>171</v>
      </c>
      <c r="D38" s="294"/>
      <c r="E38" s="294"/>
      <c r="F38" s="296"/>
      <c r="G38" s="293" t="s">
        <v>172</v>
      </c>
      <c r="H38" s="293" t="s">
        <v>173</v>
      </c>
      <c r="I38" s="293" t="s">
        <v>174</v>
      </c>
      <c r="J38" s="293" t="s">
        <v>175</v>
      </c>
      <c r="K38" s="288"/>
      <c r="L38" s="14"/>
      <c r="M38" s="14"/>
      <c r="N38" s="14"/>
      <c r="O38" s="14"/>
    </row>
    <row r="39" spans="2:15" x14ac:dyDescent="0.25">
      <c r="B39" s="14"/>
      <c r="C39" s="143" t="s">
        <v>148</v>
      </c>
      <c r="D39" s="280" t="s">
        <v>120</v>
      </c>
      <c r="E39" s="280" t="s">
        <v>124</v>
      </c>
      <c r="F39" s="254" t="s">
        <v>126</v>
      </c>
      <c r="G39" s="295" t="str">
        <f>Dashboard!I43</f>
        <v>2 Axle rigid</v>
      </c>
      <c r="H39" s="295" t="str">
        <f>Dashboard!I53</f>
        <v>3 Axle rigid</v>
      </c>
      <c r="I39" s="295" t="str">
        <f>Dashboard!I63</f>
        <v>3 Axle Double Decker Bus</v>
      </c>
      <c r="J39" s="295" t="str">
        <f>Dashboard!I72</f>
        <v>2 Axle rigid</v>
      </c>
      <c r="K39" s="288"/>
      <c r="L39" s="14"/>
      <c r="M39" s="14"/>
      <c r="N39" s="14"/>
      <c r="O39" s="14"/>
    </row>
    <row r="40" spans="2:15" x14ac:dyDescent="0.25">
      <c r="B40" s="14"/>
      <c r="C40" s="291" t="s">
        <v>176</v>
      </c>
      <c r="D40" s="301">
        <v>0</v>
      </c>
      <c r="E40" s="288" cm="1">
        <f t="array" ref="E40:E47">TRANSPOSE('Bus research'!U150:AB150)</f>
        <v>0.18661988692310205</v>
      </c>
      <c r="F40" s="289" cm="1">
        <f t="array" ref="F40:F47">TRANSPOSE('Bus research'!U150:AB150)</f>
        <v>0.18661988692310205</v>
      </c>
      <c r="G40" s="300" cm="1">
        <f t="array" ref="G40">_xlfn.IFS($G$39=$D$39,$D$40,$G$39=$E$39,E40,$G$39=$F$39,F40)</f>
        <v>0</v>
      </c>
      <c r="H40" s="300" cm="1">
        <f t="array" ref="H40">_xlfn.IFS($H$39=$D$39,$D$40,$H$39=$E$39,E40,$H$39=$F$39,F40)</f>
        <v>0.18661988692310205</v>
      </c>
      <c r="I40" s="300" cm="1">
        <f t="array" ref="I40">_xlfn.IFS($I$39=$D$39,$D$40,$I$39=$E$39,E40,$I$39=$F$39,F40)</f>
        <v>0.18661988692310205</v>
      </c>
      <c r="J40" s="300" cm="1">
        <f t="array" ref="J40">_xlfn.IFS($J$39=$D$39,$D$40,$J$39=$E$39,E40,$J$39=$F$39,F40)</f>
        <v>0</v>
      </c>
      <c r="K40" s="288"/>
      <c r="L40" s="14"/>
      <c r="M40" s="14"/>
      <c r="N40" s="14"/>
      <c r="O40" s="14"/>
    </row>
    <row r="41" spans="2:15" x14ac:dyDescent="0.25">
      <c r="B41" s="14"/>
      <c r="C41" s="291" t="s">
        <v>177</v>
      </c>
      <c r="D41" s="301">
        <v>0</v>
      </c>
      <c r="E41" s="288">
        <v>0.32206249055568559</v>
      </c>
      <c r="F41" s="289">
        <v>0.32206249055568559</v>
      </c>
      <c r="G41" s="300" cm="1">
        <f t="array" ref="G41">_xlfn.IFS($G$39=$D$39,$D$40,$G$39=$E$39,E41,$G$39=$F$39,F41)</f>
        <v>0</v>
      </c>
      <c r="H41" s="300" cm="1">
        <f t="array" ref="H41">_xlfn.IFS($H$39=$D$39,$D$40,$H$39=$E$39,E41,$H$39=$F$39,F41)</f>
        <v>0.32206249055568559</v>
      </c>
      <c r="I41" s="300" cm="1">
        <f t="array" ref="I41">_xlfn.IFS($I$39=$D$39,$D$40,$I$39=$E$39,E41,$I$39=$F$39,F41)</f>
        <v>0.32206249055568559</v>
      </c>
      <c r="J41" s="300" cm="1">
        <f t="array" ref="J41">_xlfn.IFS($J$39=$D$39,$D$40,$J$39=$E$39,E41,$J$39=$F$39,F41)</f>
        <v>0</v>
      </c>
      <c r="K41" s="288"/>
      <c r="L41" s="14"/>
      <c r="M41" s="14"/>
      <c r="N41" s="14"/>
      <c r="O41" s="14"/>
    </row>
    <row r="42" spans="2:15" x14ac:dyDescent="0.25">
      <c r="B42" s="14"/>
      <c r="C42" s="291" t="s">
        <v>178</v>
      </c>
      <c r="D42" s="301">
        <v>0</v>
      </c>
      <c r="E42" s="288">
        <v>0.78390966771278126</v>
      </c>
      <c r="F42" s="289">
        <v>0.78390966771278126</v>
      </c>
      <c r="G42" s="300" cm="1">
        <f t="array" ref="G42">_xlfn.IFS($G$39=$D$39,$D$40,$G$39=$E$39,E42,$G$39=$F$39,F42)</f>
        <v>0</v>
      </c>
      <c r="H42" s="300" cm="1">
        <f t="array" ref="H42">_xlfn.IFS($H$39=$D$39,$D$40,$H$39=$E$39,E42,$H$39=$F$39,F42)</f>
        <v>0.78390966771278126</v>
      </c>
      <c r="I42" s="300" cm="1">
        <f t="array" ref="I42">_xlfn.IFS($I$39=$D$39,$D$40,$I$39=$E$39,E42,$I$39=$F$39,F42)</f>
        <v>0.78390966771278126</v>
      </c>
      <c r="J42" s="300" cm="1">
        <f t="array" ref="J42">_xlfn.IFS($J$39=$D$39,$D$40,$J$39=$E$39,E42,$J$39=$F$39,F42)</f>
        <v>0</v>
      </c>
      <c r="K42" s="288"/>
      <c r="L42" s="14"/>
      <c r="M42" s="14"/>
      <c r="N42" s="14"/>
      <c r="O42" s="14"/>
    </row>
    <row r="43" spans="2:15" x14ac:dyDescent="0.25">
      <c r="B43" s="14"/>
      <c r="C43" s="292" t="s">
        <v>179</v>
      </c>
      <c r="D43" s="301">
        <v>0</v>
      </c>
      <c r="E43" s="288">
        <v>0.35741396609112058</v>
      </c>
      <c r="F43" s="289">
        <v>0.35741396609112058</v>
      </c>
      <c r="G43" s="300" cm="1">
        <f t="array" ref="G43">_xlfn.IFS($G$39=$D$39,$D$40,$G$39=$E$39,E43,$G$39=$F$39,F43)</f>
        <v>0</v>
      </c>
      <c r="H43" s="300" cm="1">
        <f t="array" ref="H43">_xlfn.IFS($H$39=$D$39,$D$40,$H$39=$E$39,E43,$H$39=$F$39,F43)</f>
        <v>0.35741396609112058</v>
      </c>
      <c r="I43" s="300" cm="1">
        <f t="array" ref="I43">_xlfn.IFS($I$39=$D$39,$D$40,$I$39=$E$39,E43,$I$39=$F$39,F43)</f>
        <v>0.35741396609112058</v>
      </c>
      <c r="J43" s="300" cm="1">
        <f t="array" ref="J43">_xlfn.IFS($J$39=$D$39,$D$40,$J$39=$E$39,E43,$J$39=$F$39,F43)</f>
        <v>0</v>
      </c>
      <c r="K43" s="288"/>
      <c r="L43" s="14"/>
      <c r="M43" s="14"/>
      <c r="N43" s="14"/>
      <c r="O43" s="14"/>
    </row>
    <row r="44" spans="2:15" x14ac:dyDescent="0.25">
      <c r="B44" s="14"/>
      <c r="C44" s="292" t="s">
        <v>180</v>
      </c>
      <c r="D44" s="301">
        <v>0</v>
      </c>
      <c r="E44" s="288">
        <v>0.42989197369925347</v>
      </c>
      <c r="F44" s="289">
        <v>0.42989197369925347</v>
      </c>
      <c r="G44" s="300" cm="1">
        <f t="array" ref="G44">_xlfn.IFS($G$39=$D$39,$D$40,$G$39=$E$39,E44,$G$39=$F$39,F44)</f>
        <v>0</v>
      </c>
      <c r="H44" s="300" cm="1">
        <f t="array" ref="H44">_xlfn.IFS($H$39=$D$39,$D$40,$H$39=$E$39,E44,$H$39=$F$39,F44)</f>
        <v>0.42989197369925347</v>
      </c>
      <c r="I44" s="300" cm="1">
        <f t="array" ref="I44">_xlfn.IFS($I$39=$D$39,$D$40,$I$39=$E$39,E44,$I$39=$F$39,F44)</f>
        <v>0.42989197369925347</v>
      </c>
      <c r="J44" s="300" cm="1">
        <f t="array" ref="J44">_xlfn.IFS($J$39=$D$39,$D$40,$J$39=$E$39,E44,$J$39=$F$39,F44)</f>
        <v>0</v>
      </c>
      <c r="K44" s="288"/>
      <c r="L44" s="14"/>
      <c r="M44" s="14"/>
      <c r="N44" s="14"/>
      <c r="O44" s="14"/>
    </row>
    <row r="45" spans="2:15" x14ac:dyDescent="0.25">
      <c r="B45" s="14"/>
      <c r="C45" s="292" t="s">
        <v>181</v>
      </c>
      <c r="D45" s="301">
        <v>0</v>
      </c>
      <c r="E45" s="288">
        <v>0.45109917438965691</v>
      </c>
      <c r="F45" s="289">
        <v>0.45109917438965691</v>
      </c>
      <c r="G45" s="300" cm="1">
        <f t="array" ref="G45">_xlfn.IFS($G$39=$D$39,$D$40,$G$39=$E$39,E45,$G$39=$F$39,F45)</f>
        <v>0</v>
      </c>
      <c r="H45" s="300" cm="1">
        <f t="array" ref="H45">_xlfn.IFS($H$39=$D$39,$D$40,$H$39=$E$39,E45,$H$39=$F$39,F45)</f>
        <v>0.45109917438965691</v>
      </c>
      <c r="I45" s="300" cm="1">
        <f t="array" ref="I45">_xlfn.IFS($I$39=$D$39,$D$40,$I$39=$E$39,E45,$I$39=$F$39,F45)</f>
        <v>0.45109917438965691</v>
      </c>
      <c r="J45" s="300" cm="1">
        <f t="array" ref="J45">_xlfn.IFS($J$39=$D$39,$D$40,$J$39=$E$39,E45,$J$39=$F$39,F45)</f>
        <v>0</v>
      </c>
      <c r="K45" s="288"/>
      <c r="L45" s="14"/>
      <c r="M45" s="14"/>
      <c r="N45" s="14"/>
      <c r="O45" s="14"/>
    </row>
    <row r="46" spans="2:15" x14ac:dyDescent="0.25">
      <c r="B46" s="14"/>
      <c r="C46" s="292" t="s">
        <v>182</v>
      </c>
      <c r="D46" s="301">
        <v>0</v>
      </c>
      <c r="E46" s="288">
        <v>1.344971237561488</v>
      </c>
      <c r="F46" s="289">
        <v>1.344971237561488</v>
      </c>
      <c r="G46" s="300" cm="1">
        <f t="array" ref="G46">_xlfn.IFS($G$39=$D$39,$D$40,$G$39=$E$39,E46,$G$39=$F$39,F46)</f>
        <v>0</v>
      </c>
      <c r="H46" s="300" cm="1">
        <f t="array" ref="H46">_xlfn.IFS($H$39=$D$39,$D$40,$H$39=$E$39,E46,$H$39=$F$39,F46)</f>
        <v>1.344971237561488</v>
      </c>
      <c r="I46" s="300" cm="1">
        <f t="array" ref="I46">_xlfn.IFS($I$39=$D$39,$D$40,$I$39=$E$39,E46,$I$39=$F$39,F46)</f>
        <v>1.344971237561488</v>
      </c>
      <c r="J46" s="300" cm="1">
        <f t="array" ref="J46">_xlfn.IFS($J$39=$D$39,$D$40,$J$39=$E$39,E46,$J$39=$F$39,F46)</f>
        <v>0</v>
      </c>
      <c r="K46" s="288"/>
      <c r="L46" s="14"/>
      <c r="M46" s="14"/>
      <c r="N46" s="14"/>
      <c r="O46" s="14"/>
    </row>
    <row r="47" spans="2:15" x14ac:dyDescent="0.25">
      <c r="B47" s="14"/>
      <c r="C47" s="292" t="s">
        <v>183</v>
      </c>
      <c r="D47" s="301">
        <v>0</v>
      </c>
      <c r="E47" s="288">
        <v>0.32779771438934091</v>
      </c>
      <c r="F47" s="289">
        <v>0.32779771438934091</v>
      </c>
      <c r="G47" s="300" cm="1">
        <f t="array" ref="G47">_xlfn.IFS($G$39=$D$39,$D$40,$G$39=$E$39,E47,$G$39=$F$39,F47)</f>
        <v>0</v>
      </c>
      <c r="H47" s="300" cm="1">
        <f t="array" ref="H47">_xlfn.IFS($H$39=$D$39,$D$40,$H$39=$E$39,E47,$H$39=$F$39,F47)</f>
        <v>0.32779771438934091</v>
      </c>
      <c r="I47" s="300" cm="1">
        <f t="array" ref="I47">_xlfn.IFS($I$39=$D$39,$D$40,$I$39=$E$39,E47,$I$39=$F$39,F47)</f>
        <v>0.32779771438934091</v>
      </c>
      <c r="J47" s="300" cm="1">
        <f t="array" ref="J47">_xlfn.IFS($J$39=$D$39,$D$40,$J$39=$E$39,E47,$J$39=$F$39,F47)</f>
        <v>0</v>
      </c>
      <c r="K47" s="14"/>
      <c r="L47" s="14"/>
      <c r="M47" s="14"/>
      <c r="N47" s="14"/>
      <c r="O47" s="14"/>
    </row>
    <row r="48" spans="2:15" x14ac:dyDescent="0.25">
      <c r="B48" s="14"/>
      <c r="C48" s="95"/>
      <c r="D48" s="15"/>
      <c r="E48" s="15"/>
      <c r="F48" s="15"/>
      <c r="G48" s="15"/>
      <c r="H48" s="20"/>
      <c r="I48" s="14"/>
      <c r="J48" s="14"/>
      <c r="K48" s="14"/>
      <c r="L48" s="14"/>
      <c r="M48" s="14"/>
      <c r="N48" s="14"/>
      <c r="O48" s="14"/>
    </row>
    <row r="49" spans="2:15" x14ac:dyDescent="0.25">
      <c r="B49" s="14"/>
      <c r="C49" s="14"/>
      <c r="D49" s="15"/>
      <c r="E49" s="15"/>
      <c r="F49" s="15"/>
      <c r="G49" s="15"/>
      <c r="H49" s="14"/>
      <c r="I49" s="14"/>
      <c r="J49" s="14"/>
      <c r="K49" s="14"/>
      <c r="L49" s="14"/>
      <c r="M49" s="14"/>
      <c r="N49" s="14"/>
      <c r="O49" s="14"/>
    </row>
    <row r="50" spans="2:15" x14ac:dyDescent="0.25">
      <c r="B50" s="14"/>
      <c r="C50" s="37" t="s">
        <v>184</v>
      </c>
      <c r="D50" s="37"/>
      <c r="E50" s="37"/>
      <c r="F50" s="37"/>
      <c r="G50" s="37"/>
      <c r="H50" s="37"/>
      <c r="I50" s="37"/>
      <c r="J50" s="37"/>
      <c r="K50" s="37"/>
      <c r="L50" s="37"/>
      <c r="M50" s="14"/>
      <c r="N50" s="14"/>
      <c r="O50" s="14"/>
    </row>
    <row r="51" spans="2:15" x14ac:dyDescent="0.25">
      <c r="B51" s="14"/>
      <c r="C51" s="14"/>
      <c r="D51" s="15"/>
      <c r="E51" s="15"/>
      <c r="F51" s="15"/>
      <c r="G51" s="15"/>
      <c r="H51" s="14"/>
      <c r="I51" s="14"/>
      <c r="J51" s="14"/>
      <c r="K51" s="14"/>
      <c r="L51" s="14"/>
      <c r="M51" s="14"/>
      <c r="N51" s="14"/>
      <c r="O51" s="14"/>
    </row>
    <row r="52" spans="2:15" ht="15.75" x14ac:dyDescent="0.25">
      <c r="B52" s="14"/>
      <c r="C52" s="469" t="s">
        <v>185</v>
      </c>
      <c r="D52" s="14"/>
      <c r="E52" s="14"/>
      <c r="F52" s="14"/>
      <c r="G52" s="14"/>
      <c r="H52" s="14"/>
      <c r="I52" s="14"/>
      <c r="J52" s="14"/>
      <c r="K52" s="14"/>
      <c r="L52" s="14"/>
      <c r="M52" s="14"/>
      <c r="N52" s="14"/>
      <c r="O52" s="14"/>
    </row>
    <row r="53" spans="2:15" x14ac:dyDescent="0.25">
      <c r="B53" s="14"/>
      <c r="C53" s="254" t="s">
        <v>171</v>
      </c>
      <c r="D53" s="525" t="s">
        <v>172</v>
      </c>
      <c r="E53" s="526"/>
      <c r="F53" s="527"/>
      <c r="G53" s="525" t="s">
        <v>173</v>
      </c>
      <c r="H53" s="526"/>
      <c r="I53" s="527"/>
      <c r="J53" s="525" t="s">
        <v>174</v>
      </c>
      <c r="K53" s="526"/>
      <c r="L53" s="527"/>
      <c r="M53" s="14"/>
      <c r="N53" s="14"/>
      <c r="O53" s="14"/>
    </row>
    <row r="54" spans="2:15" x14ac:dyDescent="0.25">
      <c r="B54" s="14"/>
      <c r="C54" s="254" t="s">
        <v>186</v>
      </c>
      <c r="D54" s="249">
        <v>10</v>
      </c>
      <c r="E54" s="249">
        <v>10</v>
      </c>
      <c r="F54" s="250">
        <v>10</v>
      </c>
      <c r="G54" s="251">
        <v>25</v>
      </c>
      <c r="H54" s="249">
        <v>25</v>
      </c>
      <c r="I54" s="250">
        <v>25</v>
      </c>
      <c r="J54" s="251">
        <v>40</v>
      </c>
      <c r="K54" s="249">
        <v>40</v>
      </c>
      <c r="L54" s="250">
        <v>40</v>
      </c>
      <c r="M54" s="14"/>
      <c r="N54" s="14"/>
      <c r="O54" s="14"/>
    </row>
    <row r="55" spans="2:15" ht="15" customHeight="1" x14ac:dyDescent="0.25">
      <c r="B55" s="14"/>
      <c r="C55" s="254" t="s">
        <v>187</v>
      </c>
      <c r="D55" s="252" t="s">
        <v>156</v>
      </c>
      <c r="E55" s="252" t="s">
        <v>118</v>
      </c>
      <c r="F55" s="290" t="s">
        <v>122</v>
      </c>
      <c r="G55" s="253" t="s">
        <v>156</v>
      </c>
      <c r="H55" s="252" t="s">
        <v>118</v>
      </c>
      <c r="I55" s="290" t="s">
        <v>122</v>
      </c>
      <c r="J55" s="253" t="s">
        <v>156</v>
      </c>
      <c r="K55" s="252" t="s">
        <v>118</v>
      </c>
      <c r="L55" s="290" t="s">
        <v>122</v>
      </c>
      <c r="M55" s="14"/>
      <c r="N55" s="14"/>
      <c r="O55" s="14"/>
    </row>
    <row r="56" spans="2:15" x14ac:dyDescent="0.25">
      <c r="B56" s="14"/>
      <c r="C56" s="291" t="s">
        <v>176</v>
      </c>
      <c r="D56" s="297" cm="1">
        <f t="array" ref="D56:D63">TRANSPOSE('Bus research'!E141:L141)*(1+(G40:G47))</f>
        <v>7.9697459839206513</v>
      </c>
      <c r="E56" s="297" cm="1">
        <f t="array" ref="E56:E63">TRANSPOSE('Bus research'!E142:L142)*(1+G40:G47)</f>
        <v>4.0583752780418596</v>
      </c>
      <c r="F56" s="298" cm="1">
        <f t="array" ref="F56:F63">TRANSPOSE('Bus research'!E143:L143)*(1+G40:G47)</f>
        <v>5.808852696083437</v>
      </c>
      <c r="G56" s="299" cm="1">
        <f t="array" ref="G56:G63">TRANSPOSE('Bus research'!E144:L144)*(1+H40:H47)</f>
        <v>4.3953694163207464</v>
      </c>
      <c r="H56" s="297" cm="1">
        <f t="array" ref="H56:H63">TRANSPOSE('Bus research'!E145:L145)*(1+H40:H47)</f>
        <v>2.2382217216265792</v>
      </c>
      <c r="I56" s="298" cm="1">
        <f t="array" ref="I56:I63">TRANSPOSE('Bus research'!E146:L146)*(1+H40:H47)</f>
        <v>3.2036219894322362</v>
      </c>
      <c r="J56" s="299" cm="1">
        <f t="array" ref="J56:J63">TRANSPOSE('Bus research'!E147:L147)*(1+I40:I47)</f>
        <v>3.0107355222942198</v>
      </c>
      <c r="K56" s="297" cm="1">
        <f t="array" ref="K56:K63">TRANSPOSE('Bus research'!E148:L148)*(1+I40:I47)</f>
        <v>1.5331347620179006</v>
      </c>
      <c r="L56" s="298" cm="1">
        <f t="array" ref="L56:L63">TRANSPOSE('Bus research'!E149:L149)*(1+I40:I47)</f>
        <v>2.194413622612025</v>
      </c>
      <c r="M56" s="63"/>
      <c r="N56" s="63"/>
      <c r="O56" s="14"/>
    </row>
    <row r="57" spans="2:15" x14ac:dyDescent="0.25">
      <c r="B57" s="14"/>
      <c r="C57" s="291" t="s">
        <v>177</v>
      </c>
      <c r="D57" s="297">
        <v>3158.6184669915951</v>
      </c>
      <c r="E57" s="297">
        <v>1017.6439575523251</v>
      </c>
      <c r="F57" s="298">
        <v>1687.3114297256743</v>
      </c>
      <c r="G57" s="299">
        <v>2772.3529845073449</v>
      </c>
      <c r="H57" s="297">
        <v>893.19691262780225</v>
      </c>
      <c r="I57" s="298">
        <v>1480.9711672612011</v>
      </c>
      <c r="J57" s="299">
        <v>2256.5026878869471</v>
      </c>
      <c r="K57" s="297">
        <v>727.00022162405799</v>
      </c>
      <c r="L57" s="298">
        <v>1205.4076224358637</v>
      </c>
      <c r="M57" s="63"/>
      <c r="N57" s="63"/>
      <c r="O57" s="14"/>
    </row>
    <row r="58" spans="2:15" x14ac:dyDescent="0.25">
      <c r="B58" s="14"/>
      <c r="C58" s="291" t="s">
        <v>178</v>
      </c>
      <c r="D58" s="297">
        <v>0.38464087630408528</v>
      </c>
      <c r="E58" s="297">
        <v>0.28470339849987791</v>
      </c>
      <c r="F58" s="298">
        <v>0.30874259815000094</v>
      </c>
      <c r="G58" s="299">
        <v>0.34917477856892726</v>
      </c>
      <c r="H58" s="297">
        <v>0.25845211014552821</v>
      </c>
      <c r="I58" s="298">
        <v>0.2802747575340756</v>
      </c>
      <c r="J58" s="299">
        <v>0.24674863588574203</v>
      </c>
      <c r="K58" s="297">
        <v>0.18263835057494529</v>
      </c>
      <c r="L58" s="298">
        <v>0.19805959175567589</v>
      </c>
      <c r="M58" s="63"/>
      <c r="N58" s="63"/>
      <c r="O58" s="14"/>
    </row>
    <row r="59" spans="2:15" x14ac:dyDescent="0.25">
      <c r="B59" s="14"/>
      <c r="C59" s="292" t="s">
        <v>179</v>
      </c>
      <c r="D59" s="297">
        <v>22.637711052309299</v>
      </c>
      <c r="E59" s="297">
        <v>10.339278110248999</v>
      </c>
      <c r="F59" s="298">
        <v>13.106159740440081</v>
      </c>
      <c r="G59" s="299">
        <v>15.499642131509336</v>
      </c>
      <c r="H59" s="297">
        <v>7.0791216584001679</v>
      </c>
      <c r="I59" s="298">
        <v>8.9735567887502441</v>
      </c>
      <c r="J59" s="299">
        <v>10.386979165916609</v>
      </c>
      <c r="K59" s="297">
        <v>4.7440249623125492</v>
      </c>
      <c r="L59" s="298">
        <v>6.0135677080850023</v>
      </c>
      <c r="M59" s="63"/>
      <c r="N59" s="63"/>
      <c r="O59" s="14"/>
    </row>
    <row r="60" spans="2:15" x14ac:dyDescent="0.25">
      <c r="B60" s="14"/>
      <c r="C60" s="292" t="s">
        <v>180</v>
      </c>
      <c r="D60" s="297">
        <v>2.447906183428235</v>
      </c>
      <c r="E60" s="297">
        <v>1.0831616103370489</v>
      </c>
      <c r="F60" s="298">
        <v>1.4173020601562725</v>
      </c>
      <c r="G60" s="299">
        <v>1.7773516852597466</v>
      </c>
      <c r="H60" s="297">
        <v>0.78645134628692137</v>
      </c>
      <c r="I60" s="298">
        <v>1.02906076311021</v>
      </c>
      <c r="J60" s="299">
        <v>1.200162949787418</v>
      </c>
      <c r="K60" s="297">
        <v>0.53105402574620908</v>
      </c>
      <c r="L60" s="298">
        <v>0.69487688407843107</v>
      </c>
      <c r="M60" s="63"/>
      <c r="N60" s="63"/>
      <c r="O60" s="14"/>
    </row>
    <row r="61" spans="2:15" x14ac:dyDescent="0.25">
      <c r="B61" s="14"/>
      <c r="C61" s="292" t="s">
        <v>181</v>
      </c>
      <c r="D61" s="297">
        <v>0.46631804910258662</v>
      </c>
      <c r="E61" s="297">
        <v>0.23599733894197369</v>
      </c>
      <c r="F61" s="298">
        <v>0.32176798912226795</v>
      </c>
      <c r="G61" s="299">
        <v>0.38228686252612731</v>
      </c>
      <c r="H61" s="297">
        <v>0.19347027729736171</v>
      </c>
      <c r="I61" s="298">
        <v>0.26378493232165684</v>
      </c>
      <c r="J61" s="299">
        <v>0.28863348804976247</v>
      </c>
      <c r="K61" s="297">
        <v>0.14607355482030401</v>
      </c>
      <c r="L61" s="298">
        <v>0.19916238975062026</v>
      </c>
      <c r="M61" s="63"/>
      <c r="N61" s="63"/>
      <c r="O61" s="14"/>
    </row>
    <row r="62" spans="2:15" x14ac:dyDescent="0.25">
      <c r="B62" s="14"/>
      <c r="C62" s="292" t="s">
        <v>182</v>
      </c>
      <c r="D62" s="297">
        <v>1.748642999999999E-2</v>
      </c>
      <c r="E62" s="297">
        <v>1.748642999999999E-2</v>
      </c>
      <c r="F62" s="298">
        <v>1.748642999999999E-2</v>
      </c>
      <c r="G62" s="299">
        <v>4.1005175397632307E-2</v>
      </c>
      <c r="H62" s="297">
        <v>4.1005175397632307E-2</v>
      </c>
      <c r="I62" s="298">
        <v>4.1005175397632307E-2</v>
      </c>
      <c r="J62" s="299">
        <v>4.1011833239969993E-2</v>
      </c>
      <c r="K62" s="297">
        <v>4.1011833239969993E-2</v>
      </c>
      <c r="L62" s="298">
        <v>4.1011833239969993E-2</v>
      </c>
      <c r="M62" s="63"/>
      <c r="N62" s="63"/>
      <c r="O62" s="14"/>
    </row>
    <row r="63" spans="2:15" x14ac:dyDescent="0.25">
      <c r="B63" s="14"/>
      <c r="C63" s="292" t="s">
        <v>183</v>
      </c>
      <c r="D63" s="297">
        <v>119.09825448957005</v>
      </c>
      <c r="E63" s="297">
        <v>38.037124574842174</v>
      </c>
      <c r="F63" s="298">
        <v>63.393700195312228</v>
      </c>
      <c r="G63" s="299">
        <v>104.48462062146328</v>
      </c>
      <c r="H63" s="297">
        <v>33.369880589490663</v>
      </c>
      <c r="I63" s="298">
        <v>55.615145184835974</v>
      </c>
      <c r="J63" s="299">
        <v>84.764946020722263</v>
      </c>
      <c r="K63" s="297">
        <v>27.071889719864398</v>
      </c>
      <c r="L63" s="298">
        <v>45.118743327846822</v>
      </c>
      <c r="M63" s="63"/>
      <c r="N63" s="63"/>
      <c r="O63" s="14"/>
    </row>
    <row r="64" spans="2:15" x14ac:dyDescent="0.25">
      <c r="B64" s="14"/>
      <c r="C64" s="20"/>
      <c r="D64" s="115"/>
      <c r="E64" s="115"/>
      <c r="F64" s="115"/>
      <c r="G64" s="146"/>
      <c r="H64" s="14"/>
      <c r="I64" s="14"/>
      <c r="J64" s="14"/>
      <c r="K64" s="20"/>
      <c r="L64" s="14"/>
      <c r="M64" s="14"/>
      <c r="N64" s="14"/>
      <c r="O64" s="20"/>
    </row>
    <row r="65" spans="2:15" x14ac:dyDescent="0.25">
      <c r="B65" s="14"/>
      <c r="C65" s="14"/>
      <c r="D65" s="14"/>
      <c r="E65" s="14"/>
      <c r="F65" s="14"/>
      <c r="G65" s="14"/>
      <c r="H65" s="14"/>
      <c r="I65" s="14"/>
      <c r="J65" s="14"/>
      <c r="K65" s="14"/>
      <c r="L65" s="14"/>
      <c r="M65" s="14"/>
      <c r="N65" s="14"/>
      <c r="O65" s="14"/>
    </row>
    <row r="66" spans="2:15" ht="15.75" x14ac:dyDescent="0.25">
      <c r="B66" s="14"/>
      <c r="C66" s="469" t="s">
        <v>188</v>
      </c>
      <c r="D66" s="14"/>
      <c r="E66" s="14"/>
      <c r="F66" s="14"/>
      <c r="G66" s="14"/>
      <c r="H66" s="14"/>
      <c r="I66" s="14"/>
      <c r="J66" s="14"/>
      <c r="K66" s="14"/>
      <c r="L66" s="14"/>
      <c r="M66" s="14"/>
      <c r="N66" s="14"/>
      <c r="O66" s="14"/>
    </row>
    <row r="67" spans="2:15" x14ac:dyDescent="0.25">
      <c r="B67" s="14"/>
      <c r="C67" s="254" t="s">
        <v>171</v>
      </c>
      <c r="D67" s="525" t="s">
        <v>172</v>
      </c>
      <c r="E67" s="526"/>
      <c r="F67" s="527"/>
      <c r="G67" s="525" t="s">
        <v>173</v>
      </c>
      <c r="H67" s="526"/>
      <c r="I67" s="527"/>
      <c r="J67" s="525" t="s">
        <v>174</v>
      </c>
      <c r="K67" s="526"/>
      <c r="L67" s="527"/>
      <c r="M67" s="14"/>
      <c r="N67" s="14"/>
      <c r="O67" s="14"/>
    </row>
    <row r="68" spans="2:15" x14ac:dyDescent="0.25">
      <c r="B68" s="14"/>
      <c r="C68" s="254" t="s">
        <v>186</v>
      </c>
      <c r="D68" s="249">
        <v>10</v>
      </c>
      <c r="E68" s="249">
        <v>10</v>
      </c>
      <c r="F68" s="250">
        <v>10</v>
      </c>
      <c r="G68" s="251">
        <v>25</v>
      </c>
      <c r="H68" s="249">
        <v>25</v>
      </c>
      <c r="I68" s="250">
        <v>25</v>
      </c>
      <c r="J68" s="251">
        <v>40</v>
      </c>
      <c r="K68" s="249">
        <v>40</v>
      </c>
      <c r="L68" s="250">
        <v>40</v>
      </c>
      <c r="M68" s="14"/>
      <c r="N68" s="14"/>
      <c r="O68" s="14"/>
    </row>
    <row r="69" spans="2:15" ht="15" customHeight="1" x14ac:dyDescent="0.25">
      <c r="B69" s="14"/>
      <c r="C69" s="254" t="s">
        <v>187</v>
      </c>
      <c r="D69" s="252" t="s">
        <v>156</v>
      </c>
      <c r="E69" s="252" t="s">
        <v>118</v>
      </c>
      <c r="F69" s="290" t="s">
        <v>122</v>
      </c>
      <c r="G69" s="253" t="s">
        <v>156</v>
      </c>
      <c r="H69" s="252" t="s">
        <v>118</v>
      </c>
      <c r="I69" s="290" t="s">
        <v>122</v>
      </c>
      <c r="J69" s="253" t="s">
        <v>156</v>
      </c>
      <c r="K69" s="252" t="s">
        <v>118</v>
      </c>
      <c r="L69" s="290" t="s">
        <v>122</v>
      </c>
      <c r="M69" s="14"/>
      <c r="N69" s="14"/>
      <c r="O69" s="14"/>
    </row>
    <row r="70" spans="2:15" x14ac:dyDescent="0.25">
      <c r="B70" s="14"/>
      <c r="C70" s="291" t="s">
        <v>176</v>
      </c>
      <c r="D70" s="297" cm="1">
        <f t="array" ref="D70:D77">TRANSPOSE('Bus research'!E155:L155)*(1+G40:G47)</f>
        <v>0</v>
      </c>
      <c r="E70" s="297" cm="1">
        <f t="array" ref="E70:E77">TRANSPOSE('Bus research'!E156:L156)*(1+G40:G47)</f>
        <v>0</v>
      </c>
      <c r="F70" s="298" cm="1">
        <f t="array" ref="F70:F77">TRANSPOSE('Bus research'!E157:L157)*(1+G40:G47)</f>
        <v>0</v>
      </c>
      <c r="G70" s="299" cm="1">
        <f t="array" ref="G70:G77">TRANSPOSE('Bus research'!E158:L158)*(1+H40:H47)</f>
        <v>0</v>
      </c>
      <c r="H70" s="297" cm="1">
        <f t="array" ref="H70:H77">TRANSPOSE('Bus research'!E159:L159)*(1+H40:H47)</f>
        <v>0</v>
      </c>
      <c r="I70" s="298" cm="1">
        <f t="array" ref="I70:I77">TRANSPOSE('Bus research'!E160:L160)*(1+H40:H47)</f>
        <v>0</v>
      </c>
      <c r="J70" s="299" cm="1">
        <f t="array" ref="J70:J77">TRANSPOSE('Bus research'!E161:L161)*(1+I40:I47)</f>
        <v>0</v>
      </c>
      <c r="K70" s="297" cm="1">
        <f t="array" ref="K70:K77">TRANSPOSE('Bus research'!E162:L162)*(1+I40:I47)</f>
        <v>0</v>
      </c>
      <c r="L70" s="298" cm="1">
        <f t="array" ref="L70:L77">TRANSPOSE('Bus research'!E163:L163)*(1+I40:I47)</f>
        <v>0</v>
      </c>
      <c r="M70" s="14"/>
      <c r="N70" s="14"/>
      <c r="O70" s="14"/>
    </row>
    <row r="71" spans="2:15" x14ac:dyDescent="0.25">
      <c r="B71" s="14"/>
      <c r="C71" s="291" t="s">
        <v>189</v>
      </c>
      <c r="D71" s="297">
        <v>0.20379331440571524</v>
      </c>
      <c r="E71" s="297">
        <v>0.15968215015849699</v>
      </c>
      <c r="F71" s="298">
        <v>0.1660031804273043</v>
      </c>
      <c r="G71" s="299">
        <v>0.17887155708091804</v>
      </c>
      <c r="H71" s="297">
        <v>0.14015471959995907</v>
      </c>
      <c r="I71" s="298">
        <v>0.14570275501924793</v>
      </c>
      <c r="J71" s="299">
        <v>0.14558901827984225</v>
      </c>
      <c r="K71" s="297">
        <v>0.11407620287340475</v>
      </c>
      <c r="L71" s="298">
        <v>0.11859191819034949</v>
      </c>
      <c r="M71" s="14"/>
      <c r="N71" s="14"/>
      <c r="O71" s="14"/>
    </row>
    <row r="72" spans="2:15" x14ac:dyDescent="0.25">
      <c r="B72" s="14"/>
      <c r="C72" s="291" t="s">
        <v>178</v>
      </c>
      <c r="D72" s="297">
        <v>0</v>
      </c>
      <c r="E72" s="297">
        <v>0</v>
      </c>
      <c r="F72" s="298">
        <v>0</v>
      </c>
      <c r="G72" s="299">
        <v>0</v>
      </c>
      <c r="H72" s="297">
        <v>0</v>
      </c>
      <c r="I72" s="298">
        <v>0</v>
      </c>
      <c r="J72" s="299">
        <v>0</v>
      </c>
      <c r="K72" s="297">
        <v>0</v>
      </c>
      <c r="L72" s="298">
        <v>0</v>
      </c>
      <c r="M72" s="14"/>
      <c r="N72" s="14"/>
      <c r="O72" s="14"/>
    </row>
    <row r="73" spans="2:15" x14ac:dyDescent="0.25">
      <c r="B73" s="14"/>
      <c r="C73" s="292" t="s">
        <v>179</v>
      </c>
      <c r="D73" s="297">
        <v>0</v>
      </c>
      <c r="E73" s="297">
        <v>0</v>
      </c>
      <c r="F73" s="298">
        <v>0</v>
      </c>
      <c r="G73" s="299">
        <v>0</v>
      </c>
      <c r="H73" s="297">
        <v>0</v>
      </c>
      <c r="I73" s="298">
        <v>0</v>
      </c>
      <c r="J73" s="299">
        <v>0</v>
      </c>
      <c r="K73" s="297">
        <v>0</v>
      </c>
      <c r="L73" s="298">
        <v>0</v>
      </c>
      <c r="M73" s="14"/>
      <c r="N73" s="14"/>
      <c r="O73" s="14"/>
    </row>
    <row r="74" spans="2:15" x14ac:dyDescent="0.25">
      <c r="B74" s="14"/>
      <c r="C74" s="292" t="s">
        <v>180</v>
      </c>
      <c r="D74" s="297">
        <v>0</v>
      </c>
      <c r="E74" s="297">
        <v>0</v>
      </c>
      <c r="F74" s="298">
        <v>0</v>
      </c>
      <c r="G74" s="299">
        <v>0</v>
      </c>
      <c r="H74" s="297">
        <v>0</v>
      </c>
      <c r="I74" s="298">
        <v>0</v>
      </c>
      <c r="J74" s="299">
        <v>0</v>
      </c>
      <c r="K74" s="297">
        <v>0</v>
      </c>
      <c r="L74" s="298">
        <v>0</v>
      </c>
      <c r="M74" s="14"/>
      <c r="N74" s="14"/>
      <c r="O74" s="14"/>
    </row>
    <row r="75" spans="2:15" x14ac:dyDescent="0.25">
      <c r="B75" s="14"/>
      <c r="C75" s="292" t="s">
        <v>181</v>
      </c>
      <c r="D75" s="297">
        <v>0</v>
      </c>
      <c r="E75" s="297">
        <v>0</v>
      </c>
      <c r="F75" s="298">
        <v>0</v>
      </c>
      <c r="G75" s="299">
        <v>0</v>
      </c>
      <c r="H75" s="297">
        <v>0</v>
      </c>
      <c r="I75" s="298">
        <v>0</v>
      </c>
      <c r="J75" s="299">
        <v>0</v>
      </c>
      <c r="K75" s="297">
        <v>0</v>
      </c>
      <c r="L75" s="298">
        <v>0</v>
      </c>
      <c r="M75" s="14"/>
      <c r="N75" s="14"/>
      <c r="O75" s="14"/>
    </row>
    <row r="76" spans="2:15" x14ac:dyDescent="0.25">
      <c r="B76" s="14"/>
      <c r="C76" s="292" t="s">
        <v>182</v>
      </c>
      <c r="D76" s="297">
        <v>3.3242819999999999E-2</v>
      </c>
      <c r="E76" s="297">
        <v>3.3242819999999999E-2</v>
      </c>
      <c r="F76" s="298">
        <v>3.3242819999999999E-2</v>
      </c>
      <c r="G76" s="299">
        <v>7.7953456755433775E-2</v>
      </c>
      <c r="H76" s="297">
        <v>7.7953456755433775E-2</v>
      </c>
      <c r="I76" s="298">
        <v>7.7953456755433775E-2</v>
      </c>
      <c r="J76" s="299">
        <v>7.7953456755433775E-2</v>
      </c>
      <c r="K76" s="297">
        <v>7.7953456755433775E-2</v>
      </c>
      <c r="L76" s="298">
        <v>7.7953456755433775E-2</v>
      </c>
      <c r="M76" s="14"/>
      <c r="N76" s="14"/>
      <c r="O76" s="14"/>
    </row>
    <row r="77" spans="2:15" x14ac:dyDescent="0.25">
      <c r="B77" s="14"/>
      <c r="C77" s="292" t="s">
        <v>183</v>
      </c>
      <c r="D77" s="297">
        <v>0</v>
      </c>
      <c r="E77" s="297">
        <v>0</v>
      </c>
      <c r="F77" s="298">
        <v>0</v>
      </c>
      <c r="G77" s="299">
        <v>0</v>
      </c>
      <c r="H77" s="297">
        <v>0</v>
      </c>
      <c r="I77" s="298">
        <v>0</v>
      </c>
      <c r="J77" s="299">
        <v>0</v>
      </c>
      <c r="K77" s="297">
        <v>0</v>
      </c>
      <c r="L77" s="298">
        <v>0</v>
      </c>
      <c r="M77" s="14"/>
      <c r="N77" s="14"/>
      <c r="O77" s="14"/>
    </row>
    <row r="78" spans="2:15" x14ac:dyDescent="0.25">
      <c r="B78" s="14"/>
      <c r="C78" s="14"/>
      <c r="D78" s="14"/>
      <c r="E78" s="14"/>
      <c r="F78" s="14"/>
      <c r="G78" s="14"/>
      <c r="H78" s="14"/>
      <c r="I78" s="14"/>
      <c r="J78" s="14"/>
      <c r="K78" s="14"/>
      <c r="L78" s="14"/>
      <c r="M78" s="14"/>
      <c r="N78" s="14"/>
      <c r="O78" s="14"/>
    </row>
    <row r="79" spans="2:15" x14ac:dyDescent="0.25">
      <c r="B79" s="14"/>
      <c r="C79" s="14"/>
      <c r="D79" s="15"/>
      <c r="E79" s="15"/>
      <c r="F79" s="15"/>
      <c r="G79" s="15"/>
      <c r="H79" s="14"/>
      <c r="I79" s="14"/>
      <c r="J79" s="14"/>
      <c r="K79" s="14"/>
      <c r="L79" s="14"/>
      <c r="M79" s="14"/>
      <c r="N79" s="14"/>
      <c r="O79" s="14"/>
    </row>
    <row r="80" spans="2:15" x14ac:dyDescent="0.25">
      <c r="B80" s="14"/>
      <c r="C80" s="20" t="s">
        <v>190</v>
      </c>
      <c r="D80" s="14"/>
      <c r="E80" s="14"/>
      <c r="F80" s="14"/>
      <c r="G80" s="15"/>
      <c r="H80" s="14"/>
      <c r="I80" s="14"/>
      <c r="J80" s="14"/>
      <c r="K80" s="14"/>
      <c r="L80" s="14"/>
      <c r="M80" s="14"/>
      <c r="N80" s="14"/>
      <c r="O80" s="14"/>
    </row>
    <row r="81" spans="2:15" x14ac:dyDescent="0.25">
      <c r="B81" s="14"/>
      <c r="C81" s="254" t="s">
        <v>171</v>
      </c>
      <c r="D81" s="525" t="s">
        <v>172</v>
      </c>
      <c r="E81" s="526"/>
      <c r="F81" s="527"/>
      <c r="G81" s="15"/>
      <c r="H81" s="14"/>
      <c r="I81" s="14"/>
      <c r="J81" s="14"/>
      <c r="K81" s="14"/>
      <c r="L81" s="14"/>
      <c r="M81" s="14"/>
      <c r="N81" s="14"/>
      <c r="O81" s="14"/>
    </row>
    <row r="82" spans="2:15" x14ac:dyDescent="0.25">
      <c r="B82" s="14"/>
      <c r="C82" s="254" t="s">
        <v>186</v>
      </c>
      <c r="D82" s="249">
        <v>10</v>
      </c>
      <c r="E82" s="249">
        <v>10</v>
      </c>
      <c r="F82" s="250">
        <v>10</v>
      </c>
      <c r="G82" s="15"/>
      <c r="H82" s="14"/>
      <c r="I82" s="14"/>
      <c r="J82" s="14"/>
      <c r="K82" s="14"/>
      <c r="L82" s="14"/>
      <c r="M82" s="14"/>
      <c r="N82" s="14"/>
      <c r="O82" s="14"/>
    </row>
    <row r="83" spans="2:15" x14ac:dyDescent="0.25">
      <c r="B83" s="14"/>
      <c r="C83" s="254" t="s">
        <v>187</v>
      </c>
      <c r="D83" s="252" t="s">
        <v>156</v>
      </c>
      <c r="E83" s="252" t="s">
        <v>118</v>
      </c>
      <c r="F83" s="290" t="s">
        <v>122</v>
      </c>
      <c r="G83" s="15"/>
      <c r="H83" s="14"/>
      <c r="I83" s="14"/>
      <c r="J83" s="14"/>
      <c r="K83" s="14"/>
      <c r="L83" s="14"/>
      <c r="M83" s="14"/>
      <c r="N83" s="14"/>
      <c r="O83" s="14"/>
    </row>
    <row r="84" spans="2:15" x14ac:dyDescent="0.25">
      <c r="B84" s="14"/>
      <c r="C84" s="291" t="s">
        <v>176</v>
      </c>
      <c r="D84" s="297" cm="1">
        <f t="array" ref="D84:D91">TRANSPOSE('Bus research'!E141:L141)*(1+J40)</f>
        <v>7.9697459839206513</v>
      </c>
      <c r="E84" s="297" cm="1">
        <f t="array" ref="E84:E91">TRANSPOSE('Bus research'!E142:L142)*(1+J40:J47)</f>
        <v>4.0583752780418596</v>
      </c>
      <c r="F84" s="297" cm="1">
        <f t="array" ref="F84:F91">TRANSPOSE('Bus research'!E143:L143)*(1+J40:J47)</f>
        <v>5.808852696083437</v>
      </c>
      <c r="G84" s="147"/>
      <c r="H84" s="14"/>
      <c r="I84" s="14"/>
      <c r="J84" s="14"/>
      <c r="K84" s="14"/>
      <c r="L84" s="14"/>
      <c r="M84" s="14"/>
      <c r="N84" s="14"/>
      <c r="O84" s="14"/>
    </row>
    <row r="85" spans="2:15" x14ac:dyDescent="0.25">
      <c r="B85" s="14"/>
      <c r="C85" s="291" t="s">
        <v>177</v>
      </c>
      <c r="D85" s="297">
        <v>3158.6184669915951</v>
      </c>
      <c r="E85" s="297">
        <v>1017.6439575523251</v>
      </c>
      <c r="F85" s="297">
        <v>1687.3114297256743</v>
      </c>
      <c r="G85" s="15"/>
      <c r="H85" s="14"/>
      <c r="I85" s="14"/>
      <c r="J85" s="14"/>
      <c r="K85" s="14"/>
      <c r="L85" s="14"/>
      <c r="M85" s="14"/>
      <c r="N85" s="14"/>
      <c r="O85" s="14"/>
    </row>
    <row r="86" spans="2:15" x14ac:dyDescent="0.25">
      <c r="B86" s="14"/>
      <c r="C86" s="291" t="s">
        <v>178</v>
      </c>
      <c r="D86" s="297">
        <v>0.38464087630408528</v>
      </c>
      <c r="E86" s="297">
        <v>0.28470339849987791</v>
      </c>
      <c r="F86" s="297">
        <v>0.30874259815000094</v>
      </c>
      <c r="G86" s="15"/>
      <c r="H86" s="14"/>
      <c r="I86" s="14"/>
      <c r="J86" s="14"/>
      <c r="K86" s="14"/>
      <c r="L86" s="14"/>
      <c r="M86" s="14"/>
      <c r="N86" s="14"/>
      <c r="O86" s="14"/>
    </row>
    <row r="87" spans="2:15" x14ac:dyDescent="0.25">
      <c r="B87" s="14"/>
      <c r="C87" s="292" t="s">
        <v>179</v>
      </c>
      <c r="D87" s="297">
        <v>22.637711052309299</v>
      </c>
      <c r="E87" s="297">
        <v>10.339278110248999</v>
      </c>
      <c r="F87" s="297">
        <v>13.106159740440081</v>
      </c>
      <c r="G87" s="15"/>
      <c r="H87" s="14"/>
      <c r="I87" s="14"/>
      <c r="J87" s="14"/>
      <c r="K87" s="14"/>
      <c r="L87" s="14"/>
      <c r="M87" s="14"/>
      <c r="N87" s="14"/>
      <c r="O87" s="14"/>
    </row>
    <row r="88" spans="2:15" x14ac:dyDescent="0.25">
      <c r="B88" s="14"/>
      <c r="C88" s="292" t="s">
        <v>180</v>
      </c>
      <c r="D88" s="297">
        <v>2.447906183428235</v>
      </c>
      <c r="E88" s="297">
        <v>1.0831616103370489</v>
      </c>
      <c r="F88" s="297">
        <v>1.4173020601562725</v>
      </c>
      <c r="G88" s="15"/>
      <c r="H88" s="14"/>
      <c r="I88" s="14"/>
      <c r="J88" s="14"/>
      <c r="K88" s="14"/>
      <c r="L88" s="14"/>
      <c r="M88" s="14"/>
      <c r="N88" s="14"/>
      <c r="O88" s="14"/>
    </row>
    <row r="89" spans="2:15" x14ac:dyDescent="0.25">
      <c r="B89" s="14"/>
      <c r="C89" s="292" t="s">
        <v>181</v>
      </c>
      <c r="D89" s="297">
        <v>0.46631804910258662</v>
      </c>
      <c r="E89" s="297">
        <v>0.23599733894197369</v>
      </c>
      <c r="F89" s="297">
        <v>0.32176798912226795</v>
      </c>
      <c r="G89" s="15"/>
      <c r="H89" s="14"/>
      <c r="I89" s="14"/>
      <c r="J89" s="14"/>
      <c r="K89" s="14"/>
      <c r="L89" s="14"/>
      <c r="M89" s="14"/>
      <c r="N89" s="14"/>
      <c r="O89" s="14"/>
    </row>
    <row r="90" spans="2:15" x14ac:dyDescent="0.25">
      <c r="B90" s="14"/>
      <c r="C90" s="292" t="s">
        <v>182</v>
      </c>
      <c r="D90" s="297">
        <v>1.748642999999999E-2</v>
      </c>
      <c r="E90" s="297">
        <v>1.748642999999999E-2</v>
      </c>
      <c r="F90" s="297">
        <v>1.748642999999999E-2</v>
      </c>
      <c r="G90" s="15"/>
      <c r="H90" s="14"/>
      <c r="I90" s="14"/>
      <c r="J90" s="14"/>
      <c r="K90" s="14"/>
      <c r="L90" s="14"/>
      <c r="M90" s="14"/>
      <c r="N90" s="14"/>
      <c r="O90" s="14"/>
    </row>
    <row r="91" spans="2:15" x14ac:dyDescent="0.25">
      <c r="B91" s="14"/>
      <c r="C91" s="292" t="s">
        <v>183</v>
      </c>
      <c r="D91" s="297">
        <v>119.09825448957005</v>
      </c>
      <c r="E91" s="297">
        <v>38.037124574842174</v>
      </c>
      <c r="F91" s="297">
        <v>63.393700195312228</v>
      </c>
      <c r="G91" s="15"/>
      <c r="H91" s="14"/>
      <c r="I91" s="14"/>
      <c r="J91" s="14"/>
      <c r="K91" s="14"/>
      <c r="L91" s="14"/>
      <c r="M91" s="14"/>
      <c r="N91" s="14"/>
      <c r="O91" s="14"/>
    </row>
    <row r="92" spans="2:15" x14ac:dyDescent="0.25">
      <c r="B92" s="14"/>
      <c r="C92" s="19"/>
      <c r="D92" s="15"/>
      <c r="E92" s="15"/>
      <c r="F92" s="15"/>
      <c r="G92" s="15"/>
      <c r="H92" s="20"/>
      <c r="I92" s="14"/>
      <c r="J92" s="14"/>
      <c r="K92" s="14"/>
      <c r="L92" s="14"/>
      <c r="M92" s="14"/>
      <c r="N92" s="14"/>
      <c r="O92" s="14"/>
    </row>
    <row r="93" spans="2:15" x14ac:dyDescent="0.25">
      <c r="B93" s="14"/>
      <c r="C93" s="95"/>
      <c r="D93" s="15"/>
      <c r="E93" s="15"/>
      <c r="F93" s="15"/>
      <c r="G93" s="15"/>
      <c r="H93" s="20"/>
      <c r="I93" s="14"/>
      <c r="J93" s="14"/>
      <c r="K93" s="14"/>
      <c r="L93" s="14"/>
      <c r="M93" s="14"/>
      <c r="N93" s="14"/>
      <c r="O93" s="14"/>
    </row>
    <row r="94" spans="2:15" x14ac:dyDescent="0.25">
      <c r="B94" s="14"/>
      <c r="C94" s="14"/>
      <c r="D94" s="15"/>
      <c r="E94" s="15"/>
      <c r="F94" s="15"/>
      <c r="G94" s="15"/>
      <c r="H94" s="14"/>
      <c r="I94" s="14"/>
      <c r="J94" s="14"/>
      <c r="K94" s="14"/>
      <c r="L94" s="14"/>
      <c r="M94" s="14"/>
      <c r="N94" s="14"/>
      <c r="O94" s="14"/>
    </row>
    <row r="95" spans="2:15" x14ac:dyDescent="0.25">
      <c r="B95" s="14"/>
      <c r="C95" s="14"/>
      <c r="D95" s="15"/>
      <c r="E95" s="15"/>
      <c r="F95" s="15"/>
      <c r="G95" s="15"/>
      <c r="H95" s="14"/>
      <c r="I95" s="14"/>
      <c r="J95" s="14"/>
      <c r="K95" s="14"/>
      <c r="L95" s="14"/>
      <c r="M95" s="14"/>
      <c r="N95" s="14"/>
      <c r="O95" s="14"/>
    </row>
    <row r="96" spans="2:15" x14ac:dyDescent="0.25">
      <c r="B96" s="14"/>
      <c r="C96" s="14"/>
      <c r="D96" s="15"/>
      <c r="E96" s="15"/>
      <c r="F96" s="15"/>
      <c r="G96" s="15"/>
      <c r="H96" s="14"/>
      <c r="I96" s="14"/>
      <c r="J96" s="14"/>
      <c r="K96" s="14"/>
      <c r="L96" s="14"/>
      <c r="M96" s="14"/>
      <c r="N96" s="14"/>
      <c r="O96" s="14"/>
    </row>
    <row r="97" spans="2:15" x14ac:dyDescent="0.25">
      <c r="B97" s="14"/>
      <c r="C97" s="14"/>
      <c r="D97" s="15"/>
      <c r="E97" s="15"/>
      <c r="F97" s="15"/>
      <c r="G97" s="15"/>
      <c r="H97" s="14"/>
      <c r="I97" s="14"/>
      <c r="J97" s="14"/>
      <c r="K97" s="14"/>
      <c r="L97" s="14"/>
      <c r="M97" s="14"/>
      <c r="N97" s="14"/>
      <c r="O97" s="14"/>
    </row>
    <row r="98" spans="2:15" x14ac:dyDescent="0.25">
      <c r="B98" s="14"/>
      <c r="C98" s="14"/>
      <c r="D98" s="15"/>
      <c r="E98" s="15"/>
      <c r="F98" s="15"/>
      <c r="G98" s="15"/>
      <c r="H98" s="14"/>
      <c r="I98" s="14"/>
      <c r="J98" s="14"/>
      <c r="K98" s="14"/>
      <c r="L98" s="14"/>
      <c r="M98" s="14"/>
      <c r="N98" s="14"/>
      <c r="O98" s="14"/>
    </row>
    <row r="99" spans="2:15" x14ac:dyDescent="0.25">
      <c r="B99" s="14"/>
      <c r="C99" s="14"/>
      <c r="D99" s="15"/>
      <c r="E99" s="15"/>
      <c r="F99" s="15"/>
      <c r="G99" s="15"/>
      <c r="H99" s="14"/>
      <c r="I99" s="14"/>
      <c r="J99" s="14"/>
      <c r="K99" s="14"/>
      <c r="L99" s="14"/>
      <c r="M99" s="14"/>
      <c r="N99" s="14"/>
      <c r="O99" s="14"/>
    </row>
    <row r="100" spans="2:15" x14ac:dyDescent="0.25">
      <c r="B100" s="14"/>
      <c r="C100" s="14"/>
      <c r="D100" s="15"/>
      <c r="E100" s="15"/>
      <c r="F100" s="15"/>
      <c r="G100" s="15"/>
      <c r="H100" s="14"/>
      <c r="I100" s="14"/>
      <c r="J100" s="14"/>
      <c r="K100" s="14"/>
      <c r="L100" s="14"/>
      <c r="M100" s="14"/>
      <c r="N100" s="14"/>
      <c r="O100" s="14"/>
    </row>
    <row r="101" spans="2:15" x14ac:dyDescent="0.25">
      <c r="B101" s="14"/>
      <c r="C101" s="95"/>
      <c r="D101" s="15"/>
      <c r="E101" s="15"/>
      <c r="F101" s="15"/>
      <c r="G101" s="15"/>
      <c r="H101" s="20"/>
      <c r="I101" s="14"/>
      <c r="J101" s="14"/>
      <c r="K101" s="14"/>
      <c r="L101" s="14"/>
      <c r="M101" s="14"/>
      <c r="N101" s="14"/>
      <c r="O101" s="14"/>
    </row>
    <row r="102" spans="2:15" x14ac:dyDescent="0.25">
      <c r="B102" s="14"/>
      <c r="C102" s="14"/>
      <c r="D102" s="15"/>
      <c r="E102" s="15"/>
      <c r="F102" s="15"/>
      <c r="G102" s="15"/>
      <c r="H102" s="14"/>
      <c r="I102" s="14"/>
      <c r="J102" s="14"/>
      <c r="K102" s="14"/>
      <c r="L102" s="14"/>
      <c r="M102" s="14"/>
      <c r="N102" s="14"/>
      <c r="O102" s="14"/>
    </row>
    <row r="103" spans="2:15" x14ac:dyDescent="0.25">
      <c r="B103" s="14"/>
      <c r="C103" s="14"/>
      <c r="D103" s="15"/>
      <c r="E103" s="15"/>
      <c r="F103" s="15"/>
      <c r="G103" s="15"/>
      <c r="H103" s="14"/>
      <c r="I103" s="14"/>
      <c r="J103" s="14"/>
      <c r="K103" s="14"/>
      <c r="L103" s="14"/>
      <c r="M103" s="14"/>
      <c r="N103" s="14"/>
      <c r="O103" s="14"/>
    </row>
    <row r="104" spans="2:15" x14ac:dyDescent="0.25">
      <c r="B104" s="14"/>
      <c r="C104" s="14"/>
      <c r="D104" s="15"/>
      <c r="E104" s="15"/>
      <c r="F104" s="15"/>
      <c r="G104" s="15"/>
      <c r="H104" s="14"/>
      <c r="I104" s="14"/>
      <c r="J104" s="14"/>
      <c r="K104" s="14"/>
      <c r="L104" s="14"/>
      <c r="M104" s="14"/>
      <c r="N104" s="14"/>
      <c r="O104" s="14"/>
    </row>
    <row r="105" spans="2:15" x14ac:dyDescent="0.25">
      <c r="B105" s="14"/>
      <c r="C105" s="14"/>
      <c r="D105" s="15"/>
      <c r="E105" s="15"/>
      <c r="F105" s="15"/>
      <c r="G105" s="15"/>
      <c r="H105" s="14"/>
      <c r="I105" s="14"/>
      <c r="J105" s="14"/>
      <c r="K105" s="14"/>
      <c r="L105" s="14"/>
      <c r="M105" s="14"/>
      <c r="N105" s="14"/>
      <c r="O105" s="14"/>
    </row>
    <row r="106" spans="2:15" x14ac:dyDescent="0.25">
      <c r="B106" s="14"/>
      <c r="C106" s="14"/>
      <c r="D106" s="15"/>
      <c r="E106" s="15"/>
      <c r="F106" s="15"/>
      <c r="G106" s="15"/>
      <c r="H106" s="14"/>
      <c r="I106" s="14"/>
      <c r="J106" s="14"/>
      <c r="K106" s="14"/>
      <c r="L106" s="14"/>
      <c r="M106" s="14"/>
      <c r="N106" s="14"/>
      <c r="O106" s="14"/>
    </row>
    <row r="107" spans="2:15" x14ac:dyDescent="0.25">
      <c r="B107" s="14"/>
      <c r="C107" s="14"/>
      <c r="D107" s="15"/>
      <c r="E107" s="15"/>
      <c r="F107" s="15"/>
      <c r="G107" s="15"/>
      <c r="H107" s="14"/>
      <c r="I107" s="14"/>
      <c r="J107" s="14"/>
      <c r="K107" s="14"/>
      <c r="L107" s="14"/>
      <c r="M107" s="14"/>
      <c r="N107" s="14"/>
      <c r="O107" s="14"/>
    </row>
    <row r="108" spans="2:15" x14ac:dyDescent="0.25">
      <c r="B108" s="14"/>
      <c r="C108" s="14"/>
      <c r="D108" s="15"/>
      <c r="E108" s="15"/>
      <c r="F108" s="15"/>
      <c r="G108" s="15"/>
      <c r="H108" s="14"/>
      <c r="I108" s="14"/>
      <c r="J108" s="14"/>
      <c r="K108" s="14"/>
      <c r="L108" s="14"/>
      <c r="M108" s="14"/>
      <c r="N108" s="14"/>
      <c r="O108" s="14"/>
    </row>
    <row r="109" spans="2:15" x14ac:dyDescent="0.25">
      <c r="B109" s="14"/>
      <c r="C109" s="14"/>
      <c r="D109" s="15"/>
      <c r="E109" s="15"/>
      <c r="F109" s="15"/>
      <c r="G109" s="15"/>
      <c r="H109" s="14"/>
      <c r="I109" s="14"/>
      <c r="J109" s="14"/>
      <c r="K109" s="14"/>
      <c r="L109" s="14"/>
      <c r="M109" s="14"/>
      <c r="N109" s="14"/>
      <c r="O109" s="14"/>
    </row>
    <row r="110" spans="2:15" x14ac:dyDescent="0.25">
      <c r="B110" s="14"/>
      <c r="C110" s="14"/>
      <c r="D110" s="15"/>
      <c r="E110" s="15"/>
      <c r="F110" s="15"/>
      <c r="G110" s="15"/>
      <c r="H110" s="14"/>
      <c r="I110" s="14"/>
      <c r="J110" s="14"/>
      <c r="K110" s="14"/>
      <c r="L110" s="14"/>
      <c r="M110" s="14"/>
      <c r="N110" s="14"/>
      <c r="O110" s="14"/>
    </row>
    <row r="111" spans="2:15" x14ac:dyDescent="0.25">
      <c r="B111" s="14"/>
      <c r="C111" s="14"/>
      <c r="D111" s="15"/>
      <c r="E111" s="15"/>
      <c r="F111" s="15"/>
      <c r="G111" s="15"/>
      <c r="H111" s="14"/>
      <c r="I111" s="14"/>
      <c r="J111" s="14"/>
      <c r="K111" s="14"/>
      <c r="L111" s="14"/>
      <c r="M111" s="14"/>
      <c r="N111" s="14"/>
      <c r="O111" s="14"/>
    </row>
    <row r="112" spans="2:15" x14ac:dyDescent="0.25">
      <c r="B112" s="14"/>
      <c r="C112" s="14"/>
      <c r="D112" s="15"/>
      <c r="E112" s="15"/>
      <c r="F112" s="15"/>
      <c r="G112" s="15"/>
      <c r="H112" s="14"/>
      <c r="I112" s="14"/>
      <c r="J112" s="14"/>
      <c r="K112" s="14"/>
      <c r="L112" s="14"/>
      <c r="M112" s="14"/>
      <c r="N112" s="14"/>
      <c r="O112" s="14"/>
    </row>
    <row r="113" spans="2:15" x14ac:dyDescent="0.25">
      <c r="B113" s="14"/>
      <c r="C113" s="14"/>
      <c r="D113" s="15"/>
      <c r="E113" s="15"/>
      <c r="F113" s="15"/>
      <c r="G113" s="15"/>
      <c r="H113" s="14"/>
      <c r="I113" s="14"/>
      <c r="J113" s="14"/>
      <c r="K113" s="14"/>
      <c r="L113" s="14"/>
      <c r="M113" s="14"/>
      <c r="N113" s="14"/>
      <c r="O113" s="14"/>
    </row>
    <row r="114" spans="2:15" x14ac:dyDescent="0.25">
      <c r="B114" s="14"/>
      <c r="C114" s="14"/>
      <c r="D114" s="15"/>
      <c r="E114" s="15"/>
      <c r="F114" s="15"/>
      <c r="G114" s="15"/>
      <c r="H114" s="14"/>
      <c r="I114" s="14"/>
      <c r="J114" s="14"/>
      <c r="K114" s="14"/>
      <c r="L114" s="14"/>
      <c r="M114" s="14"/>
      <c r="N114" s="14"/>
      <c r="O114" s="14"/>
    </row>
    <row r="115" spans="2:15" x14ac:dyDescent="0.25">
      <c r="B115" s="14"/>
      <c r="C115" s="14"/>
      <c r="D115" s="15"/>
      <c r="E115" s="15"/>
      <c r="F115" s="15"/>
      <c r="G115" s="15"/>
      <c r="H115" s="14"/>
      <c r="I115" s="14"/>
      <c r="J115" s="14"/>
      <c r="K115" s="14"/>
      <c r="L115" s="14"/>
      <c r="M115" s="14"/>
      <c r="N115" s="14"/>
      <c r="O115" s="14"/>
    </row>
    <row r="116" spans="2:15" x14ac:dyDescent="0.25">
      <c r="B116" s="14"/>
      <c r="C116" s="14"/>
      <c r="D116" s="15"/>
      <c r="E116" s="15"/>
      <c r="F116" s="15"/>
      <c r="G116" s="15"/>
      <c r="H116" s="14"/>
      <c r="I116" s="14"/>
      <c r="J116" s="14"/>
      <c r="K116" s="14"/>
      <c r="L116" s="14"/>
      <c r="M116" s="14"/>
      <c r="N116" s="14"/>
      <c r="O116" s="14"/>
    </row>
    <row r="117" spans="2:15" x14ac:dyDescent="0.25">
      <c r="B117" s="14"/>
      <c r="C117" s="14"/>
      <c r="D117" s="15"/>
      <c r="E117" s="15"/>
      <c r="F117" s="15"/>
      <c r="G117" s="15"/>
      <c r="H117" s="14"/>
      <c r="I117" s="14"/>
      <c r="J117" s="14"/>
      <c r="K117" s="14"/>
      <c r="L117" s="14"/>
      <c r="M117" s="14"/>
      <c r="N117" s="14"/>
      <c r="O117" s="14"/>
    </row>
    <row r="118" spans="2:15" x14ac:dyDescent="0.25">
      <c r="B118" s="14"/>
      <c r="C118" s="14"/>
      <c r="D118" s="15"/>
      <c r="E118" s="15"/>
      <c r="F118" s="15"/>
      <c r="G118" s="15"/>
      <c r="H118" s="14"/>
      <c r="I118" s="14"/>
      <c r="J118" s="14"/>
      <c r="K118" s="14"/>
      <c r="L118" s="14"/>
      <c r="M118" s="14"/>
      <c r="N118" s="14"/>
      <c r="O118" s="14"/>
    </row>
    <row r="119" spans="2:15" x14ac:dyDescent="0.25">
      <c r="B119" s="14"/>
      <c r="C119" s="14"/>
      <c r="D119" s="15"/>
      <c r="E119" s="15"/>
      <c r="F119" s="15"/>
      <c r="G119" s="15"/>
      <c r="H119" s="14"/>
      <c r="I119" s="14"/>
      <c r="J119" s="14"/>
      <c r="K119" s="14"/>
      <c r="L119" s="14"/>
      <c r="M119" s="14"/>
      <c r="N119" s="14"/>
      <c r="O119" s="14"/>
    </row>
  </sheetData>
  <mergeCells count="7">
    <mergeCell ref="D81:F81"/>
    <mergeCell ref="D53:F53"/>
    <mergeCell ref="G53:I53"/>
    <mergeCell ref="J53:L53"/>
    <mergeCell ref="D67:F67"/>
    <mergeCell ref="G67:I67"/>
    <mergeCell ref="J67:L67"/>
  </mergeCells>
  <phoneticPr fontId="30" type="noConversion"/>
  <dataValidations count="1">
    <dataValidation errorStyle="information" allowBlank="1" showInputMessage="1" showErrorMessage="1" errorTitle="Please update classes." sqref="D54 D68 D82" xr:uid="{388E8539-F83A-4F2E-BCC9-AECCA022DE64}"/>
  </dataValidations>
  <hyperlinks>
    <hyperlink ref="C2" location="Cover!A1" display="Go to Results" xr:uid="{907AB75A-7A1F-4401-8BCA-88F504FA0C22}"/>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01970-64E8-4CB8-8B09-F632C3F50220}">
  <sheetPr codeName="Sheet6">
    <tabColor rgb="FF00B0F0"/>
  </sheetPr>
  <dimension ref="A1"/>
  <sheetViews>
    <sheetView workbookViewId="0">
      <selection activeCell="L41" sqref="L41"/>
    </sheetView>
  </sheetViews>
  <sheetFormatPr defaultColWidth="9.140625" defaultRowHeight="15" x14ac:dyDescent="0.25"/>
  <cols>
    <col min="1" max="16384" width="9.140625" style="14"/>
  </cols>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0E627-4EA4-4615-BA51-1EC9406D5B4B}">
  <sheetPr codeName="Sheet7">
    <tabColor theme="9" tint="-0.249977111117893"/>
  </sheetPr>
  <dimension ref="A1:AN651"/>
  <sheetViews>
    <sheetView zoomScaleNormal="100" workbookViewId="0">
      <pane xSplit="5" ySplit="6" topLeftCell="F7" activePane="bottomRight" state="frozen"/>
      <selection pane="topRight" activeCell="F1" sqref="F1"/>
      <selection pane="bottomLeft" activeCell="A6" sqref="A6"/>
      <selection pane="bottomRight" activeCell="B4" sqref="B4"/>
    </sheetView>
  </sheetViews>
  <sheetFormatPr defaultRowHeight="15" outlineLevelRow="1" x14ac:dyDescent="0.25"/>
  <cols>
    <col min="1" max="1" width="14.42578125" style="75" customWidth="1"/>
    <col min="2" max="2" width="37.7109375" customWidth="1"/>
    <col min="3" max="3" width="24.140625" customWidth="1"/>
    <col min="4" max="4" width="22.5703125" style="53" customWidth="1"/>
    <col min="5" max="5" width="23" customWidth="1"/>
    <col min="6" max="6" width="18.85546875" bestFit="1" customWidth="1"/>
    <col min="7" max="25" width="15.5703125" style="76" bestFit="1" customWidth="1"/>
    <col min="26" max="26" width="13" style="76" bestFit="1" customWidth="1"/>
    <col min="27" max="36" width="15.5703125" style="76" bestFit="1" customWidth="1"/>
    <col min="37" max="40" width="9.140625" style="76"/>
  </cols>
  <sheetData>
    <row r="1" spans="1:40" x14ac:dyDescent="0.25">
      <c r="A1" s="54"/>
      <c r="B1" s="55" t="s">
        <v>191</v>
      </c>
      <c r="C1" s="3" t="s">
        <v>40</v>
      </c>
      <c r="D1" s="15"/>
      <c r="E1" s="14"/>
      <c r="F1" s="14"/>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29"/>
    </row>
    <row r="2" spans="1:40" x14ac:dyDescent="0.25">
      <c r="A2" s="57"/>
      <c r="B2" s="40"/>
      <c r="C2" s="40"/>
      <c r="D2" s="38"/>
      <c r="E2" s="40"/>
      <c r="F2" s="40"/>
      <c r="G2" s="58">
        <f>chart_start_proj</f>
        <v>2023</v>
      </c>
      <c r="H2" s="58">
        <f>G2+1</f>
        <v>2024</v>
      </c>
      <c r="I2" s="58">
        <f t="shared" ref="I2:AK2" si="0">H2+1</f>
        <v>2025</v>
      </c>
      <c r="J2" s="58">
        <f t="shared" si="0"/>
        <v>2026</v>
      </c>
      <c r="K2" s="58">
        <f t="shared" si="0"/>
        <v>2027</v>
      </c>
      <c r="L2" s="58">
        <f t="shared" si="0"/>
        <v>2028</v>
      </c>
      <c r="M2" s="58">
        <f t="shared" si="0"/>
        <v>2029</v>
      </c>
      <c r="N2" s="58">
        <f t="shared" si="0"/>
        <v>2030</v>
      </c>
      <c r="O2" s="58">
        <f t="shared" si="0"/>
        <v>2031</v>
      </c>
      <c r="P2" s="58">
        <f t="shared" si="0"/>
        <v>2032</v>
      </c>
      <c r="Q2" s="58">
        <f t="shared" si="0"/>
        <v>2033</v>
      </c>
      <c r="R2" s="58">
        <f t="shared" si="0"/>
        <v>2034</v>
      </c>
      <c r="S2" s="58">
        <f t="shared" si="0"/>
        <v>2035</v>
      </c>
      <c r="T2" s="58">
        <f t="shared" si="0"/>
        <v>2036</v>
      </c>
      <c r="U2" s="58">
        <f t="shared" si="0"/>
        <v>2037</v>
      </c>
      <c r="V2" s="58">
        <f t="shared" si="0"/>
        <v>2038</v>
      </c>
      <c r="W2" s="58">
        <f t="shared" si="0"/>
        <v>2039</v>
      </c>
      <c r="X2" s="58">
        <f t="shared" si="0"/>
        <v>2040</v>
      </c>
      <c r="Y2" s="58">
        <f t="shared" si="0"/>
        <v>2041</v>
      </c>
      <c r="Z2" s="58">
        <f t="shared" si="0"/>
        <v>2042</v>
      </c>
      <c r="AA2" s="58">
        <f t="shared" si="0"/>
        <v>2043</v>
      </c>
      <c r="AB2" s="58">
        <f t="shared" si="0"/>
        <v>2044</v>
      </c>
      <c r="AC2" s="58">
        <f t="shared" si="0"/>
        <v>2045</v>
      </c>
      <c r="AD2" s="58">
        <f t="shared" si="0"/>
        <v>2046</v>
      </c>
      <c r="AE2" s="58">
        <f t="shared" si="0"/>
        <v>2047</v>
      </c>
      <c r="AF2" s="58">
        <f t="shared" si="0"/>
        <v>2048</v>
      </c>
      <c r="AG2" s="58">
        <f t="shared" si="0"/>
        <v>2049</v>
      </c>
      <c r="AH2" s="58">
        <f t="shared" si="0"/>
        <v>2050</v>
      </c>
      <c r="AI2" s="58">
        <f t="shared" si="0"/>
        <v>2051</v>
      </c>
      <c r="AJ2" s="58">
        <f t="shared" si="0"/>
        <v>2052</v>
      </c>
      <c r="AK2" s="58">
        <f t="shared" si="0"/>
        <v>2053</v>
      </c>
      <c r="AL2" s="58">
        <f t="shared" ref="AL2" si="1">AK2+1</f>
        <v>2054</v>
      </c>
      <c r="AM2" s="58">
        <f t="shared" ref="AM2" si="2">AL2+1</f>
        <v>2055</v>
      </c>
      <c r="AN2" s="58">
        <f t="shared" ref="AN2" si="3">AM2+1</f>
        <v>2056</v>
      </c>
    </row>
    <row r="3" spans="1:40" x14ac:dyDescent="0.25">
      <c r="A3" s="54"/>
      <c r="B3" s="14"/>
      <c r="C3" s="14"/>
      <c r="D3" s="15"/>
      <c r="E3" s="14"/>
      <c r="F3" s="14"/>
      <c r="G3" s="153">
        <v>0</v>
      </c>
      <c r="H3" s="153">
        <v>1</v>
      </c>
      <c r="I3" s="153">
        <v>2</v>
      </c>
      <c r="J3" s="153">
        <v>3</v>
      </c>
      <c r="K3" s="153">
        <v>4</v>
      </c>
      <c r="L3" s="153">
        <v>5</v>
      </c>
      <c r="M3" s="153">
        <v>6</v>
      </c>
      <c r="N3" s="153">
        <v>7</v>
      </c>
      <c r="O3" s="153">
        <v>8</v>
      </c>
      <c r="P3" s="153">
        <v>9</v>
      </c>
      <c r="Q3" s="153">
        <v>10</v>
      </c>
      <c r="R3" s="153">
        <v>11</v>
      </c>
      <c r="S3" s="153">
        <v>12</v>
      </c>
      <c r="T3" s="153">
        <v>13</v>
      </c>
      <c r="U3" s="153">
        <v>14</v>
      </c>
      <c r="V3" s="153">
        <v>15</v>
      </c>
      <c r="W3" s="153">
        <v>16</v>
      </c>
      <c r="X3" s="153">
        <v>17</v>
      </c>
      <c r="Y3" s="153">
        <v>18</v>
      </c>
      <c r="Z3" s="153">
        <v>19</v>
      </c>
      <c r="AA3" s="153">
        <v>20</v>
      </c>
      <c r="AB3" s="153">
        <v>21</v>
      </c>
      <c r="AC3" s="153">
        <v>22</v>
      </c>
      <c r="AD3" s="153">
        <v>23</v>
      </c>
      <c r="AE3" s="153">
        <v>24</v>
      </c>
      <c r="AF3" s="153">
        <v>25</v>
      </c>
      <c r="AG3" s="153">
        <v>26</v>
      </c>
      <c r="AH3" s="153">
        <v>27</v>
      </c>
      <c r="AI3" s="153">
        <v>28</v>
      </c>
      <c r="AJ3" s="153">
        <v>29</v>
      </c>
      <c r="AK3" s="153">
        <v>30</v>
      </c>
      <c r="AL3" s="153">
        <v>31</v>
      </c>
      <c r="AM3" s="153">
        <v>32</v>
      </c>
      <c r="AN3" s="153">
        <v>33</v>
      </c>
    </row>
    <row r="4" spans="1:40" x14ac:dyDescent="0.25">
      <c r="A4" s="54"/>
      <c r="B4" s="14"/>
      <c r="C4" s="14"/>
      <c r="D4" s="15"/>
      <c r="E4" s="16"/>
      <c r="F4" s="14"/>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29"/>
    </row>
    <row r="5" spans="1:40" x14ac:dyDescent="0.25">
      <c r="A5" s="18" t="s">
        <v>192</v>
      </c>
      <c r="B5" s="20" t="s">
        <v>193</v>
      </c>
      <c r="C5" s="21" t="s">
        <v>194</v>
      </c>
      <c r="D5" s="21" t="s">
        <v>110</v>
      </c>
      <c r="E5" s="22" t="s">
        <v>195</v>
      </c>
      <c r="F5" s="14"/>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29"/>
    </row>
    <row r="6" spans="1:40" x14ac:dyDescent="0.25">
      <c r="A6" s="54"/>
      <c r="B6" s="14"/>
      <c r="C6" s="14"/>
      <c r="D6" s="15"/>
      <c r="E6" s="16"/>
      <c r="F6" s="14"/>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29"/>
    </row>
    <row r="7" spans="1:40" x14ac:dyDescent="0.25">
      <c r="A7" s="59"/>
      <c r="B7" s="24" t="s">
        <v>196</v>
      </c>
      <c r="C7" s="24"/>
      <c r="D7" s="25"/>
      <c r="E7" s="26"/>
      <c r="F7" s="26"/>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1"/>
    </row>
    <row r="8" spans="1:40" x14ac:dyDescent="0.25">
      <c r="A8" s="54"/>
      <c r="B8" s="14"/>
      <c r="C8" s="14"/>
      <c r="D8" s="15"/>
      <c r="E8" s="16"/>
      <c r="F8" s="14"/>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29"/>
    </row>
    <row r="9" spans="1:40" x14ac:dyDescent="0.25">
      <c r="A9" s="54"/>
      <c r="B9" s="14" t="s">
        <v>197</v>
      </c>
      <c r="C9" s="14" t="s">
        <v>198</v>
      </c>
      <c r="D9" s="15" t="s">
        <v>128</v>
      </c>
      <c r="E9" s="152">
        <v>0.04</v>
      </c>
      <c r="F9" s="14"/>
      <c r="G9" s="28">
        <f>1/(1+$E$9)^G3</f>
        <v>1</v>
      </c>
      <c r="H9" s="28">
        <f>1/(1+$E$9)^H3</f>
        <v>0.96153846153846145</v>
      </c>
      <c r="I9" s="28">
        <f t="shared" ref="I9:AN9" si="4">1/(1+$E$9)^I3</f>
        <v>0.92455621301775137</v>
      </c>
      <c r="J9" s="28">
        <f t="shared" si="4"/>
        <v>0.88899635867091487</v>
      </c>
      <c r="K9" s="28">
        <f t="shared" si="4"/>
        <v>0.85480419102972571</v>
      </c>
      <c r="L9" s="28">
        <f t="shared" si="4"/>
        <v>0.82192710675935154</v>
      </c>
      <c r="M9" s="28">
        <f t="shared" si="4"/>
        <v>0.79031452573014571</v>
      </c>
      <c r="N9" s="28">
        <f t="shared" si="4"/>
        <v>0.75991781320206331</v>
      </c>
      <c r="O9" s="28">
        <f t="shared" si="4"/>
        <v>0.73069020500198378</v>
      </c>
      <c r="P9" s="28">
        <f t="shared" si="4"/>
        <v>0.70258673557883045</v>
      </c>
      <c r="Q9" s="28">
        <f t="shared" si="4"/>
        <v>0.67556416882579851</v>
      </c>
      <c r="R9" s="28">
        <f t="shared" si="4"/>
        <v>0.6495809315632679</v>
      </c>
      <c r="S9" s="28">
        <f t="shared" si="4"/>
        <v>0.62459704958006512</v>
      </c>
      <c r="T9" s="28">
        <f t="shared" si="4"/>
        <v>0.600574086134678</v>
      </c>
      <c r="U9" s="28">
        <f t="shared" si="4"/>
        <v>0.57747508282180582</v>
      </c>
      <c r="V9" s="28">
        <f t="shared" si="4"/>
        <v>0.55526450271327477</v>
      </c>
      <c r="W9" s="28">
        <f t="shared" si="4"/>
        <v>0.53390817568584104</v>
      </c>
      <c r="X9" s="28">
        <f t="shared" si="4"/>
        <v>0.51337324585177024</v>
      </c>
      <c r="Y9" s="28">
        <f t="shared" si="4"/>
        <v>0.49362812101131748</v>
      </c>
      <c r="Z9" s="28">
        <f t="shared" si="4"/>
        <v>0.47464242404934376</v>
      </c>
      <c r="AA9" s="28">
        <f t="shared" si="4"/>
        <v>0.45638694620129205</v>
      </c>
      <c r="AB9" s="28">
        <f t="shared" si="4"/>
        <v>0.43883360211662686</v>
      </c>
      <c r="AC9" s="28">
        <f t="shared" si="4"/>
        <v>0.42195538665060278</v>
      </c>
      <c r="AD9" s="28">
        <f t="shared" si="4"/>
        <v>0.40572633331788732</v>
      </c>
      <c r="AE9" s="28">
        <f t="shared" si="4"/>
        <v>0.39012147434412242</v>
      </c>
      <c r="AF9" s="28">
        <f t="shared" si="4"/>
        <v>0.37511680225396377</v>
      </c>
      <c r="AG9" s="28">
        <f>1/(1+$E$9)^AG3</f>
        <v>0.36068923293650368</v>
      </c>
      <c r="AH9" s="28">
        <f t="shared" si="4"/>
        <v>0.3468165701312535</v>
      </c>
      <c r="AI9" s="28">
        <f t="shared" si="4"/>
        <v>0.3334774712800514</v>
      </c>
      <c r="AJ9" s="28">
        <f t="shared" si="4"/>
        <v>0.32065141469235708</v>
      </c>
      <c r="AK9" s="28">
        <f t="shared" si="4"/>
        <v>0.30831866797342034</v>
      </c>
      <c r="AL9" s="28">
        <f t="shared" si="4"/>
        <v>0.29646025766675027</v>
      </c>
      <c r="AM9" s="28">
        <f t="shared" si="4"/>
        <v>0.28505794006418295</v>
      </c>
      <c r="AN9" s="28">
        <f t="shared" si="4"/>
        <v>0.27409417313863743</v>
      </c>
    </row>
    <row r="10" spans="1:40" x14ac:dyDescent="0.25">
      <c r="A10" s="54"/>
      <c r="B10" s="14" t="s">
        <v>199</v>
      </c>
      <c r="C10" s="14" t="s">
        <v>200</v>
      </c>
      <c r="D10" s="15" t="s">
        <v>128</v>
      </c>
      <c r="E10" s="152">
        <v>0.04</v>
      </c>
      <c r="F10" s="14"/>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row>
    <row r="11" spans="1:40" x14ac:dyDescent="0.25">
      <c r="A11" s="54"/>
      <c r="B11" s="14"/>
      <c r="C11" s="14"/>
      <c r="D11" s="15"/>
      <c r="E11" s="152"/>
      <c r="F11" s="14"/>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62"/>
      <c r="AH11" s="62"/>
      <c r="AI11" s="62"/>
      <c r="AJ11" s="63"/>
      <c r="AK11" s="63"/>
      <c r="AL11" s="63"/>
      <c r="AM11" s="63"/>
      <c r="AN11" s="64"/>
    </row>
    <row r="12" spans="1:40" x14ac:dyDescent="0.25">
      <c r="A12" s="54"/>
      <c r="B12" s="37" t="s">
        <v>104</v>
      </c>
      <c r="C12" s="37"/>
      <c r="D12" s="38"/>
      <c r="E12" s="39"/>
      <c r="F12" s="40"/>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4"/>
    </row>
    <row r="13" spans="1:40" x14ac:dyDescent="0.25">
      <c r="A13" s="54"/>
      <c r="B13" s="14" t="s">
        <v>152</v>
      </c>
      <c r="C13" s="14" t="s">
        <v>198</v>
      </c>
      <c r="D13" s="15" t="s">
        <v>201</v>
      </c>
      <c r="E13" s="16"/>
      <c r="F13" s="14"/>
      <c r="G13" s="162">
        <v>59</v>
      </c>
      <c r="H13" s="162">
        <v>65</v>
      </c>
      <c r="I13" s="162">
        <v>72</v>
      </c>
      <c r="J13" s="162">
        <v>78</v>
      </c>
      <c r="K13" s="162">
        <v>85</v>
      </c>
      <c r="L13" s="162">
        <v>91</v>
      </c>
      <c r="M13" s="162">
        <v>98</v>
      </c>
      <c r="N13" s="162">
        <v>104</v>
      </c>
      <c r="O13" s="162">
        <v>108</v>
      </c>
      <c r="P13" s="162">
        <v>112</v>
      </c>
      <c r="Q13" s="162">
        <v>116</v>
      </c>
      <c r="R13" s="162">
        <v>120</v>
      </c>
      <c r="S13" s="162">
        <v>124</v>
      </c>
      <c r="T13" s="162">
        <v>129</v>
      </c>
      <c r="U13" s="162">
        <v>133</v>
      </c>
      <c r="V13" s="162">
        <v>137</v>
      </c>
      <c r="W13" s="162">
        <v>141</v>
      </c>
      <c r="X13" s="162">
        <v>145</v>
      </c>
      <c r="Y13" s="162">
        <v>149</v>
      </c>
      <c r="Z13" s="162">
        <v>153</v>
      </c>
      <c r="AA13" s="162">
        <v>157</v>
      </c>
      <c r="AB13" s="162">
        <v>161</v>
      </c>
      <c r="AC13" s="162">
        <v>165</v>
      </c>
      <c r="AD13" s="162">
        <v>169</v>
      </c>
      <c r="AE13" s="162">
        <v>173</v>
      </c>
      <c r="AF13" s="162">
        <v>178</v>
      </c>
      <c r="AG13" s="162">
        <v>182</v>
      </c>
      <c r="AH13" s="162">
        <v>186</v>
      </c>
      <c r="AI13" s="162">
        <v>188</v>
      </c>
      <c r="AJ13" s="162">
        <v>189</v>
      </c>
      <c r="AK13" s="162">
        <v>191</v>
      </c>
      <c r="AL13" s="162">
        <v>193</v>
      </c>
      <c r="AM13" s="162">
        <v>195</v>
      </c>
      <c r="AN13" s="162">
        <v>197</v>
      </c>
    </row>
    <row r="14" spans="1:40" x14ac:dyDescent="0.25">
      <c r="A14" s="54"/>
      <c r="B14" s="14" t="s">
        <v>105</v>
      </c>
      <c r="C14" s="14" t="s">
        <v>198</v>
      </c>
      <c r="D14" s="15" t="s">
        <v>201</v>
      </c>
      <c r="E14" s="16"/>
      <c r="F14" s="14"/>
      <c r="G14" s="162">
        <v>87</v>
      </c>
      <c r="H14" s="162">
        <v>97</v>
      </c>
      <c r="I14" s="162">
        <v>107</v>
      </c>
      <c r="J14" s="162">
        <v>116</v>
      </c>
      <c r="K14" s="162">
        <v>126</v>
      </c>
      <c r="L14" s="162">
        <v>136</v>
      </c>
      <c r="M14" s="162">
        <v>146</v>
      </c>
      <c r="N14" s="162">
        <v>155</v>
      </c>
      <c r="O14" s="162">
        <v>161</v>
      </c>
      <c r="P14" s="162">
        <v>167</v>
      </c>
      <c r="Q14" s="162">
        <v>174</v>
      </c>
      <c r="R14" s="162">
        <v>180</v>
      </c>
      <c r="S14" s="162">
        <v>186</v>
      </c>
      <c r="T14" s="162">
        <v>192</v>
      </c>
      <c r="U14" s="162">
        <v>198</v>
      </c>
      <c r="V14" s="162">
        <v>204</v>
      </c>
      <c r="W14" s="162">
        <v>210</v>
      </c>
      <c r="X14" s="162">
        <v>216</v>
      </c>
      <c r="Y14" s="162">
        <v>222</v>
      </c>
      <c r="Z14" s="162">
        <v>228</v>
      </c>
      <c r="AA14" s="162">
        <v>235</v>
      </c>
      <c r="AB14" s="162">
        <v>241</v>
      </c>
      <c r="AC14" s="162">
        <v>247</v>
      </c>
      <c r="AD14" s="162">
        <v>253</v>
      </c>
      <c r="AE14" s="162">
        <v>259</v>
      </c>
      <c r="AF14" s="162">
        <v>265</v>
      </c>
      <c r="AG14" s="162">
        <v>271</v>
      </c>
      <c r="AH14" s="162">
        <v>277</v>
      </c>
      <c r="AI14" s="162">
        <v>286</v>
      </c>
      <c r="AJ14" s="162">
        <v>294</v>
      </c>
      <c r="AK14" s="162">
        <v>303</v>
      </c>
      <c r="AL14" s="162">
        <v>312</v>
      </c>
      <c r="AM14" s="162">
        <v>321</v>
      </c>
      <c r="AN14" s="162">
        <v>331</v>
      </c>
    </row>
    <row r="15" spans="1:40" x14ac:dyDescent="0.25">
      <c r="A15" s="54"/>
      <c r="B15" s="14" t="s">
        <v>153</v>
      </c>
      <c r="C15" s="14" t="s">
        <v>198</v>
      </c>
      <c r="D15" s="15" t="s">
        <v>201</v>
      </c>
      <c r="E15" s="16"/>
      <c r="F15" s="14"/>
      <c r="G15" s="162">
        <v>171</v>
      </c>
      <c r="H15" s="162">
        <v>182</v>
      </c>
      <c r="I15" s="162">
        <v>193</v>
      </c>
      <c r="J15" s="162">
        <v>203</v>
      </c>
      <c r="K15" s="162">
        <v>214</v>
      </c>
      <c r="L15" s="162">
        <v>219</v>
      </c>
      <c r="M15" s="162">
        <v>224</v>
      </c>
      <c r="N15" s="162">
        <v>230</v>
      </c>
      <c r="O15" s="162">
        <v>235</v>
      </c>
      <c r="P15" s="162">
        <v>241</v>
      </c>
      <c r="Q15" s="162">
        <v>247</v>
      </c>
      <c r="R15" s="162">
        <v>253</v>
      </c>
      <c r="S15" s="162">
        <v>259</v>
      </c>
      <c r="T15" s="162">
        <v>265</v>
      </c>
      <c r="U15" s="162">
        <v>271</v>
      </c>
      <c r="V15" s="162">
        <v>278</v>
      </c>
      <c r="W15" s="162">
        <v>284</v>
      </c>
      <c r="X15" s="162">
        <v>291</v>
      </c>
      <c r="Y15" s="162">
        <v>298</v>
      </c>
      <c r="Z15" s="162">
        <v>305</v>
      </c>
      <c r="AA15" s="162">
        <v>313</v>
      </c>
      <c r="AB15" s="162">
        <v>320</v>
      </c>
      <c r="AC15" s="162">
        <v>328</v>
      </c>
      <c r="AD15" s="162">
        <v>336</v>
      </c>
      <c r="AE15" s="162">
        <v>344</v>
      </c>
      <c r="AF15" s="162">
        <v>352</v>
      </c>
      <c r="AG15" s="162">
        <v>361</v>
      </c>
      <c r="AH15" s="162">
        <v>369</v>
      </c>
      <c r="AI15" s="162">
        <v>387</v>
      </c>
      <c r="AJ15" s="162">
        <v>407</v>
      </c>
      <c r="AK15" s="162">
        <v>427</v>
      </c>
      <c r="AL15" s="162">
        <v>448</v>
      </c>
      <c r="AM15" s="162">
        <v>471</v>
      </c>
      <c r="AN15" s="162">
        <v>494</v>
      </c>
    </row>
    <row r="16" spans="1:40" x14ac:dyDescent="0.25">
      <c r="A16" s="54"/>
      <c r="B16" s="20" t="s">
        <v>202</v>
      </c>
      <c r="C16" s="14"/>
      <c r="D16" s="15" t="s">
        <v>201</v>
      </c>
      <c r="E16" s="245" t="str">
        <f>Dashboard!I33</f>
        <v>Middle</v>
      </c>
      <c r="F16" s="14"/>
      <c r="G16" s="165">
        <f>IF($B$13=$E$16,G13, IF($B$14=$E$16,G14, IF($B$15=$E$16,G15,"")))</f>
        <v>87</v>
      </c>
      <c r="H16" s="165">
        <f t="shared" ref="H16:AK16" si="5">IF($B$13=$E$16,H13, IF($B$14=$E$16,H14, IF($B$15=$E$16,H15,"")))</f>
        <v>97</v>
      </c>
      <c r="I16" s="165">
        <f t="shared" si="5"/>
        <v>107</v>
      </c>
      <c r="J16" s="165">
        <f t="shared" si="5"/>
        <v>116</v>
      </c>
      <c r="K16" s="165">
        <f t="shared" si="5"/>
        <v>126</v>
      </c>
      <c r="L16" s="165">
        <f t="shared" si="5"/>
        <v>136</v>
      </c>
      <c r="M16" s="165">
        <f t="shared" si="5"/>
        <v>146</v>
      </c>
      <c r="N16" s="165">
        <f t="shared" si="5"/>
        <v>155</v>
      </c>
      <c r="O16" s="165">
        <f t="shared" si="5"/>
        <v>161</v>
      </c>
      <c r="P16" s="165">
        <f t="shared" si="5"/>
        <v>167</v>
      </c>
      <c r="Q16" s="165">
        <f t="shared" si="5"/>
        <v>174</v>
      </c>
      <c r="R16" s="165">
        <f t="shared" si="5"/>
        <v>180</v>
      </c>
      <c r="S16" s="165">
        <f t="shared" si="5"/>
        <v>186</v>
      </c>
      <c r="T16" s="165">
        <f t="shared" si="5"/>
        <v>192</v>
      </c>
      <c r="U16" s="165">
        <f t="shared" si="5"/>
        <v>198</v>
      </c>
      <c r="V16" s="165">
        <f t="shared" si="5"/>
        <v>204</v>
      </c>
      <c r="W16" s="165">
        <f t="shared" si="5"/>
        <v>210</v>
      </c>
      <c r="X16" s="165">
        <f t="shared" si="5"/>
        <v>216</v>
      </c>
      <c r="Y16" s="165">
        <f t="shared" si="5"/>
        <v>222</v>
      </c>
      <c r="Z16" s="165">
        <f t="shared" si="5"/>
        <v>228</v>
      </c>
      <c r="AA16" s="165">
        <f t="shared" si="5"/>
        <v>235</v>
      </c>
      <c r="AB16" s="165">
        <f t="shared" si="5"/>
        <v>241</v>
      </c>
      <c r="AC16" s="165">
        <f t="shared" si="5"/>
        <v>247</v>
      </c>
      <c r="AD16" s="165">
        <f t="shared" si="5"/>
        <v>253</v>
      </c>
      <c r="AE16" s="165">
        <f t="shared" si="5"/>
        <v>259</v>
      </c>
      <c r="AF16" s="165">
        <f t="shared" si="5"/>
        <v>265</v>
      </c>
      <c r="AG16" s="165">
        <f t="shared" si="5"/>
        <v>271</v>
      </c>
      <c r="AH16" s="165">
        <f t="shared" si="5"/>
        <v>277</v>
      </c>
      <c r="AI16" s="165">
        <f t="shared" si="5"/>
        <v>286</v>
      </c>
      <c r="AJ16" s="165">
        <f t="shared" si="5"/>
        <v>294</v>
      </c>
      <c r="AK16" s="165">
        <f t="shared" si="5"/>
        <v>303</v>
      </c>
      <c r="AL16" s="165">
        <f t="shared" ref="AL16" si="6">IF($B$13=$E$16,AL13, IF($B$14=$E$16,AL14, IF($B$15=$E$16,AL15,"")))</f>
        <v>312</v>
      </c>
      <c r="AM16" s="165">
        <f t="shared" ref="AM16" si="7">IF($B$13=$E$16,AM13, IF($B$14=$E$16,AM14, IF($B$15=$E$16,AM15,"")))</f>
        <v>321</v>
      </c>
      <c r="AN16" s="165">
        <f t="shared" ref="AN16" si="8">IF($B$13=$E$16,AN13, IF($B$14=$E$16,AN14, IF($B$15=$E$16,AN15,"")))</f>
        <v>331</v>
      </c>
    </row>
    <row r="17" spans="1:40" x14ac:dyDescent="0.25">
      <c r="A17" s="54"/>
      <c r="B17" s="14"/>
      <c r="C17" s="14"/>
      <c r="D17" s="15"/>
      <c r="E17" s="16"/>
      <c r="F17" s="14"/>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63"/>
      <c r="AN17" s="64"/>
    </row>
    <row r="18" spans="1:40" x14ac:dyDescent="0.25">
      <c r="A18" s="54"/>
      <c r="B18" s="37" t="s">
        <v>203</v>
      </c>
      <c r="C18" s="37"/>
      <c r="D18" s="38"/>
      <c r="E18" s="39"/>
      <c r="F18" s="40"/>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row>
    <row r="19" spans="1:40" x14ac:dyDescent="0.25">
      <c r="A19" s="54"/>
      <c r="B19" s="14"/>
      <c r="C19" s="14"/>
      <c r="D19" s="15"/>
      <c r="E19" s="234"/>
      <c r="F19" s="71"/>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29"/>
    </row>
    <row r="20" spans="1:40" x14ac:dyDescent="0.25">
      <c r="A20" s="54"/>
      <c r="B20" s="20" t="s">
        <v>204</v>
      </c>
      <c r="C20" s="14"/>
      <c r="D20" s="15"/>
      <c r="E20" s="234"/>
      <c r="F20" s="71"/>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29"/>
    </row>
    <row r="21" spans="1:40" x14ac:dyDescent="0.25">
      <c r="A21" s="54"/>
      <c r="B21" s="14" t="s">
        <v>205</v>
      </c>
      <c r="C21" s="14" t="s">
        <v>198</v>
      </c>
      <c r="D21" s="15" t="s">
        <v>206</v>
      </c>
      <c r="E21" s="234">
        <v>2.99</v>
      </c>
      <c r="F21" s="71"/>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29"/>
    </row>
    <row r="22" spans="1:40" x14ac:dyDescent="0.25">
      <c r="A22" s="54"/>
      <c r="B22" s="14" t="s">
        <v>207</v>
      </c>
      <c r="C22" s="14" t="s">
        <v>198</v>
      </c>
      <c r="D22" s="15" t="s">
        <v>206</v>
      </c>
      <c r="E22" s="234">
        <v>949</v>
      </c>
      <c r="F22" s="71"/>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29"/>
    </row>
    <row r="23" spans="1:40" x14ac:dyDescent="0.25">
      <c r="A23" s="54"/>
      <c r="B23" s="20" t="s">
        <v>208</v>
      </c>
      <c r="C23" s="14" t="s">
        <v>198</v>
      </c>
      <c r="D23" s="15" t="s">
        <v>206</v>
      </c>
      <c r="E23" s="234"/>
      <c r="F23" s="71"/>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29"/>
    </row>
    <row r="24" spans="1:40" x14ac:dyDescent="0.25">
      <c r="A24" s="54"/>
      <c r="B24" s="14" t="s">
        <v>209</v>
      </c>
      <c r="C24" s="14"/>
      <c r="D24" s="15" t="s">
        <v>206</v>
      </c>
      <c r="E24" s="234">
        <v>325312</v>
      </c>
      <c r="F24" s="71"/>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29"/>
    </row>
    <row r="25" spans="1:40" x14ac:dyDescent="0.25">
      <c r="A25" s="54"/>
      <c r="B25" s="14" t="s">
        <v>210</v>
      </c>
      <c r="C25" s="14"/>
      <c r="D25" s="15" t="s">
        <v>211</v>
      </c>
      <c r="E25" s="234">
        <v>16347</v>
      </c>
      <c r="F25" s="71"/>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29"/>
    </row>
    <row r="26" spans="1:40" x14ac:dyDescent="0.25">
      <c r="A26" s="54"/>
      <c r="B26" s="14" t="s">
        <v>212</v>
      </c>
      <c r="C26" s="14" t="s">
        <v>198</v>
      </c>
      <c r="D26" s="15" t="s">
        <v>206</v>
      </c>
      <c r="E26" s="234">
        <v>0</v>
      </c>
      <c r="F26" s="71"/>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29"/>
    </row>
    <row r="27" spans="1:40" x14ac:dyDescent="0.25">
      <c r="A27" s="54"/>
      <c r="B27" s="14" t="s">
        <v>213</v>
      </c>
      <c r="C27" s="14" t="s">
        <v>198</v>
      </c>
      <c r="D27" s="15" t="s">
        <v>206</v>
      </c>
      <c r="E27" s="234">
        <v>530676</v>
      </c>
      <c r="F27" s="71"/>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29"/>
    </row>
    <row r="28" spans="1:40" x14ac:dyDescent="0.25">
      <c r="A28" s="54"/>
      <c r="B28" s="14" t="s">
        <v>214</v>
      </c>
      <c r="C28" s="14" t="s">
        <v>198</v>
      </c>
      <c r="D28" s="15" t="s">
        <v>206</v>
      </c>
      <c r="E28" s="234">
        <v>0</v>
      </c>
      <c r="F28" s="71"/>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29"/>
    </row>
    <row r="29" spans="1:40" x14ac:dyDescent="0.25">
      <c r="A29" s="54"/>
      <c r="B29" s="14" t="s">
        <v>215</v>
      </c>
      <c r="C29" s="14" t="s">
        <v>198</v>
      </c>
      <c r="D29" s="15" t="s">
        <v>206</v>
      </c>
      <c r="E29" s="234">
        <v>24160</v>
      </c>
      <c r="F29" s="71"/>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29"/>
    </row>
    <row r="30" spans="1:40" x14ac:dyDescent="0.25">
      <c r="A30" s="54"/>
      <c r="B30" s="14"/>
      <c r="C30" s="14"/>
      <c r="D30" s="15"/>
      <c r="E30" s="16"/>
      <c r="F30" s="14"/>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3"/>
      <c r="AK30" s="63"/>
      <c r="AL30" s="63"/>
      <c r="AM30" s="63"/>
      <c r="AN30" s="64"/>
    </row>
    <row r="31" spans="1:40" x14ac:dyDescent="0.25">
      <c r="A31" s="54"/>
      <c r="B31" s="14" t="s">
        <v>216</v>
      </c>
      <c r="C31" s="14" t="s">
        <v>217</v>
      </c>
      <c r="D31" s="15" t="s">
        <v>128</v>
      </c>
      <c r="E31" s="515">
        <v>0.1404494382022472</v>
      </c>
      <c r="F31" s="71"/>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29"/>
    </row>
    <row r="32" spans="1:40" x14ac:dyDescent="0.25">
      <c r="A32" s="54"/>
      <c r="B32" s="14" t="s">
        <v>218</v>
      </c>
      <c r="C32" s="14" t="s">
        <v>217</v>
      </c>
      <c r="D32" s="15" t="s">
        <v>128</v>
      </c>
      <c r="E32" s="516">
        <v>0.21799999999999997</v>
      </c>
      <c r="F32" s="71"/>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29"/>
    </row>
    <row r="33" spans="1:40" x14ac:dyDescent="0.25">
      <c r="A33" s="54"/>
      <c r="B33" s="14"/>
      <c r="C33" s="14"/>
      <c r="D33" s="15"/>
      <c r="E33" s="234"/>
      <c r="F33" s="71"/>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29"/>
    </row>
    <row r="34" spans="1:40" x14ac:dyDescent="0.25">
      <c r="A34" s="54"/>
      <c r="B34" s="20" t="s">
        <v>219</v>
      </c>
      <c r="C34" s="14"/>
      <c r="D34" s="15"/>
      <c r="E34" s="160"/>
      <c r="F34" s="14"/>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62"/>
      <c r="AJ34" s="63"/>
      <c r="AK34" s="63"/>
      <c r="AL34" s="63"/>
      <c r="AM34" s="63"/>
      <c r="AN34" s="64"/>
    </row>
    <row r="35" spans="1:40" x14ac:dyDescent="0.25">
      <c r="A35" s="54"/>
      <c r="B35" s="14" t="s">
        <v>205</v>
      </c>
      <c r="C35" s="14" t="s">
        <v>198</v>
      </c>
      <c r="D35" s="15" t="s">
        <v>167</v>
      </c>
      <c r="E35" s="517">
        <f>E21*(1+$E$31)</f>
        <v>3.4099438202247194</v>
      </c>
      <c r="F35" s="71"/>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29"/>
    </row>
    <row r="36" spans="1:40" x14ac:dyDescent="0.25">
      <c r="A36" s="54"/>
      <c r="B36" s="14" t="s">
        <v>207</v>
      </c>
      <c r="C36" s="14" t="s">
        <v>198</v>
      </c>
      <c r="D36" s="15" t="s">
        <v>167</v>
      </c>
      <c r="E36" s="517">
        <f>E22*(1+$E$31)</f>
        <v>1082.2865168539327</v>
      </c>
      <c r="F36" s="71"/>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29"/>
    </row>
    <row r="37" spans="1:40" x14ac:dyDescent="0.25">
      <c r="A37" s="54"/>
      <c r="B37" s="14" t="s">
        <v>220</v>
      </c>
      <c r="C37" s="14" t="s">
        <v>198</v>
      </c>
      <c r="D37" s="15" t="s">
        <v>167</v>
      </c>
      <c r="E37" s="517">
        <f>INDEX('Control panel'!$E$30:$E$31, MATCH(Data!$E$38,'Control panel'!$C$30:$C$31,0))</f>
        <v>371001.88764044945</v>
      </c>
      <c r="F37" s="71"/>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29"/>
    </row>
    <row r="38" spans="1:40" x14ac:dyDescent="0.25">
      <c r="A38" s="54"/>
      <c r="B38" s="14" t="s">
        <v>221</v>
      </c>
      <c r="C38" s="14"/>
      <c r="D38" s="15" t="s">
        <v>167</v>
      </c>
      <c r="E38" s="518" t="str">
        <f>Dashboard!I34</f>
        <v>$371,001, 2023 NZTA study (default)</v>
      </c>
      <c r="F38" s="71"/>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29"/>
    </row>
    <row r="39" spans="1:40" x14ac:dyDescent="0.25">
      <c r="A39" s="54"/>
      <c r="B39" s="14" t="s">
        <v>212</v>
      </c>
      <c r="C39" s="14" t="s">
        <v>198</v>
      </c>
      <c r="D39" s="15" t="s">
        <v>167</v>
      </c>
      <c r="E39" s="517">
        <v>0</v>
      </c>
      <c r="F39" s="71"/>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29"/>
    </row>
    <row r="40" spans="1:40" x14ac:dyDescent="0.25">
      <c r="A40" s="54"/>
      <c r="B40" s="14" t="s">
        <v>213</v>
      </c>
      <c r="C40" s="14" t="s">
        <v>198</v>
      </c>
      <c r="D40" s="15" t="s">
        <v>167</v>
      </c>
      <c r="E40" s="517">
        <f>E27*(1+$E$31)</f>
        <v>605209.14606741571</v>
      </c>
      <c r="F40" s="71"/>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29"/>
    </row>
    <row r="41" spans="1:40" x14ac:dyDescent="0.25">
      <c r="A41" s="54"/>
      <c r="B41" s="14" t="s">
        <v>214</v>
      </c>
      <c r="C41" s="14" t="s">
        <v>198</v>
      </c>
      <c r="D41" s="15" t="s">
        <v>167</v>
      </c>
      <c r="E41" s="517">
        <v>0</v>
      </c>
      <c r="F41" s="71"/>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29"/>
    </row>
    <row r="42" spans="1:40" x14ac:dyDescent="0.25">
      <c r="A42" s="54"/>
      <c r="B42" s="14" t="s">
        <v>215</v>
      </c>
      <c r="C42" s="14" t="s">
        <v>198</v>
      </c>
      <c r="D42" s="15" t="s">
        <v>167</v>
      </c>
      <c r="E42" s="517">
        <f>E29*(1+$E$31)</f>
        <v>27553.258426966291</v>
      </c>
      <c r="F42" s="71"/>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29"/>
    </row>
    <row r="43" spans="1:40" x14ac:dyDescent="0.25">
      <c r="A43" s="54"/>
      <c r="B43" s="14"/>
      <c r="C43" s="14"/>
      <c r="D43" s="15"/>
      <c r="E43" s="16"/>
      <c r="F43" s="14"/>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3"/>
      <c r="AK43" s="63"/>
      <c r="AL43" s="63"/>
      <c r="AM43" s="63"/>
      <c r="AN43" s="64"/>
    </row>
    <row r="44" spans="1:40" x14ac:dyDescent="0.25">
      <c r="A44" s="59"/>
      <c r="B44" s="24" t="s">
        <v>222</v>
      </c>
      <c r="C44" s="24"/>
      <c r="D44" s="25"/>
      <c r="E44" s="26"/>
      <c r="F44" s="26"/>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1"/>
    </row>
    <row r="45" spans="1:40" x14ac:dyDescent="0.25">
      <c r="A45" s="54"/>
      <c r="B45" s="14" t="s">
        <v>223</v>
      </c>
      <c r="C45" s="14"/>
      <c r="D45" s="15" t="s">
        <v>224</v>
      </c>
      <c r="E45" s="155">
        <v>1.60934</v>
      </c>
      <c r="F45" s="14"/>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3"/>
      <c r="AK45" s="63"/>
      <c r="AL45" s="63"/>
      <c r="AM45" s="63"/>
      <c r="AN45" s="64"/>
    </row>
    <row r="46" spans="1:40" x14ac:dyDescent="0.25">
      <c r="A46" s="54"/>
      <c r="B46" s="14"/>
      <c r="C46" s="14"/>
      <c r="D46" s="15"/>
      <c r="E46" s="155"/>
      <c r="F46" s="14"/>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3"/>
      <c r="AK46" s="63"/>
      <c r="AL46" s="63"/>
      <c r="AM46" s="63"/>
      <c r="AN46" s="64"/>
    </row>
    <row r="47" spans="1:40" ht="14.25" customHeight="1" x14ac:dyDescent="0.25">
      <c r="A47" s="54"/>
      <c r="B47" s="14" t="s">
        <v>225</v>
      </c>
      <c r="C47" s="14"/>
      <c r="D47" s="15"/>
      <c r="E47" s="157"/>
      <c r="F47" s="14"/>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3"/>
      <c r="AK47" s="63"/>
      <c r="AL47" s="63"/>
      <c r="AM47" s="63"/>
      <c r="AN47" s="64"/>
    </row>
    <row r="48" spans="1:40" ht="14.25" customHeight="1" x14ac:dyDescent="0.25">
      <c r="A48" s="54"/>
      <c r="B48" s="14">
        <v>2018</v>
      </c>
      <c r="C48" s="14"/>
      <c r="D48" s="15" t="s">
        <v>226</v>
      </c>
      <c r="E48" s="155">
        <v>1.4468000000000001</v>
      </c>
      <c r="F48" s="14"/>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3"/>
      <c r="AK48" s="63"/>
      <c r="AL48" s="63"/>
      <c r="AM48" s="63"/>
      <c r="AN48" s="64"/>
    </row>
    <row r="49" spans="1:40" x14ac:dyDescent="0.25">
      <c r="A49" s="54"/>
      <c r="B49" s="14">
        <v>2019</v>
      </c>
      <c r="C49" s="14"/>
      <c r="D49" s="15" t="s">
        <v>226</v>
      </c>
      <c r="E49" s="155">
        <v>1.5182</v>
      </c>
      <c r="F49" s="14"/>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3"/>
      <c r="AK49" s="63"/>
      <c r="AL49" s="63"/>
      <c r="AM49" s="63"/>
      <c r="AN49" s="64"/>
    </row>
    <row r="50" spans="1:40" x14ac:dyDescent="0.25">
      <c r="A50" s="54"/>
      <c r="B50" s="14">
        <v>2020</v>
      </c>
      <c r="C50" s="14"/>
      <c r="D50" s="15" t="s">
        <v>226</v>
      </c>
      <c r="E50" s="155">
        <v>1.5411999999999999</v>
      </c>
      <c r="F50" s="14"/>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3"/>
      <c r="AK50" s="63"/>
      <c r="AL50" s="63"/>
      <c r="AM50" s="63"/>
      <c r="AN50" s="64"/>
    </row>
    <row r="51" spans="1:40" x14ac:dyDescent="0.25">
      <c r="A51" s="54"/>
      <c r="B51" s="14">
        <v>2021</v>
      </c>
      <c r="C51" s="14"/>
      <c r="D51" s="15" t="s">
        <v>226</v>
      </c>
      <c r="E51" s="155">
        <v>1.4145000000000001</v>
      </c>
      <c r="F51" s="14"/>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3"/>
      <c r="AK51" s="63"/>
      <c r="AL51" s="63"/>
      <c r="AM51" s="63"/>
      <c r="AN51" s="64"/>
    </row>
    <row r="52" spans="1:40" x14ac:dyDescent="0.25">
      <c r="A52" s="54"/>
      <c r="B52" s="14">
        <v>2022</v>
      </c>
      <c r="C52" s="14"/>
      <c r="D52" s="15" t="s">
        <v>226</v>
      </c>
      <c r="E52" s="155">
        <v>1.5778000000000001</v>
      </c>
      <c r="F52" s="14"/>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3"/>
      <c r="AK52" s="63"/>
      <c r="AL52" s="63"/>
      <c r="AM52" s="63"/>
      <c r="AN52" s="64"/>
    </row>
    <row r="53" spans="1:40" x14ac:dyDescent="0.25">
      <c r="A53" s="54"/>
      <c r="B53" s="14"/>
      <c r="C53" s="14"/>
      <c r="D53" s="15"/>
      <c r="E53" s="16"/>
      <c r="F53" s="14"/>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3"/>
      <c r="AK53" s="63"/>
      <c r="AL53" s="63"/>
      <c r="AM53" s="63"/>
      <c r="AN53" s="64"/>
    </row>
    <row r="54" spans="1:40" x14ac:dyDescent="0.25">
      <c r="A54" s="54"/>
      <c r="B54" s="14"/>
      <c r="C54" s="14"/>
      <c r="D54" s="15"/>
      <c r="E54" s="16"/>
      <c r="F54" s="14"/>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29"/>
    </row>
    <row r="55" spans="1:40" x14ac:dyDescent="0.25">
      <c r="A55" s="59"/>
      <c r="B55" s="24" t="s">
        <v>227</v>
      </c>
      <c r="C55" s="24"/>
      <c r="D55" s="25"/>
      <c r="E55" s="26"/>
      <c r="F55" s="26"/>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1"/>
    </row>
    <row r="56" spans="1:40" collapsed="1" x14ac:dyDescent="0.25">
      <c r="A56" s="65"/>
      <c r="B56" s="34" t="s">
        <v>228</v>
      </c>
      <c r="C56" s="34"/>
      <c r="D56" s="35"/>
      <c r="E56" s="36"/>
      <c r="F56" s="3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7"/>
    </row>
    <row r="57" spans="1:40" s="51" customFormat="1" outlineLevel="1" x14ac:dyDescent="0.25">
      <c r="A57" s="77"/>
      <c r="B57" s="20"/>
      <c r="C57" s="78"/>
      <c r="D57" s="79"/>
      <c r="E57" s="80"/>
      <c r="F57" s="12"/>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81"/>
    </row>
    <row r="58" spans="1:40" outlineLevel="1" x14ac:dyDescent="0.25">
      <c r="A58" s="54"/>
      <c r="B58" s="37" t="s">
        <v>185</v>
      </c>
      <c r="C58" s="37"/>
      <c r="D58" s="38"/>
      <c r="E58" s="39"/>
      <c r="F58" s="40"/>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4"/>
    </row>
    <row r="59" spans="1:40" s="12" customFormat="1" outlineLevel="1" x14ac:dyDescent="0.25">
      <c r="A59" s="77"/>
      <c r="B59" s="14" t="s">
        <v>229</v>
      </c>
      <c r="C59" s="15" t="s">
        <v>230</v>
      </c>
      <c r="D59" s="15" t="s">
        <v>135</v>
      </c>
      <c r="E59" s="213">
        <f>AVERAGE(G59:AN59)</f>
        <v>1.5808498912979279</v>
      </c>
      <c r="F59" s="14"/>
      <c r="G59" s="162">
        <v>1.95</v>
      </c>
      <c r="H59" s="162">
        <v>1.95</v>
      </c>
      <c r="I59" s="162">
        <v>1.5577780095040483</v>
      </c>
      <c r="J59" s="162">
        <v>1.5577780095040483</v>
      </c>
      <c r="K59" s="162">
        <v>1.5577780095040483</v>
      </c>
      <c r="L59" s="162">
        <v>1.5577780095040483</v>
      </c>
      <c r="M59" s="162">
        <v>1.5577780095040483</v>
      </c>
      <c r="N59" s="162">
        <v>1.5577780095040483</v>
      </c>
      <c r="O59" s="162">
        <v>1.5577780095040483</v>
      </c>
      <c r="P59" s="162">
        <v>1.5577780095040483</v>
      </c>
      <c r="Q59" s="162">
        <v>1.5577780095040483</v>
      </c>
      <c r="R59" s="162">
        <v>1.5577780095040483</v>
      </c>
      <c r="S59" s="162">
        <v>1.5577780095040483</v>
      </c>
      <c r="T59" s="162">
        <v>1.5577780095040483</v>
      </c>
      <c r="U59" s="162">
        <v>1.5577780095040483</v>
      </c>
      <c r="V59" s="162">
        <v>1.5577780095040483</v>
      </c>
      <c r="W59" s="162">
        <v>1.5577780095040483</v>
      </c>
      <c r="X59" s="162">
        <v>1.5577780095040483</v>
      </c>
      <c r="Y59" s="162">
        <v>1.5577780095040483</v>
      </c>
      <c r="Z59" s="162">
        <v>1.5577780095040483</v>
      </c>
      <c r="AA59" s="162">
        <v>1.5577780095040483</v>
      </c>
      <c r="AB59" s="162">
        <v>1.5577780095040483</v>
      </c>
      <c r="AC59" s="162">
        <v>1.5577780095040483</v>
      </c>
      <c r="AD59" s="162">
        <v>1.5577780095040483</v>
      </c>
      <c r="AE59" s="162">
        <v>1.5577780095040483</v>
      </c>
      <c r="AF59" s="162">
        <v>1.5577780095040483</v>
      </c>
      <c r="AG59" s="162">
        <v>1.5577780095040483</v>
      </c>
      <c r="AH59" s="162">
        <v>1.5577780095040483</v>
      </c>
      <c r="AI59" s="162">
        <v>1.5577780095040483</v>
      </c>
      <c r="AJ59" s="162">
        <v>1.5577780095040483</v>
      </c>
      <c r="AK59" s="162">
        <v>1.5577780095040483</v>
      </c>
      <c r="AL59" s="162">
        <v>1.5577780095040483</v>
      </c>
      <c r="AM59" s="162">
        <v>1.5577780095040483</v>
      </c>
      <c r="AN59" s="162">
        <v>1.5577780095040483</v>
      </c>
    </row>
    <row r="60" spans="1:40" s="51" customFormat="1" outlineLevel="1" x14ac:dyDescent="0.25">
      <c r="A60" s="77"/>
      <c r="B60" s="14" t="s">
        <v>231</v>
      </c>
      <c r="C60" s="15"/>
      <c r="D60" s="15" t="s">
        <v>128</v>
      </c>
      <c r="E60" s="212">
        <f>Dashboard!H78</f>
        <v>0</v>
      </c>
      <c r="F60" s="14"/>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62"/>
      <c r="AK60" s="162"/>
      <c r="AL60" s="69"/>
      <c r="AM60" s="69"/>
      <c r="AN60" s="81"/>
    </row>
    <row r="61" spans="1:40" s="51" customFormat="1" outlineLevel="1" x14ac:dyDescent="0.25">
      <c r="A61" s="77"/>
      <c r="B61" s="14" t="s">
        <v>232</v>
      </c>
      <c r="C61" s="15"/>
      <c r="D61" s="15"/>
      <c r="E61" s="212"/>
      <c r="F61" s="14"/>
      <c r="G61" s="56">
        <f>G59*(1+$E$60)</f>
        <v>1.95</v>
      </c>
      <c r="H61" s="56">
        <f t="shared" ref="H61:AM61" si="9">H59*(1+$E$60)</f>
        <v>1.95</v>
      </c>
      <c r="I61" s="56">
        <f>I59*(1+$E$60)</f>
        <v>1.5577780095040483</v>
      </c>
      <c r="J61" s="56">
        <f t="shared" si="9"/>
        <v>1.5577780095040483</v>
      </c>
      <c r="K61" s="56">
        <f t="shared" si="9"/>
        <v>1.5577780095040483</v>
      </c>
      <c r="L61" s="56">
        <f t="shared" si="9"/>
        <v>1.5577780095040483</v>
      </c>
      <c r="M61" s="56">
        <f t="shared" si="9"/>
        <v>1.5577780095040483</v>
      </c>
      <c r="N61" s="56">
        <f t="shared" si="9"/>
        <v>1.5577780095040483</v>
      </c>
      <c r="O61" s="56">
        <f t="shared" si="9"/>
        <v>1.5577780095040483</v>
      </c>
      <c r="P61" s="56">
        <f t="shared" si="9"/>
        <v>1.5577780095040483</v>
      </c>
      <c r="Q61" s="56">
        <f t="shared" si="9"/>
        <v>1.5577780095040483</v>
      </c>
      <c r="R61" s="56">
        <f t="shared" si="9"/>
        <v>1.5577780095040483</v>
      </c>
      <c r="S61" s="56">
        <f t="shared" si="9"/>
        <v>1.5577780095040483</v>
      </c>
      <c r="T61" s="56">
        <f t="shared" si="9"/>
        <v>1.5577780095040483</v>
      </c>
      <c r="U61" s="56">
        <f t="shared" si="9"/>
        <v>1.5577780095040483</v>
      </c>
      <c r="V61" s="56">
        <f t="shared" si="9"/>
        <v>1.5577780095040483</v>
      </c>
      <c r="W61" s="56">
        <f t="shared" si="9"/>
        <v>1.5577780095040483</v>
      </c>
      <c r="X61" s="56">
        <f t="shared" si="9"/>
        <v>1.5577780095040483</v>
      </c>
      <c r="Y61" s="56">
        <f t="shared" si="9"/>
        <v>1.5577780095040483</v>
      </c>
      <c r="Z61" s="56">
        <f t="shared" si="9"/>
        <v>1.5577780095040483</v>
      </c>
      <c r="AA61" s="56">
        <f t="shared" si="9"/>
        <v>1.5577780095040483</v>
      </c>
      <c r="AB61" s="56">
        <f t="shared" si="9"/>
        <v>1.5577780095040483</v>
      </c>
      <c r="AC61" s="56">
        <f t="shared" si="9"/>
        <v>1.5577780095040483</v>
      </c>
      <c r="AD61" s="56">
        <f t="shared" si="9"/>
        <v>1.5577780095040483</v>
      </c>
      <c r="AE61" s="56">
        <f t="shared" si="9"/>
        <v>1.5577780095040483</v>
      </c>
      <c r="AF61" s="56">
        <f t="shared" si="9"/>
        <v>1.5577780095040483</v>
      </c>
      <c r="AG61" s="56">
        <f t="shared" si="9"/>
        <v>1.5577780095040483</v>
      </c>
      <c r="AH61" s="56">
        <f t="shared" si="9"/>
        <v>1.5577780095040483</v>
      </c>
      <c r="AI61" s="56">
        <f t="shared" si="9"/>
        <v>1.5577780095040483</v>
      </c>
      <c r="AJ61" s="56">
        <f t="shared" si="9"/>
        <v>1.5577780095040483</v>
      </c>
      <c r="AK61" s="56">
        <f t="shared" si="9"/>
        <v>1.5577780095040483</v>
      </c>
      <c r="AL61" s="56">
        <f t="shared" si="9"/>
        <v>1.5577780095040483</v>
      </c>
      <c r="AM61" s="56">
        <f t="shared" si="9"/>
        <v>1.5577780095040483</v>
      </c>
      <c r="AN61" s="56">
        <f>AN59*(1+$E$60)</f>
        <v>1.5577780095040483</v>
      </c>
    </row>
    <row r="62" spans="1:40" s="51" customFormat="1" outlineLevel="1" x14ac:dyDescent="0.25">
      <c r="A62" s="77"/>
      <c r="B62" s="14"/>
      <c r="C62" s="15"/>
      <c r="D62" s="15"/>
      <c r="E62" s="212"/>
      <c r="F62" s="14"/>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162"/>
      <c r="AK62" s="162"/>
      <c r="AL62" s="69"/>
      <c r="AM62" s="69"/>
      <c r="AN62" s="81"/>
    </row>
    <row r="63" spans="1:40" outlineLevel="1" x14ac:dyDescent="0.25">
      <c r="A63" s="77"/>
      <c r="B63" s="37" t="s">
        <v>233</v>
      </c>
      <c r="C63" s="37"/>
      <c r="D63" s="38"/>
      <c r="E63" s="39"/>
      <c r="F63" s="40"/>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4"/>
    </row>
    <row r="64" spans="1:40" s="12" customFormat="1" outlineLevel="1" x14ac:dyDescent="0.25">
      <c r="A64" s="77"/>
      <c r="B64" s="14" t="s">
        <v>234</v>
      </c>
      <c r="C64" s="15" t="s">
        <v>235</v>
      </c>
      <c r="D64" s="15" t="s">
        <v>137</v>
      </c>
      <c r="E64" s="213">
        <f>AVERAGE(G64:AN64)</f>
        <v>7.2281164324592293</v>
      </c>
      <c r="F64" s="14"/>
      <c r="G64" s="162">
        <v>19.380431301305965</v>
      </c>
      <c r="H64" s="162">
        <v>17.76086260261193</v>
      </c>
      <c r="I64" s="162">
        <v>16.141293903917894</v>
      </c>
      <c r="J64" s="162">
        <v>14.521725205223861</v>
      </c>
      <c r="K64" s="162">
        <v>12.902156506529828</v>
      </c>
      <c r="L64" s="162">
        <v>11.282587807835794</v>
      </c>
      <c r="M64" s="162">
        <v>9.6630191091417608</v>
      </c>
      <c r="N64" s="162">
        <v>8.0434504104477274</v>
      </c>
      <c r="O64" s="162">
        <v>6.4238817117536939</v>
      </c>
      <c r="P64" s="162">
        <v>6.3060671942407822</v>
      </c>
      <c r="Q64" s="162">
        <v>6.1910464206559706</v>
      </c>
      <c r="R64" s="162">
        <v>6.0787420038775632</v>
      </c>
      <c r="S64" s="162">
        <v>5.969078933904119</v>
      </c>
      <c r="T64" s="162">
        <v>5.8619845007146703</v>
      </c>
      <c r="U64" s="162">
        <v>5.7573882196984778</v>
      </c>
      <c r="V64" s="162">
        <v>5.6552217595677359</v>
      </c>
      <c r="W64" s="162">
        <v>5.5554188726695388</v>
      </c>
      <c r="X64" s="162">
        <v>5.4579153276163108</v>
      </c>
      <c r="Y64" s="162">
        <v>5.3626488441565865</v>
      </c>
      <c r="Z64" s="162">
        <v>5.2695590302107282</v>
      </c>
      <c r="AA64" s="162">
        <v>5.1785873209986475</v>
      </c>
      <c r="AB64" s="162">
        <v>5.0896769201891541</v>
      </c>
      <c r="AC64" s="162">
        <v>5.0027727430028435</v>
      </c>
      <c r="AD64" s="162">
        <v>4.9178213612028356</v>
      </c>
      <c r="AE64" s="162">
        <v>4.834770949909827</v>
      </c>
      <c r="AF64" s="162">
        <v>4.7535712361800995</v>
      </c>
      <c r="AG64" s="162">
        <v>4.6741734492872036</v>
      </c>
      <c r="AH64" s="162">
        <v>4.5965302726500479</v>
      </c>
      <c r="AI64" s="162">
        <v>4.5205957973520334</v>
      </c>
      <c r="AJ64" s="162">
        <v>4.5205957973520334</v>
      </c>
      <c r="AK64" s="162">
        <v>4.5205957973520334</v>
      </c>
      <c r="AL64" s="162">
        <v>4.5205957973520334</v>
      </c>
      <c r="AM64" s="162">
        <v>4.5205957973520334</v>
      </c>
      <c r="AN64" s="162">
        <v>4.5205957973520334</v>
      </c>
    </row>
    <row r="65" spans="1:40" s="167" customFormat="1" outlineLevel="1" x14ac:dyDescent="0.25">
      <c r="A65" s="77"/>
      <c r="B65" s="14" t="s">
        <v>231</v>
      </c>
      <c r="C65" s="112"/>
      <c r="D65" s="112"/>
      <c r="E65" s="212">
        <f>Dashboard!H79</f>
        <v>0</v>
      </c>
      <c r="F65" s="96"/>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5"/>
      <c r="AK65" s="165"/>
      <c r="AL65" s="165"/>
      <c r="AM65" s="165"/>
      <c r="AN65" s="166"/>
    </row>
    <row r="66" spans="1:40" s="167" customFormat="1" outlineLevel="1" x14ac:dyDescent="0.25">
      <c r="A66" s="77"/>
      <c r="B66" s="14" t="s">
        <v>232</v>
      </c>
      <c r="C66" s="112"/>
      <c r="D66" s="112"/>
      <c r="E66" s="164"/>
      <c r="F66" s="96"/>
      <c r="G66" s="177">
        <f>G64*(1+$E$65)</f>
        <v>19.380431301305965</v>
      </c>
      <c r="H66" s="177">
        <f t="shared" ref="H66:AM66" si="10">H64*(1+$E$65)</f>
        <v>17.76086260261193</v>
      </c>
      <c r="I66" s="177">
        <f t="shared" si="10"/>
        <v>16.141293903917894</v>
      </c>
      <c r="J66" s="177">
        <f t="shared" si="10"/>
        <v>14.521725205223861</v>
      </c>
      <c r="K66" s="177">
        <f t="shared" si="10"/>
        <v>12.902156506529828</v>
      </c>
      <c r="L66" s="177">
        <f t="shared" si="10"/>
        <v>11.282587807835794</v>
      </c>
      <c r="M66" s="177">
        <f t="shared" si="10"/>
        <v>9.6630191091417608</v>
      </c>
      <c r="N66" s="177">
        <f t="shared" si="10"/>
        <v>8.0434504104477274</v>
      </c>
      <c r="O66" s="177">
        <f t="shared" si="10"/>
        <v>6.4238817117536939</v>
      </c>
      <c r="P66" s="177">
        <f t="shared" si="10"/>
        <v>6.3060671942407822</v>
      </c>
      <c r="Q66" s="177">
        <f t="shared" si="10"/>
        <v>6.1910464206559706</v>
      </c>
      <c r="R66" s="177">
        <f t="shared" si="10"/>
        <v>6.0787420038775632</v>
      </c>
      <c r="S66" s="177">
        <f t="shared" si="10"/>
        <v>5.969078933904119</v>
      </c>
      <c r="T66" s="177">
        <f t="shared" si="10"/>
        <v>5.8619845007146703</v>
      </c>
      <c r="U66" s="177">
        <f t="shared" si="10"/>
        <v>5.7573882196984778</v>
      </c>
      <c r="V66" s="177">
        <f t="shared" si="10"/>
        <v>5.6552217595677359</v>
      </c>
      <c r="W66" s="177">
        <f t="shared" si="10"/>
        <v>5.5554188726695388</v>
      </c>
      <c r="X66" s="177">
        <f t="shared" si="10"/>
        <v>5.4579153276163108</v>
      </c>
      <c r="Y66" s="177">
        <f t="shared" si="10"/>
        <v>5.3626488441565865</v>
      </c>
      <c r="Z66" s="177">
        <f t="shared" si="10"/>
        <v>5.2695590302107282</v>
      </c>
      <c r="AA66" s="177">
        <f t="shared" si="10"/>
        <v>5.1785873209986475</v>
      </c>
      <c r="AB66" s="177">
        <f t="shared" si="10"/>
        <v>5.0896769201891541</v>
      </c>
      <c r="AC66" s="177">
        <f t="shared" si="10"/>
        <v>5.0027727430028435</v>
      </c>
      <c r="AD66" s="177">
        <f t="shared" si="10"/>
        <v>4.9178213612028356</v>
      </c>
      <c r="AE66" s="177">
        <f t="shared" si="10"/>
        <v>4.834770949909827</v>
      </c>
      <c r="AF66" s="177">
        <f t="shared" si="10"/>
        <v>4.7535712361800995</v>
      </c>
      <c r="AG66" s="177">
        <f t="shared" si="10"/>
        <v>4.6741734492872036</v>
      </c>
      <c r="AH66" s="177">
        <f t="shared" si="10"/>
        <v>4.5965302726500479</v>
      </c>
      <c r="AI66" s="177">
        <f t="shared" si="10"/>
        <v>4.5205957973520334</v>
      </c>
      <c r="AJ66" s="177">
        <f t="shared" si="10"/>
        <v>4.5205957973520334</v>
      </c>
      <c r="AK66" s="177">
        <f t="shared" si="10"/>
        <v>4.5205957973520334</v>
      </c>
      <c r="AL66" s="177">
        <f t="shared" si="10"/>
        <v>4.5205957973520334</v>
      </c>
      <c r="AM66" s="177">
        <f t="shared" si="10"/>
        <v>4.5205957973520334</v>
      </c>
      <c r="AN66" s="177">
        <f>AN64*(1+$E$65)</f>
        <v>4.5205957973520334</v>
      </c>
    </row>
    <row r="67" spans="1:40" s="167" customFormat="1" outlineLevel="1" x14ac:dyDescent="0.25">
      <c r="A67" s="77"/>
      <c r="B67" s="14"/>
      <c r="C67" s="112"/>
      <c r="D67" s="112"/>
      <c r="E67" s="164"/>
      <c r="F67" s="96"/>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5"/>
      <c r="AK67" s="165"/>
      <c r="AL67" s="165"/>
      <c r="AM67" s="165"/>
      <c r="AN67" s="166"/>
    </row>
    <row r="68" spans="1:40" outlineLevel="1" x14ac:dyDescent="0.25">
      <c r="A68" s="77"/>
      <c r="B68" s="37" t="s">
        <v>138</v>
      </c>
      <c r="C68" s="37"/>
      <c r="D68" s="38"/>
      <c r="E68" s="39"/>
      <c r="F68" s="40"/>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4"/>
    </row>
    <row r="69" spans="1:40" s="96" customFormat="1" outlineLevel="1" x14ac:dyDescent="0.25">
      <c r="A69" s="54"/>
      <c r="B69" s="96" t="s">
        <v>138</v>
      </c>
      <c r="C69" s="15" t="s">
        <v>236</v>
      </c>
      <c r="D69" s="112" t="s">
        <v>135</v>
      </c>
      <c r="E69" s="213">
        <f>AVERAGE(G69:AN69)</f>
        <v>3.786833283941212</v>
      </c>
      <c r="G69" s="162">
        <f>G59*2.7</f>
        <v>5.2650000000000006</v>
      </c>
      <c r="H69" s="162">
        <f>H59*2.7</f>
        <v>5.2650000000000006</v>
      </c>
      <c r="I69" s="162">
        <v>4.2356623706599841</v>
      </c>
      <c r="J69" s="162">
        <v>4.0863618171503449</v>
      </c>
      <c r="K69" s="162">
        <v>3.9370612636407056</v>
      </c>
      <c r="L69" s="162">
        <v>3.8624109868858851</v>
      </c>
      <c r="M69" s="162">
        <v>3.7877607101310655</v>
      </c>
      <c r="N69" s="162">
        <v>3.7131104333762464</v>
      </c>
      <c r="O69" s="162">
        <v>3.6384601566214263</v>
      </c>
      <c r="P69" s="162">
        <v>3.6384601566214263</v>
      </c>
      <c r="Q69" s="162">
        <v>3.6384601566214263</v>
      </c>
      <c r="R69" s="162">
        <v>3.6384601566214263</v>
      </c>
      <c r="S69" s="162">
        <v>3.6384601566214263</v>
      </c>
      <c r="T69" s="162">
        <v>3.6384601566214263</v>
      </c>
      <c r="U69" s="162">
        <v>3.6384601566214263</v>
      </c>
      <c r="V69" s="162">
        <v>3.6384601566214263</v>
      </c>
      <c r="W69" s="162">
        <v>3.6384601566214263</v>
      </c>
      <c r="X69" s="162">
        <v>3.6384601566214263</v>
      </c>
      <c r="Y69" s="162">
        <v>3.6384601566214263</v>
      </c>
      <c r="Z69" s="162">
        <v>3.6384601566214263</v>
      </c>
      <c r="AA69" s="162">
        <v>3.6384601566214263</v>
      </c>
      <c r="AB69" s="162">
        <v>3.6384601566214263</v>
      </c>
      <c r="AC69" s="162">
        <v>3.6384601566214263</v>
      </c>
      <c r="AD69" s="162">
        <v>3.6384601566214263</v>
      </c>
      <c r="AE69" s="162">
        <v>3.6384601566214263</v>
      </c>
      <c r="AF69" s="162">
        <v>3.6384601566214263</v>
      </c>
      <c r="AG69" s="162">
        <v>3.6384601566214263</v>
      </c>
      <c r="AH69" s="162">
        <v>3.6384601566214263</v>
      </c>
      <c r="AI69" s="162">
        <v>3.6384601566214263</v>
      </c>
      <c r="AJ69" s="162">
        <v>3.6384601566214263</v>
      </c>
      <c r="AK69" s="162">
        <v>3.6384601566214263</v>
      </c>
      <c r="AL69" s="162">
        <v>3.6384601566214263</v>
      </c>
      <c r="AM69" s="162">
        <v>3.6384601566214263</v>
      </c>
      <c r="AN69" s="162">
        <v>3.6384601566214263</v>
      </c>
    </row>
    <row r="70" spans="1:40" s="167" customFormat="1" outlineLevel="1" x14ac:dyDescent="0.25">
      <c r="A70" s="54"/>
      <c r="B70" s="14" t="s">
        <v>231</v>
      </c>
      <c r="C70" s="112"/>
      <c r="D70" s="112"/>
      <c r="E70" s="212">
        <f>Dashboard!H80</f>
        <v>0</v>
      </c>
      <c r="F70" s="96"/>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5"/>
      <c r="AK70" s="165"/>
      <c r="AL70" s="165"/>
      <c r="AM70" s="165"/>
      <c r="AN70" s="166"/>
    </row>
    <row r="71" spans="1:40" s="167" customFormat="1" outlineLevel="1" x14ac:dyDescent="0.25">
      <c r="A71" s="54"/>
      <c r="B71" s="14" t="s">
        <v>232</v>
      </c>
      <c r="C71" s="112"/>
      <c r="D71" s="112"/>
      <c r="E71" s="164"/>
      <c r="F71" s="96"/>
      <c r="G71" s="177">
        <f>G69*(1+$E$70)</f>
        <v>5.2650000000000006</v>
      </c>
      <c r="H71" s="177">
        <f t="shared" ref="H71:AM71" si="11">H69*(1+$E$70)</f>
        <v>5.2650000000000006</v>
      </c>
      <c r="I71" s="177">
        <f t="shared" si="11"/>
        <v>4.2356623706599841</v>
      </c>
      <c r="J71" s="177">
        <f t="shared" si="11"/>
        <v>4.0863618171503449</v>
      </c>
      <c r="K71" s="177">
        <f t="shared" si="11"/>
        <v>3.9370612636407056</v>
      </c>
      <c r="L71" s="177">
        <f t="shared" si="11"/>
        <v>3.8624109868858851</v>
      </c>
      <c r="M71" s="177">
        <f t="shared" si="11"/>
        <v>3.7877607101310655</v>
      </c>
      <c r="N71" s="177">
        <f t="shared" si="11"/>
        <v>3.7131104333762464</v>
      </c>
      <c r="O71" s="177">
        <f t="shared" si="11"/>
        <v>3.6384601566214263</v>
      </c>
      <c r="P71" s="177">
        <f t="shared" si="11"/>
        <v>3.6384601566214263</v>
      </c>
      <c r="Q71" s="177">
        <f t="shared" si="11"/>
        <v>3.6384601566214263</v>
      </c>
      <c r="R71" s="177">
        <f t="shared" si="11"/>
        <v>3.6384601566214263</v>
      </c>
      <c r="S71" s="177">
        <f t="shared" si="11"/>
        <v>3.6384601566214263</v>
      </c>
      <c r="T71" s="177">
        <f t="shared" si="11"/>
        <v>3.6384601566214263</v>
      </c>
      <c r="U71" s="177">
        <f t="shared" si="11"/>
        <v>3.6384601566214263</v>
      </c>
      <c r="V71" s="177">
        <f t="shared" si="11"/>
        <v>3.6384601566214263</v>
      </c>
      <c r="W71" s="177">
        <f t="shared" si="11"/>
        <v>3.6384601566214263</v>
      </c>
      <c r="X71" s="177">
        <f t="shared" si="11"/>
        <v>3.6384601566214263</v>
      </c>
      <c r="Y71" s="177">
        <f t="shared" si="11"/>
        <v>3.6384601566214263</v>
      </c>
      <c r="Z71" s="177">
        <f t="shared" si="11"/>
        <v>3.6384601566214263</v>
      </c>
      <c r="AA71" s="177">
        <f t="shared" si="11"/>
        <v>3.6384601566214263</v>
      </c>
      <c r="AB71" s="177">
        <f t="shared" si="11"/>
        <v>3.6384601566214263</v>
      </c>
      <c r="AC71" s="177">
        <f t="shared" si="11"/>
        <v>3.6384601566214263</v>
      </c>
      <c r="AD71" s="177">
        <f t="shared" si="11"/>
        <v>3.6384601566214263</v>
      </c>
      <c r="AE71" s="177">
        <f t="shared" si="11"/>
        <v>3.6384601566214263</v>
      </c>
      <c r="AF71" s="177">
        <f t="shared" si="11"/>
        <v>3.6384601566214263</v>
      </c>
      <c r="AG71" s="177">
        <f t="shared" si="11"/>
        <v>3.6384601566214263</v>
      </c>
      <c r="AH71" s="177">
        <f t="shared" si="11"/>
        <v>3.6384601566214263</v>
      </c>
      <c r="AI71" s="177">
        <f t="shared" si="11"/>
        <v>3.6384601566214263</v>
      </c>
      <c r="AJ71" s="177">
        <f t="shared" si="11"/>
        <v>3.6384601566214263</v>
      </c>
      <c r="AK71" s="177">
        <f t="shared" si="11"/>
        <v>3.6384601566214263</v>
      </c>
      <c r="AL71" s="177">
        <f t="shared" si="11"/>
        <v>3.6384601566214263</v>
      </c>
      <c r="AM71" s="177">
        <f t="shared" si="11"/>
        <v>3.6384601566214263</v>
      </c>
      <c r="AN71" s="177">
        <f>AN69*(1+$E$70)</f>
        <v>3.6384601566214263</v>
      </c>
    </row>
    <row r="72" spans="1:40" s="167" customFormat="1" outlineLevel="1" x14ac:dyDescent="0.25">
      <c r="A72" s="54"/>
      <c r="B72" s="96"/>
      <c r="C72" s="112"/>
      <c r="D72" s="112"/>
      <c r="E72" s="164"/>
      <c r="F72" s="96"/>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5"/>
      <c r="AM72" s="165"/>
      <c r="AN72" s="166"/>
    </row>
    <row r="73" spans="1:40" outlineLevel="1" x14ac:dyDescent="0.25">
      <c r="A73" s="54"/>
      <c r="B73" s="37" t="s">
        <v>237</v>
      </c>
      <c r="C73" s="37"/>
      <c r="D73" s="38"/>
      <c r="E73" s="39"/>
      <c r="F73" s="40"/>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4"/>
    </row>
    <row r="74" spans="1:40" s="51" customFormat="1" outlineLevel="1" x14ac:dyDescent="0.25">
      <c r="A74" s="77"/>
      <c r="B74" s="14" t="s">
        <v>238</v>
      </c>
      <c r="C74" s="15" t="s">
        <v>239</v>
      </c>
      <c r="D74" s="15" t="s">
        <v>140</v>
      </c>
      <c r="E74" s="213">
        <f>AVERAGE(G74:AN74)</f>
        <v>0.13658912257927455</v>
      </c>
      <c r="F74" s="12"/>
      <c r="G74" s="162">
        <v>0.14755094283744888</v>
      </c>
      <c r="H74" s="162">
        <v>0.14622845315211994</v>
      </c>
      <c r="I74" s="162">
        <v>0.14576678982717617</v>
      </c>
      <c r="J74" s="162">
        <v>0.14489373632279459</v>
      </c>
      <c r="K74" s="162">
        <v>0.14383008223192886</v>
      </c>
      <c r="L74" s="162">
        <v>0.14264783000390788</v>
      </c>
      <c r="M74" s="162">
        <v>0.14143709353586251</v>
      </c>
      <c r="N74" s="162">
        <v>0.14023521514337361</v>
      </c>
      <c r="O74" s="162">
        <v>0.13899092672111002</v>
      </c>
      <c r="P74" s="162">
        <v>0.13832945799705504</v>
      </c>
      <c r="Q74" s="162">
        <v>0.13767900600675279</v>
      </c>
      <c r="R74" s="162">
        <v>0.13703585226114479</v>
      </c>
      <c r="S74" s="162">
        <v>0.13640984585805097</v>
      </c>
      <c r="T74" s="162">
        <v>0.13604832693153598</v>
      </c>
      <c r="U74" s="162">
        <v>0.13571099383851681</v>
      </c>
      <c r="V74" s="162">
        <v>0.13535913537426603</v>
      </c>
      <c r="W74" s="162">
        <v>0.13501830725032346</v>
      </c>
      <c r="X74" s="162">
        <v>0.13469928623647126</v>
      </c>
      <c r="Y74" s="162">
        <v>0.13440205291832355</v>
      </c>
      <c r="Z74" s="162">
        <v>0.13412264737843618</v>
      </c>
      <c r="AA74" s="162">
        <v>0.13385718480205974</v>
      </c>
      <c r="AB74" s="162">
        <v>0.13358524813116526</v>
      </c>
      <c r="AC74" s="162">
        <v>0.13333068455360045</v>
      </c>
      <c r="AD74" s="162">
        <v>0.13307791321170145</v>
      </c>
      <c r="AE74" s="162">
        <v>0.13281514800078834</v>
      </c>
      <c r="AF74" s="162">
        <v>0.13268788083092928</v>
      </c>
      <c r="AG74" s="162">
        <v>0.13255329860665574</v>
      </c>
      <c r="AH74" s="162">
        <v>0.13239498758175705</v>
      </c>
      <c r="AI74" s="162">
        <v>0.13222197335834623</v>
      </c>
      <c r="AJ74" s="162">
        <v>0.13222197335834623</v>
      </c>
      <c r="AK74" s="162">
        <v>0.13222197335834623</v>
      </c>
      <c r="AL74" s="162">
        <v>0.13222197335834623</v>
      </c>
      <c r="AM74" s="162">
        <v>0.13222197335834623</v>
      </c>
      <c r="AN74" s="162">
        <v>0.13222197335834623</v>
      </c>
    </row>
    <row r="75" spans="1:40" s="167" customFormat="1" outlineLevel="1" x14ac:dyDescent="0.25">
      <c r="A75" s="54"/>
      <c r="B75" s="14" t="s">
        <v>231</v>
      </c>
      <c r="C75" s="112"/>
      <c r="D75" s="112"/>
      <c r="E75" s="212">
        <f>Dashboard!H81</f>
        <v>0</v>
      </c>
      <c r="F75" s="96"/>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row>
    <row r="76" spans="1:40" s="167" customFormat="1" outlineLevel="1" x14ac:dyDescent="0.25">
      <c r="A76" s="54"/>
      <c r="B76" s="14" t="s">
        <v>232</v>
      </c>
      <c r="C76" s="112"/>
      <c r="D76" s="112"/>
      <c r="E76" s="164"/>
      <c r="F76" s="96"/>
      <c r="G76" s="177">
        <f>G74*(1+$E$75)</f>
        <v>0.14755094283744888</v>
      </c>
      <c r="H76" s="177">
        <f t="shared" ref="H76:AI76" si="12">H74*(1+$E$75)</f>
        <v>0.14622845315211994</v>
      </c>
      <c r="I76" s="177">
        <f t="shared" si="12"/>
        <v>0.14576678982717617</v>
      </c>
      <c r="J76" s="177">
        <f t="shared" si="12"/>
        <v>0.14489373632279459</v>
      </c>
      <c r="K76" s="177">
        <f t="shared" si="12"/>
        <v>0.14383008223192886</v>
      </c>
      <c r="L76" s="177">
        <f t="shared" si="12"/>
        <v>0.14264783000390788</v>
      </c>
      <c r="M76" s="177">
        <f t="shared" si="12"/>
        <v>0.14143709353586251</v>
      </c>
      <c r="N76" s="177">
        <f t="shared" si="12"/>
        <v>0.14023521514337361</v>
      </c>
      <c r="O76" s="177">
        <f t="shared" si="12"/>
        <v>0.13899092672111002</v>
      </c>
      <c r="P76" s="177">
        <f t="shared" si="12"/>
        <v>0.13832945799705504</v>
      </c>
      <c r="Q76" s="177">
        <f t="shared" si="12"/>
        <v>0.13767900600675279</v>
      </c>
      <c r="R76" s="177">
        <f t="shared" si="12"/>
        <v>0.13703585226114479</v>
      </c>
      <c r="S76" s="177">
        <f t="shared" si="12"/>
        <v>0.13640984585805097</v>
      </c>
      <c r="T76" s="177">
        <f t="shared" si="12"/>
        <v>0.13604832693153598</v>
      </c>
      <c r="U76" s="177">
        <f t="shared" si="12"/>
        <v>0.13571099383851681</v>
      </c>
      <c r="V76" s="177">
        <f t="shared" si="12"/>
        <v>0.13535913537426603</v>
      </c>
      <c r="W76" s="177">
        <f t="shared" si="12"/>
        <v>0.13501830725032346</v>
      </c>
      <c r="X76" s="177">
        <f t="shared" si="12"/>
        <v>0.13469928623647126</v>
      </c>
      <c r="Y76" s="177">
        <f t="shared" si="12"/>
        <v>0.13440205291832355</v>
      </c>
      <c r="Z76" s="177">
        <f t="shared" si="12"/>
        <v>0.13412264737843618</v>
      </c>
      <c r="AA76" s="177">
        <f t="shared" si="12"/>
        <v>0.13385718480205974</v>
      </c>
      <c r="AB76" s="177">
        <f t="shared" si="12"/>
        <v>0.13358524813116526</v>
      </c>
      <c r="AC76" s="177">
        <f t="shared" si="12"/>
        <v>0.13333068455360045</v>
      </c>
      <c r="AD76" s="177">
        <f t="shared" si="12"/>
        <v>0.13307791321170145</v>
      </c>
      <c r="AE76" s="177">
        <f t="shared" si="12"/>
        <v>0.13281514800078834</v>
      </c>
      <c r="AF76" s="177">
        <f t="shared" si="12"/>
        <v>0.13268788083092928</v>
      </c>
      <c r="AG76" s="177">
        <f t="shared" si="12"/>
        <v>0.13255329860665574</v>
      </c>
      <c r="AH76" s="177">
        <f t="shared" si="12"/>
        <v>0.13239498758175705</v>
      </c>
      <c r="AI76" s="177">
        <f t="shared" si="12"/>
        <v>0.13222197335834623</v>
      </c>
      <c r="AJ76" s="177">
        <f t="shared" ref="AJ76:AN76" si="13">AJ74*(1+$E$75)</f>
        <v>0.13222197335834623</v>
      </c>
      <c r="AK76" s="177">
        <f t="shared" si="13"/>
        <v>0.13222197335834623</v>
      </c>
      <c r="AL76" s="177">
        <f t="shared" si="13"/>
        <v>0.13222197335834623</v>
      </c>
      <c r="AM76" s="177">
        <f t="shared" si="13"/>
        <v>0.13222197335834623</v>
      </c>
      <c r="AN76" s="177">
        <f t="shared" si="13"/>
        <v>0.13222197335834623</v>
      </c>
    </row>
    <row r="77" spans="1:40" s="51" customFormat="1" ht="14.25" customHeight="1" outlineLevel="1" x14ac:dyDescent="0.25">
      <c r="A77" s="77"/>
      <c r="B77" s="12"/>
      <c r="C77" s="79"/>
      <c r="D77" s="79"/>
      <c r="E77" s="80"/>
      <c r="F77" s="12"/>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81"/>
    </row>
    <row r="78" spans="1:40" outlineLevel="1" collapsed="1" x14ac:dyDescent="0.25">
      <c r="A78" s="65"/>
      <c r="B78" s="34" t="s">
        <v>240</v>
      </c>
      <c r="C78" s="34"/>
      <c r="D78" s="35"/>
      <c r="E78" s="36"/>
      <c r="F78" s="3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7"/>
    </row>
    <row r="79" spans="1:40" s="51" customFormat="1" outlineLevel="1" x14ac:dyDescent="0.25">
      <c r="A79" s="77"/>
      <c r="B79" s="20" t="s">
        <v>241</v>
      </c>
      <c r="C79" s="15"/>
      <c r="D79" s="15"/>
      <c r="E79" s="157"/>
      <c r="F79" s="12"/>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81"/>
    </row>
    <row r="80" spans="1:40" s="51" customFormat="1" outlineLevel="1" x14ac:dyDescent="0.25">
      <c r="A80" s="77"/>
      <c r="B80" s="20" t="s">
        <v>242</v>
      </c>
      <c r="C80" s="15"/>
      <c r="D80" s="15"/>
      <c r="E80" s="157"/>
      <c r="F80" s="12"/>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81"/>
    </row>
    <row r="81" spans="1:40" s="51" customFormat="1" outlineLevel="1" x14ac:dyDescent="0.25">
      <c r="A81" s="77"/>
      <c r="B81" s="14" t="s">
        <v>118</v>
      </c>
      <c r="C81" s="14" t="s">
        <v>243</v>
      </c>
      <c r="D81" s="15" t="s">
        <v>128</v>
      </c>
      <c r="E81" s="171">
        <v>0</v>
      </c>
      <c r="F81" s="12"/>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81"/>
    </row>
    <row r="82" spans="1:40" s="51" customFormat="1" outlineLevel="1" x14ac:dyDescent="0.25">
      <c r="A82" s="77"/>
      <c r="B82" s="14" t="s">
        <v>122</v>
      </c>
      <c r="C82" s="14" t="s">
        <v>243</v>
      </c>
      <c r="D82" s="15" t="s">
        <v>128</v>
      </c>
      <c r="E82" s="212">
        <f>'Bus research'!T102</f>
        <v>0.62137817963019071</v>
      </c>
      <c r="F82" s="12"/>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81"/>
    </row>
    <row r="83" spans="1:40" outlineLevel="1" x14ac:dyDescent="0.25">
      <c r="A83" s="77"/>
      <c r="B83" s="14" t="s">
        <v>156</v>
      </c>
      <c r="C83" s="14" t="s">
        <v>243</v>
      </c>
      <c r="D83" s="15" t="s">
        <v>128</v>
      </c>
      <c r="E83" s="212">
        <f>'Bus research'!T91</f>
        <v>2.0035308778415004</v>
      </c>
      <c r="F83" s="14"/>
      <c r="G83" s="69"/>
      <c r="H83" s="69"/>
      <c r="I83" s="69"/>
      <c r="J83" s="69"/>
      <c r="K83" s="69"/>
      <c r="L83" s="69"/>
      <c r="M83" s="69"/>
      <c r="N83" s="69"/>
      <c r="O83" s="69"/>
      <c r="P83" s="69"/>
      <c r="Q83" s="69"/>
      <c r="R83" s="69"/>
      <c r="S83" s="69"/>
      <c r="T83" s="69"/>
      <c r="U83" s="69"/>
      <c r="V83" s="69"/>
      <c r="W83" s="69"/>
      <c r="X83" s="69"/>
      <c r="Y83" s="69"/>
      <c r="Z83" s="69"/>
      <c r="AA83" s="69"/>
      <c r="AB83" s="69"/>
      <c r="AC83" s="69"/>
      <c r="AD83" s="69"/>
      <c r="AE83" s="56"/>
      <c r="AF83" s="56"/>
      <c r="AG83" s="56"/>
      <c r="AH83" s="56"/>
      <c r="AI83" s="56"/>
      <c r="AJ83" s="56"/>
      <c r="AK83" s="56"/>
      <c r="AL83" s="56"/>
      <c r="AM83" s="56"/>
      <c r="AN83" s="29"/>
    </row>
    <row r="84" spans="1:40" outlineLevel="1" x14ac:dyDescent="0.25">
      <c r="A84" s="77"/>
      <c r="C84" s="14"/>
      <c r="D84" s="15"/>
      <c r="E84" s="212"/>
      <c r="F84" s="14"/>
      <c r="G84" s="69"/>
      <c r="H84" s="69"/>
      <c r="I84" s="69"/>
      <c r="J84" s="69"/>
      <c r="K84" s="69"/>
      <c r="L84" s="69"/>
      <c r="M84" s="69"/>
      <c r="N84" s="69"/>
      <c r="O84" s="69"/>
      <c r="P84" s="69"/>
      <c r="Q84" s="69"/>
      <c r="R84" s="69"/>
      <c r="S84" s="69"/>
      <c r="T84" s="69"/>
      <c r="U84" s="69"/>
      <c r="V84" s="69"/>
      <c r="W84" s="69"/>
      <c r="X84" s="69"/>
      <c r="Y84" s="69"/>
      <c r="Z84" s="69"/>
      <c r="AA84" s="69"/>
      <c r="AB84" s="69"/>
      <c r="AC84" s="69"/>
      <c r="AD84" s="69"/>
      <c r="AE84" s="56"/>
      <c r="AF84" s="56"/>
      <c r="AG84" s="56"/>
      <c r="AH84" s="56"/>
      <c r="AI84" s="56"/>
      <c r="AJ84" s="56"/>
      <c r="AK84" s="56"/>
      <c r="AL84" s="56"/>
      <c r="AM84" s="56"/>
      <c r="AN84" s="29"/>
    </row>
    <row r="85" spans="1:40" outlineLevel="1" x14ac:dyDescent="0.25">
      <c r="A85" s="77"/>
      <c r="B85" s="20" t="s">
        <v>244</v>
      </c>
      <c r="C85" s="14"/>
      <c r="D85" s="15"/>
      <c r="E85" s="212"/>
      <c r="F85" s="14"/>
      <c r="G85" s="69"/>
      <c r="H85" s="69"/>
      <c r="I85" s="69"/>
      <c r="J85" s="69"/>
      <c r="K85" s="69"/>
      <c r="L85" s="69"/>
      <c r="M85" s="69"/>
      <c r="N85" s="69"/>
      <c r="O85" s="69"/>
      <c r="P85" s="69"/>
      <c r="Q85" s="69"/>
      <c r="R85" s="69"/>
      <c r="S85" s="69"/>
      <c r="T85" s="69"/>
      <c r="U85" s="69"/>
      <c r="V85" s="69"/>
      <c r="W85" s="69"/>
      <c r="X85" s="69"/>
      <c r="Y85" s="69"/>
      <c r="Z85" s="69"/>
      <c r="AA85" s="69"/>
      <c r="AB85" s="69"/>
      <c r="AC85" s="69"/>
      <c r="AD85" s="69"/>
      <c r="AE85" s="56"/>
      <c r="AF85" s="56"/>
      <c r="AG85" s="56"/>
      <c r="AH85" s="56"/>
      <c r="AI85" s="56"/>
      <c r="AJ85" s="56"/>
      <c r="AK85" s="56"/>
      <c r="AL85" s="56"/>
      <c r="AM85" s="56"/>
      <c r="AN85" s="29"/>
    </row>
    <row r="86" spans="1:40" outlineLevel="1" x14ac:dyDescent="0.25">
      <c r="A86" s="77"/>
      <c r="B86" s="14" t="s">
        <v>118</v>
      </c>
      <c r="C86" s="14" t="s">
        <v>245</v>
      </c>
      <c r="D86" s="15" t="s">
        <v>128</v>
      </c>
      <c r="E86" s="171">
        <v>0</v>
      </c>
      <c r="F86" s="14"/>
      <c r="G86" s="69"/>
      <c r="H86" s="69"/>
      <c r="I86" s="69"/>
      <c r="J86" s="69"/>
      <c r="K86" s="69"/>
      <c r="L86" s="69"/>
      <c r="M86" s="69"/>
      <c r="N86" s="69"/>
      <c r="O86" s="69"/>
      <c r="P86" s="69"/>
      <c r="Q86" s="69"/>
      <c r="R86" s="69"/>
      <c r="S86" s="69"/>
      <c r="T86" s="69"/>
      <c r="U86" s="69"/>
      <c r="V86" s="69"/>
      <c r="W86" s="69"/>
      <c r="X86" s="69"/>
      <c r="Y86" s="69"/>
      <c r="Z86" s="69"/>
      <c r="AA86" s="69"/>
      <c r="AB86" s="69"/>
      <c r="AC86" s="69"/>
      <c r="AD86" s="69"/>
      <c r="AE86" s="56"/>
      <c r="AF86" s="56"/>
      <c r="AG86" s="56"/>
      <c r="AH86" s="56"/>
      <c r="AI86" s="56"/>
      <c r="AJ86" s="56"/>
      <c r="AK86" s="56"/>
      <c r="AL86" s="56"/>
      <c r="AM86" s="56"/>
      <c r="AN86" s="29"/>
    </row>
    <row r="87" spans="1:40" outlineLevel="1" x14ac:dyDescent="0.25">
      <c r="A87" s="77"/>
      <c r="B87" s="14" t="s">
        <v>122</v>
      </c>
      <c r="C87" s="14" t="s">
        <v>245</v>
      </c>
      <c r="D87" s="15" t="s">
        <v>128</v>
      </c>
      <c r="E87" s="171">
        <v>7.0000000000000007E-2</v>
      </c>
      <c r="F87" s="14"/>
      <c r="G87" s="69"/>
      <c r="H87" s="69"/>
      <c r="I87" s="69"/>
      <c r="J87" s="69"/>
      <c r="K87" s="69"/>
      <c r="L87" s="69"/>
      <c r="M87" s="69"/>
      <c r="N87" s="69"/>
      <c r="O87" s="69"/>
      <c r="P87" s="69"/>
      <c r="Q87" s="69"/>
      <c r="R87" s="69"/>
      <c r="S87" s="69"/>
      <c r="T87" s="69"/>
      <c r="U87" s="69"/>
      <c r="V87" s="69"/>
      <c r="W87" s="69"/>
      <c r="X87" s="69"/>
      <c r="Y87" s="69"/>
      <c r="Z87" s="69"/>
      <c r="AA87" s="69"/>
      <c r="AB87" s="69"/>
      <c r="AC87" s="69"/>
      <c r="AD87" s="69"/>
      <c r="AE87" s="56"/>
      <c r="AF87" s="56"/>
      <c r="AG87" s="56"/>
      <c r="AH87" s="56"/>
      <c r="AI87" s="56"/>
      <c r="AJ87" s="56"/>
      <c r="AK87" s="56"/>
      <c r="AL87" s="56"/>
      <c r="AM87" s="56"/>
      <c r="AN87" s="29"/>
    </row>
    <row r="88" spans="1:40" outlineLevel="1" x14ac:dyDescent="0.25">
      <c r="A88" s="77"/>
      <c r="B88" s="14" t="s">
        <v>156</v>
      </c>
      <c r="C88" s="14" t="s">
        <v>245</v>
      </c>
      <c r="D88" s="15" t="s">
        <v>128</v>
      </c>
      <c r="E88" s="171">
        <v>0.15</v>
      </c>
      <c r="F88" s="14"/>
      <c r="G88" s="69"/>
      <c r="H88" s="69"/>
      <c r="I88" s="69"/>
      <c r="J88" s="69"/>
      <c r="K88" s="69"/>
      <c r="L88" s="69"/>
      <c r="M88" s="69"/>
      <c r="N88" s="69"/>
      <c r="O88" s="69"/>
      <c r="P88" s="69"/>
      <c r="Q88" s="69"/>
      <c r="R88" s="69"/>
      <c r="S88" s="69"/>
      <c r="T88" s="69"/>
      <c r="U88" s="69"/>
      <c r="V88" s="69"/>
      <c r="W88" s="69"/>
      <c r="X88" s="69"/>
      <c r="Y88" s="69"/>
      <c r="Z88" s="69"/>
      <c r="AA88" s="69"/>
      <c r="AB88" s="69"/>
      <c r="AC88" s="69"/>
      <c r="AD88" s="69"/>
      <c r="AE88" s="56"/>
      <c r="AF88" s="56"/>
      <c r="AG88" s="56"/>
      <c r="AH88" s="56"/>
      <c r="AI88" s="56"/>
      <c r="AJ88" s="56"/>
      <c r="AK88" s="56"/>
      <c r="AL88" s="56"/>
      <c r="AM88" s="56"/>
      <c r="AN88" s="29"/>
    </row>
    <row r="89" spans="1:40" outlineLevel="1" x14ac:dyDescent="0.25">
      <c r="A89" s="77"/>
      <c r="B89" s="14"/>
      <c r="C89" s="137"/>
      <c r="D89" s="15"/>
      <c r="E89" s="212"/>
      <c r="F89" s="14"/>
      <c r="G89" s="69"/>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29"/>
    </row>
    <row r="90" spans="1:40" outlineLevel="1" x14ac:dyDescent="0.25">
      <c r="A90" s="54"/>
      <c r="B90" s="20" t="s">
        <v>246</v>
      </c>
      <c r="C90" s="14"/>
      <c r="D90" s="15"/>
      <c r="E90" s="80"/>
      <c r="F90" s="14"/>
      <c r="G90" s="69"/>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29"/>
    </row>
    <row r="91" spans="1:40" outlineLevel="1" x14ac:dyDescent="0.25">
      <c r="A91" s="54"/>
      <c r="B91" s="14" t="s">
        <v>151</v>
      </c>
      <c r="C91" s="14" t="s">
        <v>243</v>
      </c>
      <c r="D91" s="15" t="s">
        <v>128</v>
      </c>
      <c r="E91" s="302">
        <f>'Bus research'!V129</f>
        <v>0.51350877438632625</v>
      </c>
      <c r="F91" s="14"/>
      <c r="G91" s="69"/>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29"/>
    </row>
    <row r="92" spans="1:40" outlineLevel="1" x14ac:dyDescent="0.25">
      <c r="A92" s="54"/>
      <c r="B92" s="14" t="s">
        <v>154</v>
      </c>
      <c r="C92" s="14" t="s">
        <v>243</v>
      </c>
      <c r="D92" s="15" t="s">
        <v>128</v>
      </c>
      <c r="E92" s="152">
        <v>0</v>
      </c>
      <c r="F92" s="14"/>
      <c r="G92" s="69"/>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29"/>
    </row>
    <row r="93" spans="1:40" outlineLevel="1" x14ac:dyDescent="0.25">
      <c r="A93" s="54"/>
      <c r="B93" s="14" t="s">
        <v>157</v>
      </c>
      <c r="C93" s="14" t="s">
        <v>243</v>
      </c>
      <c r="D93" s="15" t="s">
        <v>128</v>
      </c>
      <c r="E93" s="302">
        <f>'Bus research'!V131</f>
        <v>-0.1887327961134424</v>
      </c>
      <c r="F93" s="14"/>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29"/>
    </row>
    <row r="94" spans="1:40" outlineLevel="1" x14ac:dyDescent="0.25">
      <c r="A94" s="54"/>
      <c r="B94" s="14"/>
      <c r="C94" s="14"/>
      <c r="D94" s="15"/>
      <c r="E94" s="16"/>
      <c r="F94" s="14"/>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29"/>
    </row>
    <row r="95" spans="1:40" x14ac:dyDescent="0.25">
      <c r="A95" s="59"/>
      <c r="B95" s="24" t="s">
        <v>247</v>
      </c>
      <c r="C95" s="24"/>
      <c r="D95" s="25"/>
      <c r="E95" s="26"/>
      <c r="F95" s="26"/>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1"/>
    </row>
    <row r="96" spans="1:40" x14ac:dyDescent="0.25">
      <c r="A96" s="65"/>
      <c r="B96" s="34" t="s">
        <v>248</v>
      </c>
      <c r="C96" s="34"/>
      <c r="D96" s="35"/>
      <c r="E96" s="36"/>
      <c r="F96" s="3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7"/>
    </row>
    <row r="97" spans="1:40" outlineLevel="1" x14ac:dyDescent="0.25">
      <c r="A97" s="54"/>
      <c r="B97" s="37" t="s">
        <v>249</v>
      </c>
      <c r="C97" s="40"/>
      <c r="D97" s="38"/>
      <c r="E97" s="39"/>
      <c r="F97" s="40"/>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4"/>
    </row>
    <row r="98" spans="1:40" outlineLevel="1" x14ac:dyDescent="0.25">
      <c r="A98" s="54"/>
      <c r="B98" s="14" t="s">
        <v>250</v>
      </c>
      <c r="C98" s="15" t="s">
        <v>251</v>
      </c>
      <c r="D98" s="15" t="s">
        <v>128</v>
      </c>
      <c r="E98" s="171">
        <v>0.15</v>
      </c>
      <c r="F98" s="229"/>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29"/>
    </row>
    <row r="99" spans="1:40" outlineLevel="1" x14ac:dyDescent="0.25">
      <c r="A99" s="54"/>
      <c r="B99" s="96" t="s">
        <v>120</v>
      </c>
      <c r="C99" s="14"/>
      <c r="D99" s="15" t="s">
        <v>142</v>
      </c>
      <c r="E99" s="241">
        <f>E107*$E$98</f>
        <v>52500</v>
      </c>
      <c r="F99" s="229"/>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29"/>
    </row>
    <row r="100" spans="1:40" outlineLevel="1" x14ac:dyDescent="0.25">
      <c r="A100" s="54"/>
      <c r="B100" s="96" t="s">
        <v>124</v>
      </c>
      <c r="C100" s="14"/>
      <c r="D100" s="15" t="s">
        <v>142</v>
      </c>
      <c r="E100" s="241">
        <f>E108*$E$98</f>
        <v>60000</v>
      </c>
      <c r="F100" s="229"/>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29"/>
    </row>
    <row r="101" spans="1:40" outlineLevel="1" x14ac:dyDescent="0.25">
      <c r="A101" s="54"/>
      <c r="B101" s="96" t="s">
        <v>126</v>
      </c>
      <c r="C101" s="41"/>
      <c r="D101" s="15" t="s">
        <v>142</v>
      </c>
      <c r="E101" s="241">
        <f>E109*$E$98</f>
        <v>105000</v>
      </c>
      <c r="F101" s="14"/>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29"/>
    </row>
    <row r="102" spans="1:40" outlineLevel="1" x14ac:dyDescent="0.25">
      <c r="A102" s="54"/>
      <c r="B102" s="96"/>
      <c r="C102" s="41"/>
      <c r="D102" s="15"/>
      <c r="E102" s="241"/>
      <c r="F102" s="14"/>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29"/>
    </row>
    <row r="103" spans="1:40" x14ac:dyDescent="0.25">
      <c r="A103" s="65"/>
      <c r="B103" s="34" t="s">
        <v>252</v>
      </c>
      <c r="C103" s="34"/>
      <c r="D103" s="35"/>
      <c r="E103" s="36"/>
      <c r="F103" s="3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7"/>
    </row>
    <row r="104" spans="1:40" outlineLevel="1" x14ac:dyDescent="0.25">
      <c r="A104" s="54"/>
      <c r="B104" s="14"/>
      <c r="C104" s="14"/>
      <c r="D104" s="15"/>
      <c r="E104" s="16"/>
      <c r="F104" s="14"/>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29"/>
    </row>
    <row r="105" spans="1:40" outlineLevel="1" x14ac:dyDescent="0.25">
      <c r="A105" s="54"/>
      <c r="B105" s="37" t="s">
        <v>253</v>
      </c>
      <c r="C105" s="37"/>
      <c r="D105" s="38"/>
      <c r="E105" s="39"/>
      <c r="F105" s="40"/>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4"/>
    </row>
    <row r="106" spans="1:40" outlineLevel="1" x14ac:dyDescent="0.25">
      <c r="A106" s="54"/>
      <c r="B106" s="95" t="s">
        <v>254</v>
      </c>
      <c r="C106" s="19"/>
      <c r="D106" s="15"/>
      <c r="E106" s="16"/>
      <c r="F106" s="14"/>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29"/>
    </row>
    <row r="107" spans="1:40" outlineLevel="1" x14ac:dyDescent="0.25">
      <c r="A107" s="54"/>
      <c r="B107" s="96" t="s">
        <v>120</v>
      </c>
      <c r="C107" s="15" t="s">
        <v>255</v>
      </c>
      <c r="D107" s="15" t="s">
        <v>142</v>
      </c>
      <c r="E107" s="160">
        <v>350000</v>
      </c>
      <c r="F107" s="14"/>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29"/>
    </row>
    <row r="108" spans="1:40" outlineLevel="1" x14ac:dyDescent="0.25">
      <c r="A108" s="54"/>
      <c r="B108" s="96" t="s">
        <v>124</v>
      </c>
      <c r="C108" s="15" t="s">
        <v>255</v>
      </c>
      <c r="D108" s="15" t="s">
        <v>142</v>
      </c>
      <c r="E108" s="160">
        <v>400000</v>
      </c>
      <c r="F108" s="14"/>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29"/>
    </row>
    <row r="109" spans="1:40" outlineLevel="1" x14ac:dyDescent="0.25">
      <c r="A109" s="54"/>
      <c r="B109" s="96" t="s">
        <v>126</v>
      </c>
      <c r="C109" s="15" t="s">
        <v>255</v>
      </c>
      <c r="D109" s="15" t="s">
        <v>142</v>
      </c>
      <c r="E109" s="160">
        <v>700000</v>
      </c>
      <c r="F109" s="14"/>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29"/>
    </row>
    <row r="110" spans="1:40" outlineLevel="1" x14ac:dyDescent="0.25">
      <c r="A110" s="54"/>
      <c r="B110" s="14"/>
      <c r="C110" s="14"/>
      <c r="D110" s="15"/>
      <c r="E110" s="16"/>
      <c r="F110" s="14"/>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29"/>
    </row>
    <row r="111" spans="1:40" outlineLevel="1" x14ac:dyDescent="0.25">
      <c r="A111" s="54"/>
      <c r="B111" s="20" t="s">
        <v>256</v>
      </c>
      <c r="C111" s="14"/>
      <c r="D111" s="15" t="s">
        <v>128</v>
      </c>
      <c r="E111" s="212">
        <f>Dashboard!H82</f>
        <v>0</v>
      </c>
      <c r="F111" s="14"/>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29"/>
    </row>
    <row r="112" spans="1:40" outlineLevel="1" x14ac:dyDescent="0.25">
      <c r="A112" s="54"/>
      <c r="B112" s="96" t="s">
        <v>120</v>
      </c>
      <c r="C112" s="15"/>
      <c r="D112" s="15" t="s">
        <v>142</v>
      </c>
      <c r="E112" s="189">
        <f>E107*(1+$E$111)</f>
        <v>350000</v>
      </c>
      <c r="F112" s="14"/>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29"/>
    </row>
    <row r="113" spans="1:40" outlineLevel="1" x14ac:dyDescent="0.25">
      <c r="A113" s="54"/>
      <c r="B113" s="96" t="s">
        <v>124</v>
      </c>
      <c r="C113" s="15"/>
      <c r="D113" s="15" t="s">
        <v>142</v>
      </c>
      <c r="E113" s="189">
        <f t="shared" ref="E113" si="14">E108*(1+$E$111)</f>
        <v>400000</v>
      </c>
      <c r="F113" s="14"/>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29"/>
    </row>
    <row r="114" spans="1:40" outlineLevel="1" x14ac:dyDescent="0.25">
      <c r="A114" s="54"/>
      <c r="B114" s="96" t="s">
        <v>126</v>
      </c>
      <c r="C114" s="15"/>
      <c r="D114" s="15" t="s">
        <v>142</v>
      </c>
      <c r="E114" s="189">
        <f>E109*(1+$E$111)</f>
        <v>700000</v>
      </c>
      <c r="F114" s="14"/>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29"/>
    </row>
    <row r="115" spans="1:40" outlineLevel="1" x14ac:dyDescent="0.25">
      <c r="A115" s="54"/>
      <c r="B115" s="14"/>
      <c r="C115" s="15"/>
      <c r="D115" s="15"/>
      <c r="E115" s="16"/>
      <c r="F115" s="14"/>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29"/>
    </row>
    <row r="116" spans="1:40" outlineLevel="1" x14ac:dyDescent="0.25">
      <c r="A116" s="54"/>
      <c r="B116" s="37" t="s">
        <v>257</v>
      </c>
      <c r="C116" s="40"/>
      <c r="D116" s="38"/>
      <c r="E116" s="39"/>
      <c r="F116" s="40"/>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4"/>
    </row>
    <row r="117" spans="1:40" outlineLevel="1" x14ac:dyDescent="0.25">
      <c r="A117" s="54"/>
      <c r="B117" s="20" t="s">
        <v>258</v>
      </c>
      <c r="C117" s="15"/>
      <c r="D117" s="15"/>
      <c r="E117" s="16"/>
      <c r="F117" s="14"/>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29"/>
    </row>
    <row r="118" spans="1:40" outlineLevel="1" x14ac:dyDescent="0.25">
      <c r="A118" s="54"/>
      <c r="B118" s="96" t="s">
        <v>120</v>
      </c>
      <c r="C118" s="15" t="s">
        <v>251</v>
      </c>
      <c r="D118" s="15" t="s">
        <v>259</v>
      </c>
      <c r="E118" s="303">
        <f>'Bus research'!I13</f>
        <v>0.75</v>
      </c>
      <c r="F118" s="14"/>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56"/>
      <c r="AJ118" s="56"/>
      <c r="AK118" s="56"/>
      <c r="AL118" s="56"/>
      <c r="AM118" s="56"/>
      <c r="AN118" s="29"/>
    </row>
    <row r="119" spans="1:40" outlineLevel="1" x14ac:dyDescent="0.25">
      <c r="A119" s="54"/>
      <c r="B119" s="96" t="s">
        <v>124</v>
      </c>
      <c r="C119" s="15"/>
      <c r="D119" s="15" t="s">
        <v>259</v>
      </c>
      <c r="E119" s="213">
        <f>E118*(E108/E107)</f>
        <v>0.8571428571428571</v>
      </c>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56"/>
      <c r="AJ119" s="56"/>
      <c r="AK119" s="56"/>
      <c r="AL119" s="56"/>
      <c r="AM119" s="56"/>
      <c r="AN119" s="29"/>
    </row>
    <row r="120" spans="1:40" outlineLevel="1" x14ac:dyDescent="0.25">
      <c r="A120" s="54"/>
      <c r="B120" s="96" t="s">
        <v>126</v>
      </c>
      <c r="C120" s="15"/>
      <c r="D120" s="15" t="s">
        <v>259</v>
      </c>
      <c r="E120" s="213">
        <f>E119*(E109/E107)</f>
        <v>1.7142857142857142</v>
      </c>
      <c r="F120" s="14"/>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56"/>
      <c r="AJ120" s="56"/>
      <c r="AK120" s="56"/>
      <c r="AL120" s="56"/>
      <c r="AM120" s="56"/>
      <c r="AN120" s="29"/>
    </row>
    <row r="121" spans="1:40" outlineLevel="1" x14ac:dyDescent="0.25">
      <c r="A121" s="54"/>
      <c r="B121" s="96"/>
      <c r="C121" s="15"/>
      <c r="D121" s="15"/>
      <c r="E121" s="213"/>
      <c r="F121" s="14"/>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56"/>
      <c r="AJ121" s="56"/>
      <c r="AK121" s="56"/>
      <c r="AL121" s="56"/>
      <c r="AM121" s="56"/>
      <c r="AN121" s="29"/>
    </row>
    <row r="122" spans="1:40" outlineLevel="1" x14ac:dyDescent="0.25">
      <c r="A122" s="54"/>
      <c r="B122" s="20" t="s">
        <v>260</v>
      </c>
      <c r="C122" s="15" t="s">
        <v>255</v>
      </c>
      <c r="D122" s="15" t="s">
        <v>261</v>
      </c>
      <c r="E122" s="155">
        <v>0.3604</v>
      </c>
      <c r="F122" s="14"/>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29"/>
    </row>
    <row r="123" spans="1:40" outlineLevel="1" x14ac:dyDescent="0.25">
      <c r="A123" s="54"/>
      <c r="B123" s="14"/>
      <c r="C123" s="14"/>
      <c r="D123" s="15"/>
      <c r="E123" s="16"/>
      <c r="F123" s="14"/>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29"/>
    </row>
    <row r="124" spans="1:40" outlineLevel="1" x14ac:dyDescent="0.25">
      <c r="A124" s="54"/>
      <c r="B124" s="37" t="s">
        <v>262</v>
      </c>
      <c r="C124" s="40"/>
      <c r="D124" s="38"/>
      <c r="E124" s="39"/>
      <c r="F124" s="40"/>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4"/>
    </row>
    <row r="125" spans="1:40" outlineLevel="1" x14ac:dyDescent="0.25">
      <c r="A125" s="54"/>
      <c r="B125" s="20" t="s">
        <v>263</v>
      </c>
      <c r="C125" s="14"/>
      <c r="D125" s="15"/>
      <c r="E125" s="16"/>
      <c r="F125" s="14"/>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29"/>
    </row>
    <row r="126" spans="1:40" outlineLevel="1" x14ac:dyDescent="0.25">
      <c r="A126" s="77"/>
      <c r="B126" s="14" t="s">
        <v>264</v>
      </c>
      <c r="C126" s="15" t="s">
        <v>265</v>
      </c>
      <c r="D126" s="15" t="s">
        <v>266</v>
      </c>
      <c r="E126" s="157">
        <v>20</v>
      </c>
      <c r="F126" s="14"/>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29"/>
    </row>
    <row r="127" spans="1:40" outlineLevel="1" x14ac:dyDescent="0.25">
      <c r="A127" s="77"/>
      <c r="B127" s="14"/>
      <c r="C127" s="15"/>
      <c r="D127" s="15"/>
      <c r="E127" s="158"/>
      <c r="F127" s="14"/>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29"/>
    </row>
    <row r="128" spans="1:40" outlineLevel="1" x14ac:dyDescent="0.25">
      <c r="A128" s="54"/>
      <c r="B128" s="20" t="s">
        <v>267</v>
      </c>
      <c r="C128" s="14"/>
      <c r="D128" s="15"/>
      <c r="E128" s="16"/>
      <c r="F128" s="14"/>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29"/>
    </row>
    <row r="129" spans="1:40" outlineLevel="1" x14ac:dyDescent="0.25">
      <c r="A129" s="54"/>
      <c r="B129" s="96" t="s">
        <v>268</v>
      </c>
      <c r="C129" s="15" t="s">
        <v>255</v>
      </c>
      <c r="D129" s="15" t="s">
        <v>269</v>
      </c>
      <c r="E129" s="157">
        <v>0.45</v>
      </c>
      <c r="F129" s="14"/>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29"/>
    </row>
    <row r="130" spans="1:40" outlineLevel="1" x14ac:dyDescent="0.25">
      <c r="A130" s="54"/>
      <c r="B130" s="96" t="s">
        <v>270</v>
      </c>
      <c r="C130" s="15" t="s">
        <v>255</v>
      </c>
      <c r="D130" s="15" t="s">
        <v>269</v>
      </c>
      <c r="E130" s="157">
        <v>0.45</v>
      </c>
      <c r="F130" s="14"/>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29"/>
    </row>
    <row r="131" spans="1:40" outlineLevel="1" x14ac:dyDescent="0.25">
      <c r="A131" s="54"/>
      <c r="B131" s="96" t="s">
        <v>271</v>
      </c>
      <c r="C131" s="15" t="s">
        <v>255</v>
      </c>
      <c r="D131" s="15" t="s">
        <v>269</v>
      </c>
      <c r="E131" s="157">
        <v>0.7</v>
      </c>
      <c r="F131" s="14"/>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29"/>
    </row>
    <row r="132" spans="1:40" outlineLevel="1" x14ac:dyDescent="0.25">
      <c r="A132" s="54"/>
      <c r="B132" s="96"/>
      <c r="C132" s="14"/>
      <c r="D132" s="15"/>
      <c r="E132" s="157"/>
      <c r="F132" s="14"/>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29"/>
    </row>
    <row r="133" spans="1:40" outlineLevel="1" x14ac:dyDescent="0.25">
      <c r="A133" s="54"/>
      <c r="B133" s="14"/>
      <c r="C133" s="15"/>
      <c r="D133" s="15"/>
      <c r="E133" s="16"/>
      <c r="F133" s="14"/>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29"/>
    </row>
    <row r="134" spans="1:40" outlineLevel="1" x14ac:dyDescent="0.25">
      <c r="A134" s="54"/>
      <c r="B134" s="37" t="s">
        <v>249</v>
      </c>
      <c r="C134" s="40"/>
      <c r="D134" s="38"/>
      <c r="E134" s="39"/>
      <c r="F134" s="40"/>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4"/>
    </row>
    <row r="135" spans="1:40" outlineLevel="1" x14ac:dyDescent="0.25">
      <c r="A135" s="54"/>
      <c r="B135" s="14" t="s">
        <v>250</v>
      </c>
      <c r="C135" s="15" t="s">
        <v>251</v>
      </c>
      <c r="D135" s="15" t="s">
        <v>128</v>
      </c>
      <c r="E135" s="171">
        <v>0.15</v>
      </c>
      <c r="F135" s="229"/>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29"/>
    </row>
    <row r="136" spans="1:40" outlineLevel="1" x14ac:dyDescent="0.25">
      <c r="A136" s="54"/>
      <c r="B136" s="14"/>
      <c r="C136" s="15"/>
      <c r="D136" s="15"/>
      <c r="E136" s="16"/>
      <c r="F136" s="14"/>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29"/>
    </row>
    <row r="137" spans="1:40" outlineLevel="1" x14ac:dyDescent="0.25">
      <c r="A137" s="54"/>
      <c r="B137" s="37" t="s">
        <v>272</v>
      </c>
      <c r="C137" s="40"/>
      <c r="D137" s="38"/>
      <c r="E137" s="39"/>
      <c r="F137" s="40"/>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4"/>
    </row>
    <row r="138" spans="1:40" outlineLevel="1" x14ac:dyDescent="0.25">
      <c r="A138" s="54"/>
      <c r="B138" s="14" t="s">
        <v>273</v>
      </c>
      <c r="C138" s="15" t="s">
        <v>274</v>
      </c>
      <c r="D138" s="15" t="s">
        <v>275</v>
      </c>
      <c r="E138" s="168">
        <v>100000</v>
      </c>
      <c r="F138" s="14"/>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29"/>
    </row>
    <row r="139" spans="1:40" outlineLevel="1" x14ac:dyDescent="0.25">
      <c r="A139" s="54"/>
      <c r="B139" s="14"/>
      <c r="C139" s="14"/>
      <c r="D139" s="15"/>
      <c r="E139" s="16"/>
      <c r="F139" s="14"/>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29"/>
    </row>
    <row r="140" spans="1:40" x14ac:dyDescent="0.25">
      <c r="A140" s="65"/>
      <c r="B140" s="34" t="s">
        <v>276</v>
      </c>
      <c r="C140" s="34"/>
      <c r="D140" s="35"/>
      <c r="E140" s="36"/>
      <c r="F140" s="3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7"/>
    </row>
    <row r="141" spans="1:40" outlineLevel="1" x14ac:dyDescent="0.25">
      <c r="A141" s="54"/>
      <c r="B141" s="14"/>
      <c r="C141" s="14"/>
      <c r="D141" s="15"/>
      <c r="E141" s="16"/>
      <c r="F141" s="14"/>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29"/>
    </row>
    <row r="142" spans="1:40" outlineLevel="1" x14ac:dyDescent="0.25">
      <c r="A142" s="54"/>
      <c r="B142" s="37" t="s">
        <v>253</v>
      </c>
      <c r="C142" s="37"/>
      <c r="D142" s="38"/>
      <c r="E142" s="39"/>
      <c r="F142" s="40"/>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4"/>
    </row>
    <row r="143" spans="1:40" outlineLevel="1" x14ac:dyDescent="0.25">
      <c r="A143" s="54"/>
      <c r="B143" s="95" t="s">
        <v>277</v>
      </c>
      <c r="C143" s="19"/>
      <c r="D143" s="15"/>
      <c r="E143" s="16"/>
      <c r="F143" s="14"/>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29"/>
    </row>
    <row r="144" spans="1:40" outlineLevel="1" x14ac:dyDescent="0.25">
      <c r="A144" s="54"/>
      <c r="B144" s="96" t="s">
        <v>120</v>
      </c>
      <c r="C144" s="14"/>
      <c r="D144" s="15" t="s">
        <v>142</v>
      </c>
      <c r="E144" s="157">
        <v>0</v>
      </c>
      <c r="F144" s="14"/>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29"/>
    </row>
    <row r="145" spans="1:40" outlineLevel="1" x14ac:dyDescent="0.25">
      <c r="A145" s="54"/>
      <c r="B145" s="96" t="s">
        <v>124</v>
      </c>
      <c r="C145" s="14"/>
      <c r="D145" s="15" t="s">
        <v>142</v>
      </c>
      <c r="E145" s="157">
        <v>0</v>
      </c>
      <c r="F145" s="14"/>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29"/>
    </row>
    <row r="146" spans="1:40" outlineLevel="1" x14ac:dyDescent="0.25">
      <c r="A146" s="54"/>
      <c r="B146" s="96" t="s">
        <v>126</v>
      </c>
      <c r="C146" s="41"/>
      <c r="D146" s="15" t="s">
        <v>142</v>
      </c>
      <c r="E146" s="157">
        <v>0</v>
      </c>
      <c r="F146" s="14"/>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29"/>
    </row>
    <row r="147" spans="1:40" outlineLevel="1" x14ac:dyDescent="0.25">
      <c r="A147" s="54"/>
      <c r="B147" s="14"/>
      <c r="C147" s="15"/>
      <c r="D147" s="15"/>
      <c r="E147" s="16"/>
      <c r="F147" s="14"/>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29"/>
    </row>
    <row r="148" spans="1:40" outlineLevel="1" x14ac:dyDescent="0.25">
      <c r="A148" s="54"/>
      <c r="B148" s="37" t="s">
        <v>257</v>
      </c>
      <c r="C148" s="40"/>
      <c r="D148" s="38"/>
      <c r="E148" s="39"/>
      <c r="F148" s="40"/>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4"/>
    </row>
    <row r="149" spans="1:40" outlineLevel="1" x14ac:dyDescent="0.25">
      <c r="A149" s="54"/>
      <c r="B149" s="20" t="s">
        <v>258</v>
      </c>
      <c r="C149" s="15"/>
      <c r="D149" s="15"/>
      <c r="E149" s="16"/>
      <c r="F149" s="14"/>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29"/>
    </row>
    <row r="150" spans="1:40" outlineLevel="1" x14ac:dyDescent="0.25">
      <c r="A150" s="54"/>
      <c r="B150" s="20" t="s">
        <v>278</v>
      </c>
      <c r="C150" s="15" t="s">
        <v>645</v>
      </c>
      <c r="D150" s="15" t="s">
        <v>128</v>
      </c>
      <c r="E150" s="171">
        <v>0.95</v>
      </c>
      <c r="F150" s="137"/>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29"/>
    </row>
    <row r="151" spans="1:40" outlineLevel="1" x14ac:dyDescent="0.25">
      <c r="A151" s="54"/>
      <c r="B151" s="96" t="s">
        <v>120</v>
      </c>
      <c r="C151" s="15"/>
      <c r="D151" s="15" t="s">
        <v>259</v>
      </c>
      <c r="E151" s="303">
        <f>E118</f>
        <v>0.75</v>
      </c>
      <c r="F151" s="14"/>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56"/>
      <c r="AJ151" s="56"/>
      <c r="AK151" s="56"/>
      <c r="AL151" s="56"/>
      <c r="AM151" s="56"/>
      <c r="AN151" s="29"/>
    </row>
    <row r="152" spans="1:40" outlineLevel="1" x14ac:dyDescent="0.25">
      <c r="A152" s="54"/>
      <c r="B152" s="96" t="s">
        <v>124</v>
      </c>
      <c r="C152" s="15"/>
      <c r="D152" s="15" t="s">
        <v>259</v>
      </c>
      <c r="E152" s="303">
        <f>E119</f>
        <v>0.8571428571428571</v>
      </c>
      <c r="F152" s="14"/>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56"/>
      <c r="AJ152" s="56"/>
      <c r="AK152" s="56"/>
      <c r="AL152" s="56"/>
      <c r="AM152" s="56"/>
      <c r="AN152" s="29"/>
    </row>
    <row r="153" spans="1:40" outlineLevel="1" x14ac:dyDescent="0.25">
      <c r="A153" s="54"/>
      <c r="B153" s="96" t="s">
        <v>126</v>
      </c>
      <c r="C153" s="15"/>
      <c r="D153" s="15" t="s">
        <v>259</v>
      </c>
      <c r="E153" s="303">
        <f>E120</f>
        <v>1.7142857142857142</v>
      </c>
      <c r="F153" s="14"/>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56"/>
      <c r="AJ153" s="56"/>
      <c r="AK153" s="56"/>
      <c r="AL153" s="56"/>
      <c r="AM153" s="56"/>
      <c r="AN153" s="29"/>
    </row>
    <row r="154" spans="1:40" outlineLevel="1" x14ac:dyDescent="0.25">
      <c r="A154" s="54"/>
      <c r="B154" s="96"/>
      <c r="C154" s="15"/>
      <c r="D154" s="15"/>
      <c r="E154" s="16"/>
      <c r="F154" s="14"/>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29"/>
    </row>
    <row r="155" spans="1:40" outlineLevel="1" x14ac:dyDescent="0.25">
      <c r="A155" s="54"/>
      <c r="B155" s="20" t="s">
        <v>260</v>
      </c>
      <c r="C155" s="15" t="s">
        <v>255</v>
      </c>
      <c r="D155" s="15" t="s">
        <v>261</v>
      </c>
      <c r="E155" s="155">
        <v>0.3604</v>
      </c>
      <c r="F155" s="14"/>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29"/>
    </row>
    <row r="156" spans="1:40" outlineLevel="1" x14ac:dyDescent="0.25">
      <c r="A156" s="54"/>
      <c r="B156" s="20"/>
      <c r="C156" s="15"/>
      <c r="D156" s="15"/>
      <c r="E156" s="155"/>
      <c r="F156" s="14"/>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29"/>
    </row>
    <row r="157" spans="1:40" outlineLevel="1" x14ac:dyDescent="0.25">
      <c r="A157" s="54"/>
      <c r="B157" s="37" t="s">
        <v>262</v>
      </c>
      <c r="C157" s="40"/>
      <c r="D157" s="38"/>
      <c r="E157" s="39"/>
      <c r="F157" s="40"/>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4"/>
    </row>
    <row r="158" spans="1:40" outlineLevel="1" x14ac:dyDescent="0.25">
      <c r="A158" s="54"/>
      <c r="B158" s="20" t="s">
        <v>263</v>
      </c>
      <c r="C158" s="14"/>
      <c r="D158" s="15"/>
      <c r="E158" s="16"/>
      <c r="F158" s="14"/>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29"/>
    </row>
    <row r="159" spans="1:40" outlineLevel="1" x14ac:dyDescent="0.25">
      <c r="A159" s="77"/>
      <c r="B159" s="14" t="s">
        <v>279</v>
      </c>
      <c r="C159" s="15" t="s">
        <v>265</v>
      </c>
      <c r="D159" s="15" t="s">
        <v>266</v>
      </c>
      <c r="E159" s="158">
        <f>Dashboard!I31</f>
        <v>12</v>
      </c>
      <c r="F159" s="14"/>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29"/>
    </row>
    <row r="160" spans="1:40" outlineLevel="1" x14ac:dyDescent="0.25">
      <c r="A160" s="77"/>
      <c r="B160" s="14"/>
      <c r="C160" s="15"/>
      <c r="D160" s="15"/>
      <c r="E160" s="158"/>
      <c r="F160" s="14"/>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29"/>
    </row>
    <row r="161" spans="1:40" outlineLevel="1" x14ac:dyDescent="0.25">
      <c r="A161" s="54"/>
      <c r="B161" s="20" t="s">
        <v>280</v>
      </c>
      <c r="C161" s="14"/>
      <c r="D161" s="15"/>
      <c r="E161" s="16"/>
      <c r="F161" s="14"/>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29"/>
    </row>
    <row r="162" spans="1:40" outlineLevel="1" x14ac:dyDescent="0.25">
      <c r="A162" s="54"/>
      <c r="B162" s="96" t="s">
        <v>268</v>
      </c>
      <c r="C162" s="14"/>
      <c r="D162" s="15" t="s">
        <v>269</v>
      </c>
      <c r="E162" s="158">
        <f>E129</f>
        <v>0.45</v>
      </c>
      <c r="F162" s="14"/>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29"/>
    </row>
    <row r="163" spans="1:40" outlineLevel="1" x14ac:dyDescent="0.25">
      <c r="A163" s="54"/>
      <c r="B163" s="96" t="s">
        <v>270</v>
      </c>
      <c r="C163" s="14"/>
      <c r="D163" s="15" t="s">
        <v>269</v>
      </c>
      <c r="E163" s="158">
        <f>E130</f>
        <v>0.45</v>
      </c>
      <c r="F163" s="14"/>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29"/>
    </row>
    <row r="164" spans="1:40" outlineLevel="1" x14ac:dyDescent="0.25">
      <c r="A164" s="54"/>
      <c r="B164" s="96" t="s">
        <v>271</v>
      </c>
      <c r="C164" s="14"/>
      <c r="D164" s="15" t="s">
        <v>269</v>
      </c>
      <c r="E164" s="158">
        <f>E131</f>
        <v>0.7</v>
      </c>
      <c r="F164" s="14"/>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29"/>
    </row>
    <row r="165" spans="1:40" outlineLevel="1" x14ac:dyDescent="0.25">
      <c r="A165" s="54"/>
      <c r="B165" s="96"/>
      <c r="C165" s="14"/>
      <c r="D165" s="15"/>
      <c r="E165" s="158"/>
      <c r="F165" s="14"/>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29"/>
    </row>
    <row r="166" spans="1:40" outlineLevel="1" x14ac:dyDescent="0.25">
      <c r="A166" s="54"/>
      <c r="B166" s="96"/>
      <c r="C166" s="41"/>
      <c r="D166" s="15"/>
      <c r="E166" s="241"/>
      <c r="F166" s="14"/>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29"/>
    </row>
    <row r="167" spans="1:40" outlineLevel="1" x14ac:dyDescent="0.25">
      <c r="A167" s="54"/>
      <c r="B167" s="37" t="s">
        <v>272</v>
      </c>
      <c r="C167" s="40"/>
      <c r="D167" s="38"/>
      <c r="E167" s="39"/>
      <c r="F167" s="40"/>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4"/>
    </row>
    <row r="168" spans="1:40" outlineLevel="1" x14ac:dyDescent="0.25">
      <c r="A168" s="54"/>
      <c r="B168" s="14" t="s">
        <v>281</v>
      </c>
      <c r="C168" s="14"/>
      <c r="D168" s="15" t="s">
        <v>128</v>
      </c>
      <c r="E168" s="206">
        <v>0.63</v>
      </c>
      <c r="F168" s="14"/>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29"/>
    </row>
    <row r="169" spans="1:40" outlineLevel="1" x14ac:dyDescent="0.25">
      <c r="A169" s="54"/>
      <c r="B169" s="14" t="s">
        <v>273</v>
      </c>
      <c r="C169" s="14"/>
      <c r="D169" s="15" t="s">
        <v>275</v>
      </c>
      <c r="E169" s="157">
        <v>0</v>
      </c>
      <c r="F169" s="14"/>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29"/>
    </row>
    <row r="170" spans="1:40" outlineLevel="1" x14ac:dyDescent="0.25">
      <c r="A170" s="54"/>
      <c r="B170" s="20" t="s">
        <v>282</v>
      </c>
      <c r="C170" s="15"/>
      <c r="D170" s="15"/>
      <c r="E170" s="16"/>
      <c r="F170" s="14"/>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29"/>
    </row>
    <row r="171" spans="1:40" outlineLevel="1" x14ac:dyDescent="0.25">
      <c r="A171" s="54"/>
      <c r="B171" s="14" t="s">
        <v>283</v>
      </c>
      <c r="C171" s="15"/>
      <c r="D171" s="70" t="s">
        <v>128</v>
      </c>
      <c r="E171" s="169">
        <v>0</v>
      </c>
      <c r="F171" s="71"/>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29"/>
    </row>
    <row r="172" spans="1:40" outlineLevel="1" x14ac:dyDescent="0.25">
      <c r="A172" s="54"/>
      <c r="B172" s="14" t="s">
        <v>284</v>
      </c>
      <c r="C172" s="53" t="s">
        <v>646</v>
      </c>
      <c r="D172" s="70" t="s">
        <v>128</v>
      </c>
      <c r="E172" s="169">
        <f>E168</f>
        <v>0.63</v>
      </c>
      <c r="F172" s="71"/>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29"/>
    </row>
    <row r="173" spans="1:40" outlineLevel="1" x14ac:dyDescent="0.25">
      <c r="A173" s="54"/>
      <c r="B173" s="14" t="s">
        <v>285</v>
      </c>
      <c r="C173" s="15"/>
      <c r="D173" s="70" t="s">
        <v>128</v>
      </c>
      <c r="E173" s="207"/>
      <c r="F173" s="71"/>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29"/>
    </row>
    <row r="174" spans="1:40" outlineLevel="1" x14ac:dyDescent="0.25">
      <c r="A174" s="54"/>
      <c r="B174" s="14" t="s">
        <v>220</v>
      </c>
      <c r="C174" s="15"/>
      <c r="D174" s="70" t="s">
        <v>128</v>
      </c>
      <c r="E174" s="207"/>
      <c r="F174" s="71"/>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29"/>
    </row>
    <row r="175" spans="1:40" outlineLevel="1" x14ac:dyDescent="0.25">
      <c r="A175" s="54"/>
      <c r="B175" s="14" t="s">
        <v>212</v>
      </c>
      <c r="C175" s="15"/>
      <c r="D175" s="70" t="s">
        <v>128</v>
      </c>
      <c r="E175" s="207"/>
      <c r="F175" s="71"/>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29"/>
    </row>
    <row r="176" spans="1:40" outlineLevel="1" x14ac:dyDescent="0.25">
      <c r="A176" s="54"/>
      <c r="B176" s="14" t="s">
        <v>286</v>
      </c>
      <c r="C176" s="15"/>
      <c r="D176" s="70" t="s">
        <v>128</v>
      </c>
      <c r="E176" s="169"/>
      <c r="F176" s="71"/>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29"/>
    </row>
    <row r="177" spans="1:40" outlineLevel="1" x14ac:dyDescent="0.25">
      <c r="A177" s="54"/>
      <c r="B177" s="14" t="s">
        <v>287</v>
      </c>
      <c r="C177" s="15"/>
      <c r="D177" s="70" t="s">
        <v>128</v>
      </c>
      <c r="E177" s="169"/>
      <c r="F177" s="71"/>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29"/>
    </row>
    <row r="178" spans="1:40" outlineLevel="1" x14ac:dyDescent="0.25">
      <c r="A178" s="54"/>
      <c r="B178" s="14" t="s">
        <v>288</v>
      </c>
      <c r="C178" s="15"/>
      <c r="D178" s="70" t="s">
        <v>128</v>
      </c>
      <c r="E178" s="207"/>
      <c r="F178" s="71"/>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29"/>
    </row>
    <row r="179" spans="1:40" outlineLevel="1" x14ac:dyDescent="0.25">
      <c r="A179" s="54"/>
      <c r="B179" s="14"/>
      <c r="C179" s="14"/>
      <c r="D179" s="15"/>
      <c r="E179" s="16"/>
      <c r="F179" s="14"/>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29"/>
    </row>
    <row r="180" spans="1:40" x14ac:dyDescent="0.25">
      <c r="A180" s="65"/>
      <c r="B180" s="34" t="s">
        <v>24</v>
      </c>
      <c r="C180" s="35"/>
      <c r="D180" s="35"/>
      <c r="E180" s="36"/>
      <c r="F180" s="3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7"/>
    </row>
    <row r="181" spans="1:40" outlineLevel="1" x14ac:dyDescent="0.25">
      <c r="A181" s="54"/>
      <c r="B181" s="14"/>
      <c r="C181" s="15"/>
      <c r="D181" s="15"/>
      <c r="E181" s="16"/>
      <c r="F181" s="14"/>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29"/>
    </row>
    <row r="182" spans="1:40" outlineLevel="1" x14ac:dyDescent="0.25">
      <c r="A182" s="54"/>
      <c r="B182" s="37" t="s">
        <v>253</v>
      </c>
      <c r="C182" s="37"/>
      <c r="D182" s="38"/>
      <c r="E182" s="39"/>
      <c r="F182" s="40"/>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4"/>
    </row>
    <row r="183" spans="1:40" outlineLevel="1" x14ac:dyDescent="0.25">
      <c r="A183" s="54"/>
      <c r="B183" s="95" t="s">
        <v>289</v>
      </c>
      <c r="C183" s="19"/>
      <c r="D183" s="15"/>
      <c r="E183" s="16"/>
      <c r="F183" s="14"/>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29"/>
    </row>
    <row r="184" spans="1:40" outlineLevel="1" x14ac:dyDescent="0.25">
      <c r="A184" s="54"/>
      <c r="B184" s="96" t="s">
        <v>120</v>
      </c>
      <c r="C184" s="15" t="s">
        <v>290</v>
      </c>
      <c r="D184" s="15" t="s">
        <v>142</v>
      </c>
      <c r="E184" s="168">
        <v>19041.599999999999</v>
      </c>
      <c r="F184" s="14"/>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29"/>
    </row>
    <row r="185" spans="1:40" outlineLevel="1" x14ac:dyDescent="0.25">
      <c r="A185" s="54"/>
      <c r="B185" s="96" t="s">
        <v>124</v>
      </c>
      <c r="C185" s="15" t="s">
        <v>290</v>
      </c>
      <c r="D185" s="15" t="s">
        <v>142</v>
      </c>
      <c r="E185" s="168">
        <v>19041.599999999999</v>
      </c>
      <c r="F185" s="14"/>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29"/>
    </row>
    <row r="186" spans="1:40" outlineLevel="1" x14ac:dyDescent="0.25">
      <c r="A186" s="54"/>
      <c r="B186" s="96" t="s">
        <v>126</v>
      </c>
      <c r="C186" s="15" t="s">
        <v>290</v>
      </c>
      <c r="D186" s="15" t="s">
        <v>142</v>
      </c>
      <c r="E186" s="168">
        <v>19041.599999999999</v>
      </c>
      <c r="F186" s="14"/>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29"/>
    </row>
    <row r="187" spans="1:40" outlineLevel="1" x14ac:dyDescent="0.25">
      <c r="A187" s="54"/>
      <c r="B187" s="96"/>
      <c r="C187" s="15"/>
      <c r="D187" s="15"/>
      <c r="E187" s="168"/>
      <c r="F187" s="14"/>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29"/>
    </row>
    <row r="188" spans="1:40" outlineLevel="1" x14ac:dyDescent="0.25">
      <c r="A188" s="54"/>
      <c r="B188" s="14" t="s">
        <v>256</v>
      </c>
      <c r="C188" s="14"/>
      <c r="D188" s="15" t="s">
        <v>128</v>
      </c>
      <c r="E188" s="212">
        <f>Dashboard!H83</f>
        <v>0</v>
      </c>
      <c r="F188" s="14"/>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29"/>
    </row>
    <row r="189" spans="1:40" outlineLevel="1" x14ac:dyDescent="0.25">
      <c r="A189" s="54"/>
      <c r="B189" s="96" t="s">
        <v>120</v>
      </c>
      <c r="C189" s="15" t="s">
        <v>291</v>
      </c>
      <c r="D189" s="15" t="s">
        <v>142</v>
      </c>
      <c r="E189" s="189">
        <f>E184*(1+$E$188)</f>
        <v>19041.599999999999</v>
      </c>
      <c r="F189" s="14"/>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29"/>
    </row>
    <row r="190" spans="1:40" outlineLevel="1" x14ac:dyDescent="0.25">
      <c r="A190" s="54"/>
      <c r="B190" s="96" t="s">
        <v>124</v>
      </c>
      <c r="C190" s="15" t="s">
        <v>291</v>
      </c>
      <c r="D190" s="15" t="s">
        <v>142</v>
      </c>
      <c r="E190" s="189">
        <f>E185*(1+$E$188)</f>
        <v>19041.599999999999</v>
      </c>
      <c r="F190" s="14"/>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29"/>
    </row>
    <row r="191" spans="1:40" outlineLevel="1" x14ac:dyDescent="0.25">
      <c r="A191" s="54"/>
      <c r="B191" s="96" t="s">
        <v>126</v>
      </c>
      <c r="C191" s="15" t="s">
        <v>291</v>
      </c>
      <c r="D191" s="15" t="s">
        <v>142</v>
      </c>
      <c r="E191" s="189">
        <f>E186*(1+$E$188)</f>
        <v>19041.599999999999</v>
      </c>
      <c r="F191" s="14"/>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29"/>
    </row>
    <row r="192" spans="1:40" outlineLevel="1" x14ac:dyDescent="0.25">
      <c r="A192" s="54"/>
      <c r="B192" s="14"/>
      <c r="C192" s="15"/>
      <c r="D192" s="15"/>
      <c r="E192" s="16"/>
      <c r="F192" s="14"/>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29"/>
    </row>
    <row r="193" spans="1:40" outlineLevel="1" x14ac:dyDescent="0.25">
      <c r="A193" s="54"/>
      <c r="B193" s="37" t="s">
        <v>257</v>
      </c>
      <c r="C193" s="40"/>
      <c r="D193" s="38"/>
      <c r="E193" s="39"/>
      <c r="F193" s="40"/>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4"/>
    </row>
    <row r="194" spans="1:40" outlineLevel="1" x14ac:dyDescent="0.25">
      <c r="A194" s="54"/>
      <c r="B194" s="20" t="s">
        <v>258</v>
      </c>
      <c r="C194" s="15"/>
      <c r="D194" s="15"/>
      <c r="E194" s="16"/>
      <c r="F194" s="14"/>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29"/>
    </row>
    <row r="195" spans="1:40" outlineLevel="1" x14ac:dyDescent="0.25">
      <c r="A195" s="54"/>
      <c r="B195" s="96" t="s">
        <v>120</v>
      </c>
      <c r="C195" s="15"/>
      <c r="D195" s="15" t="s">
        <v>259</v>
      </c>
      <c r="E195" s="303">
        <f>E118</f>
        <v>0.75</v>
      </c>
      <c r="F195" s="14"/>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29"/>
    </row>
    <row r="196" spans="1:40" outlineLevel="1" x14ac:dyDescent="0.25">
      <c r="A196" s="54"/>
      <c r="B196" s="96" t="s">
        <v>124</v>
      </c>
      <c r="C196" s="14"/>
      <c r="D196" s="15" t="s">
        <v>259</v>
      </c>
      <c r="E196" s="303">
        <f>E119</f>
        <v>0.8571428571428571</v>
      </c>
      <c r="F196" s="14"/>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29"/>
    </row>
    <row r="197" spans="1:40" outlineLevel="1" x14ac:dyDescent="0.25">
      <c r="A197" s="54"/>
      <c r="B197" s="96" t="s">
        <v>126</v>
      </c>
      <c r="C197" s="15"/>
      <c r="D197" s="15" t="s">
        <v>259</v>
      </c>
      <c r="E197" s="303">
        <f>E120</f>
        <v>1.7142857142857142</v>
      </c>
      <c r="F197" s="14"/>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29"/>
    </row>
    <row r="198" spans="1:40" outlineLevel="1" x14ac:dyDescent="0.25">
      <c r="A198" s="54"/>
      <c r="B198" s="96"/>
      <c r="C198" s="15"/>
      <c r="D198" s="15"/>
      <c r="E198" s="303"/>
      <c r="F198" s="14"/>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29"/>
    </row>
    <row r="199" spans="1:40" outlineLevel="1" x14ac:dyDescent="0.25">
      <c r="A199" s="54"/>
      <c r="B199" s="20" t="s">
        <v>260</v>
      </c>
      <c r="C199" s="14"/>
      <c r="D199" s="15" t="s">
        <v>261</v>
      </c>
      <c r="E199" s="173">
        <f>E122</f>
        <v>0.3604</v>
      </c>
      <c r="F199" s="14"/>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29"/>
    </row>
    <row r="200" spans="1:40" outlineLevel="1" x14ac:dyDescent="0.25">
      <c r="A200" s="54"/>
      <c r="B200" s="14"/>
      <c r="C200" s="15"/>
      <c r="D200" s="15"/>
      <c r="E200" s="16"/>
      <c r="F200" s="14"/>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29"/>
    </row>
    <row r="201" spans="1:40" outlineLevel="1" x14ac:dyDescent="0.25">
      <c r="A201" s="54"/>
      <c r="B201" s="37" t="s">
        <v>262</v>
      </c>
      <c r="C201" s="40"/>
      <c r="D201" s="38"/>
      <c r="E201" s="39"/>
      <c r="F201" s="40"/>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4"/>
    </row>
    <row r="202" spans="1:40" outlineLevel="1" x14ac:dyDescent="0.25">
      <c r="A202" s="54"/>
      <c r="B202" s="20" t="s">
        <v>263</v>
      </c>
      <c r="C202" s="14"/>
      <c r="D202" s="15"/>
      <c r="E202" s="16"/>
      <c r="F202" s="14"/>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29"/>
    </row>
    <row r="203" spans="1:40" outlineLevel="1" x14ac:dyDescent="0.25">
      <c r="A203" s="77"/>
      <c r="B203" s="14" t="s">
        <v>279</v>
      </c>
      <c r="C203" s="15" t="s">
        <v>265</v>
      </c>
      <c r="D203" s="15" t="s">
        <v>266</v>
      </c>
      <c r="E203" s="158">
        <f>Dashboard!I31</f>
        <v>12</v>
      </c>
      <c r="F203" s="14"/>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29"/>
    </row>
    <row r="204" spans="1:40" outlineLevel="1" x14ac:dyDescent="0.25">
      <c r="A204" s="54"/>
      <c r="B204" s="14"/>
      <c r="C204" s="15"/>
      <c r="D204" s="15"/>
      <c r="E204" s="16"/>
      <c r="F204" s="14"/>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29"/>
    </row>
    <row r="205" spans="1:40" outlineLevel="1" x14ac:dyDescent="0.25">
      <c r="A205" s="54"/>
      <c r="B205" s="20" t="s">
        <v>280</v>
      </c>
      <c r="C205" s="14"/>
      <c r="D205" s="15"/>
      <c r="E205" s="16"/>
      <c r="F205" s="14"/>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29"/>
    </row>
    <row r="206" spans="1:40" outlineLevel="1" x14ac:dyDescent="0.25">
      <c r="A206" s="54"/>
      <c r="B206" s="14" t="s">
        <v>292</v>
      </c>
      <c r="C206" s="15" t="s">
        <v>290</v>
      </c>
      <c r="D206" s="15" t="s">
        <v>128</v>
      </c>
      <c r="E206" s="208">
        <v>0.12</v>
      </c>
      <c r="F206" s="14"/>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29"/>
    </row>
    <row r="207" spans="1:40" outlineLevel="1" x14ac:dyDescent="0.25">
      <c r="A207" s="54"/>
      <c r="B207" s="96" t="s">
        <v>268</v>
      </c>
      <c r="C207" s="14"/>
      <c r="D207" s="15" t="s">
        <v>269</v>
      </c>
      <c r="E207" s="209">
        <f>E162*(1-E206)</f>
        <v>0.39600000000000002</v>
      </c>
      <c r="F207" s="14"/>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29"/>
    </row>
    <row r="208" spans="1:40" outlineLevel="1" x14ac:dyDescent="0.25">
      <c r="A208" s="54"/>
      <c r="B208" s="96" t="s">
        <v>293</v>
      </c>
      <c r="C208" s="14"/>
      <c r="D208" s="15" t="s">
        <v>269</v>
      </c>
      <c r="E208" s="210">
        <f>E163*(1-E206)</f>
        <v>0.39600000000000002</v>
      </c>
      <c r="F208" s="14"/>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29"/>
    </row>
    <row r="209" spans="1:40" outlineLevel="1" x14ac:dyDescent="0.25">
      <c r="A209" s="54"/>
      <c r="B209" s="96" t="s">
        <v>126</v>
      </c>
      <c r="C209" s="14"/>
      <c r="D209" s="15" t="s">
        <v>269</v>
      </c>
      <c r="E209" s="16">
        <f>E164*(1-E206)</f>
        <v>0.61599999999999999</v>
      </c>
      <c r="F209" s="14"/>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29"/>
    </row>
    <row r="210" spans="1:40" outlineLevel="1" x14ac:dyDescent="0.25">
      <c r="A210" s="54"/>
      <c r="B210" s="96"/>
      <c r="C210" s="14"/>
      <c r="D210" s="15"/>
      <c r="E210" s="16"/>
      <c r="F210" s="14"/>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29"/>
    </row>
    <row r="211" spans="1:40" outlineLevel="1" x14ac:dyDescent="0.25">
      <c r="A211" s="54"/>
      <c r="B211" s="37" t="s">
        <v>249</v>
      </c>
      <c r="C211" s="40"/>
      <c r="D211" s="38"/>
      <c r="E211" s="39"/>
      <c r="F211" s="40"/>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4"/>
    </row>
    <row r="212" spans="1:40" outlineLevel="1" x14ac:dyDescent="0.25">
      <c r="A212" s="54"/>
      <c r="B212" s="14" t="s">
        <v>250</v>
      </c>
      <c r="C212" s="15" t="s">
        <v>251</v>
      </c>
      <c r="D212" s="15" t="s">
        <v>128</v>
      </c>
      <c r="E212" s="171">
        <v>0.15</v>
      </c>
      <c r="F212" s="229"/>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29"/>
    </row>
    <row r="213" spans="1:40" outlineLevel="1" x14ac:dyDescent="0.25">
      <c r="A213" s="54"/>
      <c r="B213" s="14"/>
      <c r="C213" s="14"/>
      <c r="D213" s="15"/>
      <c r="E213" s="16"/>
      <c r="F213" s="14"/>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29"/>
    </row>
    <row r="214" spans="1:40" outlineLevel="1" x14ac:dyDescent="0.25">
      <c r="A214" s="54"/>
      <c r="B214" s="37" t="s">
        <v>272</v>
      </c>
      <c r="C214" s="40"/>
      <c r="D214" s="38"/>
      <c r="E214" s="39"/>
      <c r="F214" s="40"/>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4"/>
    </row>
    <row r="215" spans="1:40" outlineLevel="1" x14ac:dyDescent="0.25">
      <c r="A215" s="54"/>
      <c r="B215" s="14" t="s">
        <v>294</v>
      </c>
      <c r="C215" t="s">
        <v>648</v>
      </c>
      <c r="D215" s="15" t="s">
        <v>128</v>
      </c>
      <c r="E215" s="16" t="s">
        <v>295</v>
      </c>
      <c r="F215" s="14"/>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29"/>
    </row>
    <row r="216" spans="1:40" outlineLevel="1" x14ac:dyDescent="0.25">
      <c r="A216" s="54"/>
      <c r="B216" s="14" t="s">
        <v>273</v>
      </c>
      <c r="C216" s="15"/>
      <c r="D216" s="15" t="s">
        <v>275</v>
      </c>
      <c r="E216" s="179">
        <v>0</v>
      </c>
      <c r="F216" s="14"/>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29"/>
    </row>
    <row r="217" spans="1:40" outlineLevel="1" x14ac:dyDescent="0.25">
      <c r="A217" s="54"/>
      <c r="B217" s="20" t="s">
        <v>282</v>
      </c>
      <c r="C217" s="15"/>
      <c r="D217" s="15"/>
      <c r="E217" s="16"/>
      <c r="F217" s="14"/>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29"/>
    </row>
    <row r="218" spans="1:40" outlineLevel="1" x14ac:dyDescent="0.25">
      <c r="A218" s="54"/>
      <c r="B218" s="14" t="s">
        <v>283</v>
      </c>
      <c r="C218" s="14" t="s">
        <v>290</v>
      </c>
      <c r="D218" s="70" t="s">
        <v>128</v>
      </c>
      <c r="E218" s="393">
        <v>3.7400000000000003E-2</v>
      </c>
      <c r="F218" s="397"/>
      <c r="G218" s="398"/>
      <c r="H218" s="398"/>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29"/>
    </row>
    <row r="219" spans="1:40" outlineLevel="1" x14ac:dyDescent="0.25">
      <c r="A219" s="54"/>
      <c r="B219" s="14" t="s">
        <v>284</v>
      </c>
      <c r="C219" s="14" t="s">
        <v>290</v>
      </c>
      <c r="D219" s="70" t="s">
        <v>128</v>
      </c>
      <c r="E219" s="393">
        <v>1.5E-3</v>
      </c>
      <c r="F219" s="397"/>
      <c r="G219" s="398"/>
      <c r="H219" s="398"/>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29"/>
    </row>
    <row r="220" spans="1:40" outlineLevel="1" x14ac:dyDescent="0.25">
      <c r="A220" s="54"/>
      <c r="B220" s="14" t="s">
        <v>285</v>
      </c>
      <c r="C220" s="14"/>
      <c r="D220" s="70" t="s">
        <v>128</v>
      </c>
      <c r="E220" s="169">
        <v>0</v>
      </c>
      <c r="F220" s="71"/>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29"/>
    </row>
    <row r="221" spans="1:40" outlineLevel="1" x14ac:dyDescent="0.25">
      <c r="A221" s="54"/>
      <c r="B221" s="14" t="s">
        <v>220</v>
      </c>
      <c r="C221" s="14" t="s">
        <v>290</v>
      </c>
      <c r="D221" s="70" t="s">
        <v>128</v>
      </c>
      <c r="E221" s="169">
        <v>0</v>
      </c>
      <c r="F221" s="71"/>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29"/>
    </row>
    <row r="222" spans="1:40" outlineLevel="1" x14ac:dyDescent="0.25">
      <c r="A222" s="54"/>
      <c r="B222" s="14" t="s">
        <v>212</v>
      </c>
      <c r="C222" s="14" t="s">
        <v>290</v>
      </c>
      <c r="D222" s="70" t="s">
        <v>128</v>
      </c>
      <c r="E222" s="169">
        <v>-4.1099999999999998E-2</v>
      </c>
      <c r="F222" s="71"/>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29"/>
    </row>
    <row r="223" spans="1:40" outlineLevel="1" x14ac:dyDescent="0.25">
      <c r="A223" s="54"/>
      <c r="B223" s="14" t="s">
        <v>286</v>
      </c>
      <c r="C223" s="14" t="s">
        <v>290</v>
      </c>
      <c r="D223" s="70" t="s">
        <v>128</v>
      </c>
      <c r="E223" s="169">
        <v>0.33040000000000003</v>
      </c>
      <c r="F223" s="71"/>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29"/>
    </row>
    <row r="224" spans="1:40" outlineLevel="1" x14ac:dyDescent="0.25">
      <c r="A224" s="54"/>
      <c r="B224" s="14" t="s">
        <v>214</v>
      </c>
      <c r="C224" s="14" t="s">
        <v>290</v>
      </c>
      <c r="D224" s="70" t="s">
        <v>128</v>
      </c>
      <c r="E224" s="169">
        <v>0.33040000000000003</v>
      </c>
      <c r="F224" s="71"/>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29"/>
    </row>
    <row r="225" spans="1:40" outlineLevel="1" x14ac:dyDescent="0.25">
      <c r="A225" s="54"/>
      <c r="B225" s="14" t="s">
        <v>183</v>
      </c>
      <c r="C225" s="14"/>
      <c r="D225" s="70" t="s">
        <v>128</v>
      </c>
      <c r="E225" s="207"/>
      <c r="F225" s="71"/>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29"/>
    </row>
    <row r="226" spans="1:40" outlineLevel="1" x14ac:dyDescent="0.25">
      <c r="A226" s="54"/>
      <c r="B226" s="14"/>
      <c r="C226" s="14"/>
      <c r="D226" s="15"/>
      <c r="E226" s="16"/>
      <c r="F226" s="14"/>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29"/>
    </row>
    <row r="227" spans="1:40" x14ac:dyDescent="0.25">
      <c r="A227" s="65"/>
      <c r="B227" s="34" t="s">
        <v>26</v>
      </c>
      <c r="C227" s="34"/>
      <c r="D227" s="35"/>
      <c r="E227" s="36"/>
      <c r="F227" s="3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7"/>
    </row>
    <row r="228" spans="1:40" outlineLevel="1" x14ac:dyDescent="0.25">
      <c r="A228" s="54"/>
      <c r="B228" s="14"/>
      <c r="C228" s="14"/>
      <c r="D228" s="15"/>
      <c r="E228" s="16"/>
      <c r="F228" s="14"/>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29"/>
    </row>
    <row r="229" spans="1:40" outlineLevel="1" x14ac:dyDescent="0.25">
      <c r="A229" s="54"/>
      <c r="B229" s="37" t="s">
        <v>253</v>
      </c>
      <c r="C229" s="37"/>
      <c r="D229" s="38"/>
      <c r="E229" s="39"/>
      <c r="F229" s="40"/>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4"/>
    </row>
    <row r="230" spans="1:40" outlineLevel="1" x14ac:dyDescent="0.25">
      <c r="A230" s="54"/>
      <c r="B230" s="95" t="s">
        <v>296</v>
      </c>
      <c r="C230" s="19"/>
      <c r="D230" s="15"/>
      <c r="E230" s="16"/>
      <c r="F230" s="14"/>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29"/>
    </row>
    <row r="231" spans="1:40" outlineLevel="1" x14ac:dyDescent="0.25">
      <c r="A231" s="54"/>
      <c r="B231" s="96" t="s">
        <v>297</v>
      </c>
      <c r="C231" s="14" t="s">
        <v>298</v>
      </c>
      <c r="D231" s="15" t="s">
        <v>142</v>
      </c>
      <c r="E231" s="260">
        <f>(E233*0.85+320000)/2</f>
        <v>372500</v>
      </c>
      <c r="F231" s="259"/>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29"/>
    </row>
    <row r="232" spans="1:40" outlineLevel="1" x14ac:dyDescent="0.25">
      <c r="A232" s="54"/>
      <c r="B232" s="96" t="s">
        <v>299</v>
      </c>
      <c r="C232" s="14" t="s">
        <v>298</v>
      </c>
      <c r="D232" s="15" t="s">
        <v>142</v>
      </c>
      <c r="E232" s="260">
        <f>(E233*0.9+347000)/2</f>
        <v>398500</v>
      </c>
      <c r="F232" s="259"/>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29"/>
    </row>
    <row r="233" spans="1:40" outlineLevel="1" x14ac:dyDescent="0.25">
      <c r="A233" s="54"/>
      <c r="B233" s="96" t="s">
        <v>300</v>
      </c>
      <c r="C233" s="14" t="s">
        <v>255</v>
      </c>
      <c r="D233" s="15" t="s">
        <v>142</v>
      </c>
      <c r="E233" s="160">
        <v>500000</v>
      </c>
      <c r="F233" s="259"/>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29"/>
    </row>
    <row r="234" spans="1:40" outlineLevel="1" x14ac:dyDescent="0.25">
      <c r="A234" s="54"/>
      <c r="B234" s="96"/>
      <c r="C234" s="14"/>
      <c r="D234" s="15"/>
      <c r="E234" s="160"/>
      <c r="F234" s="14"/>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29"/>
    </row>
    <row r="235" spans="1:40" outlineLevel="1" x14ac:dyDescent="0.25">
      <c r="A235" s="54"/>
      <c r="B235" s="304" t="s">
        <v>256</v>
      </c>
      <c r="C235" s="14"/>
      <c r="D235" s="15" t="s">
        <v>128</v>
      </c>
      <c r="E235" s="212">
        <f>Dashboard!$H$84</f>
        <v>0</v>
      </c>
      <c r="F235" s="14"/>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29"/>
    </row>
    <row r="236" spans="1:40" outlineLevel="1" x14ac:dyDescent="0.25">
      <c r="A236" s="54"/>
      <c r="B236" s="96" t="s">
        <v>120</v>
      </c>
      <c r="C236" s="15" t="s">
        <v>291</v>
      </c>
      <c r="D236" s="15" t="s">
        <v>142</v>
      </c>
      <c r="E236" s="189">
        <f>E231*(1+$E$235)</f>
        <v>372500</v>
      </c>
      <c r="F236" s="229"/>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29"/>
    </row>
    <row r="237" spans="1:40" outlineLevel="1" x14ac:dyDescent="0.25">
      <c r="A237" s="54"/>
      <c r="B237" s="96" t="s">
        <v>124</v>
      </c>
      <c r="C237" s="15" t="s">
        <v>291</v>
      </c>
      <c r="D237" s="15" t="s">
        <v>142</v>
      </c>
      <c r="E237" s="189">
        <f t="shared" ref="E237" si="15">E232*(1+$E$235)</f>
        <v>398500</v>
      </c>
      <c r="F237" s="14"/>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29"/>
    </row>
    <row r="238" spans="1:40" outlineLevel="1" x14ac:dyDescent="0.25">
      <c r="A238" s="54"/>
      <c r="B238" s="96" t="s">
        <v>126</v>
      </c>
      <c r="C238" s="15" t="s">
        <v>291</v>
      </c>
      <c r="D238" s="15" t="s">
        <v>142</v>
      </c>
      <c r="E238" s="189">
        <f>E233*(1+$E$235)</f>
        <v>500000</v>
      </c>
      <c r="F238" s="14"/>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29"/>
    </row>
    <row r="239" spans="1:40" outlineLevel="1" x14ac:dyDescent="0.25">
      <c r="A239" s="54"/>
      <c r="B239" s="96" t="s">
        <v>301</v>
      </c>
      <c r="C239" s="15"/>
      <c r="D239" s="15"/>
      <c r="E239" s="16"/>
      <c r="F239" s="14"/>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29"/>
    </row>
    <row r="240" spans="1:40" outlineLevel="1" x14ac:dyDescent="0.25">
      <c r="A240" s="54"/>
      <c r="B240" s="41" t="s">
        <v>302</v>
      </c>
      <c r="C240" s="41"/>
      <c r="D240" s="15"/>
      <c r="E240" s="16"/>
      <c r="F240" s="14"/>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29"/>
    </row>
    <row r="241" spans="1:40" outlineLevel="1" x14ac:dyDescent="0.25">
      <c r="A241" s="54"/>
      <c r="B241" s="136" t="s">
        <v>303</v>
      </c>
      <c r="C241" s="15"/>
      <c r="D241" s="15" t="s">
        <v>304</v>
      </c>
      <c r="E241" s="157">
        <v>9</v>
      </c>
      <c r="F241" s="14"/>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29"/>
    </row>
    <row r="242" spans="1:40" outlineLevel="1" x14ac:dyDescent="0.25">
      <c r="A242" s="54"/>
      <c r="B242" s="136" t="s">
        <v>305</v>
      </c>
      <c r="C242" s="15"/>
      <c r="D242" s="15" t="s">
        <v>304</v>
      </c>
      <c r="E242" s="157">
        <v>12</v>
      </c>
      <c r="F242" s="14"/>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29"/>
    </row>
    <row r="243" spans="1:40" outlineLevel="1" x14ac:dyDescent="0.25">
      <c r="A243" s="54"/>
      <c r="B243" s="14"/>
      <c r="C243" s="14"/>
      <c r="D243" s="15"/>
      <c r="E243" s="16"/>
      <c r="F243" s="14"/>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29"/>
    </row>
    <row r="244" spans="1:40" outlineLevel="1" x14ac:dyDescent="0.25">
      <c r="A244" s="54"/>
      <c r="B244" s="140" t="s">
        <v>306</v>
      </c>
      <c r="C244" s="41"/>
      <c r="D244" s="15"/>
      <c r="E244" s="16"/>
      <c r="F244" s="14"/>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29"/>
    </row>
    <row r="245" spans="1:40" outlineLevel="1" x14ac:dyDescent="0.25">
      <c r="A245" s="54"/>
      <c r="B245" s="14" t="s">
        <v>307</v>
      </c>
      <c r="C245" s="14" t="s">
        <v>308</v>
      </c>
      <c r="D245" s="15"/>
      <c r="E245" s="386">
        <f>'Bus research'!$I$32</f>
        <v>62335</v>
      </c>
      <c r="F245" s="14"/>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29"/>
    </row>
    <row r="246" spans="1:40" outlineLevel="1" x14ac:dyDescent="0.25">
      <c r="A246" s="54"/>
      <c r="B246" s="14" t="s">
        <v>309</v>
      </c>
      <c r="C246" s="14" t="s">
        <v>308</v>
      </c>
      <c r="D246" s="15"/>
      <c r="E246" s="386">
        <f>'Bus research'!$I$38</f>
        <v>70444.868888888886</v>
      </c>
      <c r="F246" s="14"/>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29"/>
    </row>
    <row r="247" spans="1:40" outlineLevel="1" x14ac:dyDescent="0.25">
      <c r="A247" s="54"/>
      <c r="B247" s="136" t="s">
        <v>310</v>
      </c>
      <c r="C247" s="14" t="s">
        <v>255</v>
      </c>
      <c r="D247" s="15"/>
      <c r="E247" s="386">
        <f>$E$318</f>
        <v>164000</v>
      </c>
      <c r="F247" s="14"/>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29"/>
    </row>
    <row r="248" spans="1:40" outlineLevel="1" x14ac:dyDescent="0.25">
      <c r="A248" s="54"/>
      <c r="B248" s="14" t="s">
        <v>311</v>
      </c>
      <c r="C248" s="14" t="s">
        <v>251</v>
      </c>
      <c r="D248" s="15"/>
      <c r="E248" s="386">
        <f>$E$319</f>
        <v>180267.33950848284</v>
      </c>
      <c r="F248" s="14"/>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29"/>
    </row>
    <row r="249" spans="1:40" outlineLevel="1" x14ac:dyDescent="0.25">
      <c r="A249" s="54"/>
      <c r="B249" s="14" t="s">
        <v>312</v>
      </c>
      <c r="C249" s="14" t="s">
        <v>245</v>
      </c>
      <c r="D249" s="15"/>
      <c r="E249" s="16"/>
      <c r="F249" s="14"/>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29"/>
    </row>
    <row r="250" spans="1:40" outlineLevel="1" x14ac:dyDescent="0.25">
      <c r="A250" s="54"/>
      <c r="B250" s="20"/>
      <c r="C250" s="41"/>
      <c r="D250" s="15"/>
      <c r="E250" s="16"/>
      <c r="F250" s="14"/>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29"/>
    </row>
    <row r="251" spans="1:40" outlineLevel="1" x14ac:dyDescent="0.25">
      <c r="A251" s="54"/>
      <c r="B251" s="20" t="s">
        <v>256</v>
      </c>
      <c r="C251" s="41"/>
      <c r="D251" s="15"/>
      <c r="E251" s="212">
        <f>Dashboard!$H$84</f>
        <v>0</v>
      </c>
      <c r="F251" s="14"/>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29"/>
    </row>
    <row r="252" spans="1:40" outlineLevel="1" x14ac:dyDescent="0.25">
      <c r="A252" s="54"/>
      <c r="B252" s="14" t="s">
        <v>307</v>
      </c>
      <c r="C252" s="14" t="s">
        <v>308</v>
      </c>
      <c r="D252" s="15" t="s">
        <v>313</v>
      </c>
      <c r="E252" s="189">
        <f>E245*(1+$E$251)</f>
        <v>62335</v>
      </c>
      <c r="F252" s="14"/>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29"/>
    </row>
    <row r="253" spans="1:40" outlineLevel="1" x14ac:dyDescent="0.25">
      <c r="A253" s="54"/>
      <c r="B253" s="14" t="s">
        <v>309</v>
      </c>
      <c r="C253" s="14" t="s">
        <v>308</v>
      </c>
      <c r="D253" s="15" t="s">
        <v>313</v>
      </c>
      <c r="E253" s="189">
        <f>E246*(1+E251)</f>
        <v>70444.868888888886</v>
      </c>
      <c r="F253" s="14"/>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29"/>
    </row>
    <row r="254" spans="1:40" outlineLevel="1" x14ac:dyDescent="0.25">
      <c r="A254" s="54"/>
      <c r="B254" s="136" t="s">
        <v>310</v>
      </c>
      <c r="C254" s="14" t="s">
        <v>255</v>
      </c>
      <c r="D254" s="15" t="s">
        <v>313</v>
      </c>
      <c r="E254" s="189">
        <f>E247*(1+E251)</f>
        <v>164000</v>
      </c>
      <c r="F254" s="14"/>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29"/>
    </row>
    <row r="255" spans="1:40" outlineLevel="1" x14ac:dyDescent="0.25">
      <c r="A255" s="54"/>
      <c r="B255" s="14" t="s">
        <v>311</v>
      </c>
      <c r="C255" s="14" t="s">
        <v>251</v>
      </c>
      <c r="D255" s="15" t="s">
        <v>313</v>
      </c>
      <c r="E255" s="189">
        <f>E248*(1+E251)</f>
        <v>180267.33950848284</v>
      </c>
      <c r="F255" s="14"/>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29"/>
    </row>
    <row r="256" spans="1:40" outlineLevel="1" x14ac:dyDescent="0.25">
      <c r="A256" s="54"/>
      <c r="B256" s="14" t="s">
        <v>312</v>
      </c>
      <c r="C256" s="14" t="s">
        <v>245</v>
      </c>
      <c r="D256" s="15" t="s">
        <v>266</v>
      </c>
      <c r="E256" s="160">
        <v>9</v>
      </c>
      <c r="F256" s="14"/>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29"/>
    </row>
    <row r="257" spans="1:40" outlineLevel="1" x14ac:dyDescent="0.25">
      <c r="A257" s="54"/>
      <c r="B257" s="14"/>
      <c r="C257" s="14"/>
      <c r="D257" s="15"/>
      <c r="E257" s="160"/>
      <c r="F257" s="14"/>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29"/>
    </row>
    <row r="258" spans="1:40" outlineLevel="1" x14ac:dyDescent="0.25">
      <c r="A258" s="54"/>
      <c r="B258" s="37" t="s">
        <v>257</v>
      </c>
      <c r="C258" s="40"/>
      <c r="D258" s="38"/>
      <c r="E258" s="39"/>
      <c r="F258" s="40"/>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4"/>
    </row>
    <row r="259" spans="1:40" outlineLevel="1" x14ac:dyDescent="0.25">
      <c r="A259" s="54"/>
      <c r="B259" s="20" t="s">
        <v>258</v>
      </c>
      <c r="C259" s="15"/>
      <c r="D259" s="15"/>
      <c r="E259" s="16"/>
      <c r="F259" s="14"/>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29"/>
    </row>
    <row r="260" spans="1:40" outlineLevel="1" x14ac:dyDescent="0.25">
      <c r="A260" s="54"/>
      <c r="B260" s="96" t="s">
        <v>297</v>
      </c>
      <c r="C260" s="15" t="s">
        <v>314</v>
      </c>
      <c r="D260" s="15" t="s">
        <v>259</v>
      </c>
      <c r="E260" s="173">
        <f>'Bus research'!I17</f>
        <v>0.48749999999999993</v>
      </c>
      <c r="F260" s="14"/>
      <c r="G260" s="63"/>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29"/>
    </row>
    <row r="261" spans="1:40" outlineLevel="1" x14ac:dyDescent="0.25">
      <c r="A261" s="54"/>
      <c r="B261" s="96" t="s">
        <v>299</v>
      </c>
      <c r="C261" s="15" t="s">
        <v>314</v>
      </c>
      <c r="D261" s="15" t="s">
        <v>259</v>
      </c>
      <c r="E261" s="173">
        <f t="shared" ref="E261" si="16">E325</f>
        <v>0.48749999999999993</v>
      </c>
      <c r="F261" s="63"/>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29"/>
    </row>
    <row r="262" spans="1:40" outlineLevel="1" x14ac:dyDescent="0.25">
      <c r="A262" s="54"/>
      <c r="B262" s="96" t="s">
        <v>315</v>
      </c>
      <c r="C262" s="15" t="s">
        <v>314</v>
      </c>
      <c r="D262" s="15" t="s">
        <v>259</v>
      </c>
      <c r="E262" s="173">
        <f>E326</f>
        <v>0.5069999999999999</v>
      </c>
      <c r="F262" s="14"/>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29"/>
    </row>
    <row r="263" spans="1:40" outlineLevel="1" x14ac:dyDescent="0.25">
      <c r="A263" s="54"/>
      <c r="B263" s="96"/>
      <c r="C263" s="14"/>
      <c r="D263" s="15"/>
      <c r="E263" s="16"/>
      <c r="F263" s="14"/>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29"/>
    </row>
    <row r="264" spans="1:40" outlineLevel="1" x14ac:dyDescent="0.25">
      <c r="A264" s="54"/>
      <c r="B264" s="95" t="s">
        <v>306</v>
      </c>
      <c r="C264" s="14"/>
      <c r="D264" s="15"/>
      <c r="E264" s="16"/>
      <c r="F264" s="14"/>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29"/>
    </row>
    <row r="265" spans="1:40" outlineLevel="1" x14ac:dyDescent="0.25">
      <c r="A265" s="54"/>
      <c r="B265" s="96" t="s">
        <v>316</v>
      </c>
      <c r="C265" s="14" t="s">
        <v>317</v>
      </c>
      <c r="D265" s="15" t="s">
        <v>318</v>
      </c>
      <c r="E265" s="155">
        <v>0</v>
      </c>
      <c r="F265" s="14"/>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29"/>
    </row>
    <row r="266" spans="1:40" outlineLevel="1" x14ac:dyDescent="0.25">
      <c r="A266" s="54"/>
      <c r="B266" s="96" t="s">
        <v>319</v>
      </c>
      <c r="C266" s="14" t="s">
        <v>251</v>
      </c>
      <c r="D266" s="15" t="s">
        <v>318</v>
      </c>
      <c r="E266" s="161">
        <f>'Bus research'!I49*12</f>
        <v>26042.400000000001</v>
      </c>
      <c r="F266" s="14"/>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29"/>
    </row>
    <row r="267" spans="1:40" outlineLevel="1" x14ac:dyDescent="0.25">
      <c r="A267" s="54"/>
      <c r="B267" s="96"/>
      <c r="C267" s="14"/>
      <c r="D267" s="15"/>
      <c r="E267" s="161"/>
      <c r="F267" s="14"/>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29"/>
    </row>
    <row r="268" spans="1:40" outlineLevel="1" x14ac:dyDescent="0.25">
      <c r="A268" s="54"/>
      <c r="B268" s="20" t="s">
        <v>260</v>
      </c>
      <c r="C268" s="15" t="s">
        <v>255</v>
      </c>
      <c r="D268" s="15" t="s">
        <v>261</v>
      </c>
      <c r="E268" s="173">
        <f>E332</f>
        <v>0.3604</v>
      </c>
      <c r="F268" s="14"/>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29"/>
    </row>
    <row r="269" spans="1:40" outlineLevel="1" x14ac:dyDescent="0.25">
      <c r="A269" s="54"/>
      <c r="B269" s="20"/>
      <c r="C269" s="15"/>
      <c r="D269" s="15"/>
      <c r="E269" s="155"/>
      <c r="F269" s="14"/>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29"/>
    </row>
    <row r="270" spans="1:40" outlineLevel="1" x14ac:dyDescent="0.25">
      <c r="A270" s="54"/>
      <c r="B270" s="37" t="s">
        <v>262</v>
      </c>
      <c r="C270" s="40"/>
      <c r="D270" s="38"/>
      <c r="E270" s="39"/>
      <c r="F270" s="40"/>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4"/>
    </row>
    <row r="271" spans="1:40" outlineLevel="1" x14ac:dyDescent="0.25">
      <c r="A271" s="54"/>
      <c r="B271" s="20" t="s">
        <v>263</v>
      </c>
      <c r="C271" s="14"/>
      <c r="D271" s="15"/>
      <c r="E271" s="16"/>
      <c r="F271" s="14"/>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29"/>
    </row>
    <row r="272" spans="1:40" outlineLevel="1" x14ac:dyDescent="0.25">
      <c r="A272" s="77"/>
      <c r="B272" s="14" t="s">
        <v>279</v>
      </c>
      <c r="C272" s="15" t="s">
        <v>265</v>
      </c>
      <c r="D272" s="15" t="s">
        <v>266</v>
      </c>
      <c r="E272" s="157">
        <v>15</v>
      </c>
      <c r="F272" s="14"/>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29"/>
    </row>
    <row r="273" spans="1:40" outlineLevel="1" x14ac:dyDescent="0.25">
      <c r="A273" s="77"/>
      <c r="B273" s="14"/>
      <c r="C273" s="14"/>
      <c r="D273" s="15"/>
      <c r="E273" s="157"/>
      <c r="F273" s="14"/>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29"/>
    </row>
    <row r="274" spans="1:40" outlineLevel="1" x14ac:dyDescent="0.25">
      <c r="A274" s="54"/>
      <c r="B274" s="20" t="s">
        <v>280</v>
      </c>
      <c r="C274" s="14"/>
      <c r="D274" s="15"/>
      <c r="E274" s="16"/>
      <c r="F274" s="14"/>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29"/>
    </row>
    <row r="275" spans="1:40" outlineLevel="1" x14ac:dyDescent="0.25">
      <c r="A275" s="54"/>
      <c r="B275" s="96" t="s">
        <v>297</v>
      </c>
      <c r="C275" s="14" t="s">
        <v>245</v>
      </c>
      <c r="D275" s="15" t="s">
        <v>320</v>
      </c>
      <c r="E275" s="188">
        <v>0.8</v>
      </c>
      <c r="F275" s="14"/>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29"/>
    </row>
    <row r="276" spans="1:40" outlineLevel="1" x14ac:dyDescent="0.25">
      <c r="A276" s="54"/>
      <c r="B276" s="96" t="s">
        <v>299</v>
      </c>
      <c r="C276" s="14" t="s">
        <v>245</v>
      </c>
      <c r="D276" s="15" t="s">
        <v>320</v>
      </c>
      <c r="E276" s="431">
        <f>E275</f>
        <v>0.8</v>
      </c>
      <c r="F276" s="14"/>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29"/>
    </row>
    <row r="277" spans="1:40" outlineLevel="1" x14ac:dyDescent="0.25">
      <c r="A277" s="54"/>
      <c r="B277" s="96" t="s">
        <v>315</v>
      </c>
      <c r="C277" s="14" t="s">
        <v>255</v>
      </c>
      <c r="D277" s="15" t="s">
        <v>320</v>
      </c>
      <c r="E277" s="156">
        <v>1.22</v>
      </c>
      <c r="F277" s="14"/>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29"/>
    </row>
    <row r="278" spans="1:40" outlineLevel="1" x14ac:dyDescent="0.25">
      <c r="A278" s="54"/>
      <c r="B278" s="96"/>
      <c r="C278" s="14"/>
      <c r="D278" s="15"/>
      <c r="E278" s="157"/>
      <c r="F278" s="14"/>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29"/>
    </row>
    <row r="279" spans="1:40" outlineLevel="1" x14ac:dyDescent="0.25">
      <c r="A279" s="54"/>
      <c r="B279" s="20" t="s">
        <v>302</v>
      </c>
      <c r="C279" s="15"/>
      <c r="D279" s="15"/>
      <c r="E279" s="16"/>
      <c r="F279" s="14"/>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29"/>
    </row>
    <row r="280" spans="1:40" outlineLevel="1" x14ac:dyDescent="0.25">
      <c r="A280" s="54"/>
      <c r="B280" s="136" t="s">
        <v>321</v>
      </c>
      <c r="C280" s="15"/>
      <c r="D280" s="15" t="s">
        <v>266</v>
      </c>
      <c r="E280" s="16">
        <v>12</v>
      </c>
      <c r="F280" s="14"/>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29"/>
    </row>
    <row r="281" spans="1:40" outlineLevel="1" x14ac:dyDescent="0.25">
      <c r="A281" s="54"/>
      <c r="B281" s="20" t="s">
        <v>306</v>
      </c>
      <c r="C281" s="14"/>
      <c r="D281" s="15"/>
      <c r="E281" s="16"/>
      <c r="F281" s="14"/>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29"/>
    </row>
    <row r="282" spans="1:40" outlineLevel="1" x14ac:dyDescent="0.25">
      <c r="A282" s="54"/>
      <c r="B282" s="14" t="s">
        <v>322</v>
      </c>
      <c r="C282" s="14"/>
      <c r="D282" s="15" t="s">
        <v>116</v>
      </c>
      <c r="E282" s="16"/>
      <c r="F282" s="14"/>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29"/>
    </row>
    <row r="283" spans="1:40" outlineLevel="1" x14ac:dyDescent="0.25">
      <c r="A283" s="54"/>
      <c r="B283" s="14"/>
      <c r="C283" s="14"/>
      <c r="D283" s="15"/>
      <c r="E283" s="16"/>
      <c r="F283" s="14"/>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29"/>
    </row>
    <row r="284" spans="1:40" outlineLevel="1" x14ac:dyDescent="0.25">
      <c r="A284" s="54"/>
      <c r="B284" s="37" t="s">
        <v>249</v>
      </c>
      <c r="C284" s="40"/>
      <c r="D284" s="38"/>
      <c r="E284" s="39"/>
      <c r="F284" s="40"/>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4"/>
    </row>
    <row r="285" spans="1:40" outlineLevel="1" x14ac:dyDescent="0.25">
      <c r="A285" s="54"/>
      <c r="B285" s="14" t="s">
        <v>250</v>
      </c>
      <c r="C285" s="15" t="s">
        <v>251</v>
      </c>
      <c r="D285" s="15" t="s">
        <v>128</v>
      </c>
      <c r="E285" s="171">
        <v>0.15</v>
      </c>
      <c r="F285" s="229"/>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29"/>
    </row>
    <row r="286" spans="1:40" outlineLevel="1" x14ac:dyDescent="0.25">
      <c r="A286" s="54"/>
      <c r="B286" s="14" t="s">
        <v>120</v>
      </c>
      <c r="C286" s="15"/>
      <c r="D286" s="15"/>
      <c r="E286" s="241">
        <f>$E$285*E231</f>
        <v>55875</v>
      </c>
      <c r="F286" s="229"/>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29"/>
    </row>
    <row r="287" spans="1:40" outlineLevel="1" x14ac:dyDescent="0.25">
      <c r="A287" s="54"/>
      <c r="B287" s="14" t="s">
        <v>124</v>
      </c>
      <c r="C287" s="15"/>
      <c r="D287" s="15"/>
      <c r="E287" s="241">
        <f>$E$285*E232</f>
        <v>59775</v>
      </c>
      <c r="F287" s="229"/>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29"/>
    </row>
    <row r="288" spans="1:40" outlineLevel="1" x14ac:dyDescent="0.25">
      <c r="A288" s="54"/>
      <c r="B288" s="14" t="s">
        <v>126</v>
      </c>
      <c r="C288" s="15"/>
      <c r="D288" s="15"/>
      <c r="E288" s="241">
        <f>$E$285*E233</f>
        <v>75000</v>
      </c>
      <c r="F288" s="229"/>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29"/>
    </row>
    <row r="289" spans="1:40" outlineLevel="1" x14ac:dyDescent="0.25">
      <c r="A289" s="54"/>
      <c r="B289" s="19"/>
      <c r="C289" s="14"/>
      <c r="D289" s="15"/>
      <c r="E289" s="16"/>
      <c r="F289" s="14"/>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29"/>
    </row>
    <row r="290" spans="1:40" outlineLevel="1" x14ac:dyDescent="0.25">
      <c r="A290" s="54"/>
      <c r="B290" s="37" t="s">
        <v>272</v>
      </c>
      <c r="C290" s="40"/>
      <c r="D290" s="38"/>
      <c r="E290" s="39"/>
      <c r="F290" s="40"/>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4"/>
    </row>
    <row r="291" spans="1:40" outlineLevel="1" x14ac:dyDescent="0.25">
      <c r="A291" s="54"/>
      <c r="B291" s="14" t="s">
        <v>323</v>
      </c>
      <c r="C291" s="14"/>
      <c r="D291" s="15" t="s">
        <v>275</v>
      </c>
      <c r="E291" s="179">
        <v>47000</v>
      </c>
      <c r="F291" s="14"/>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29"/>
    </row>
    <row r="292" spans="1:40" outlineLevel="1" x14ac:dyDescent="0.25">
      <c r="A292" s="54"/>
      <c r="B292" s="14"/>
      <c r="C292" s="14"/>
      <c r="D292" s="15"/>
      <c r="E292" s="16"/>
      <c r="F292" s="14"/>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29"/>
    </row>
    <row r="293" spans="1:40" x14ac:dyDescent="0.25">
      <c r="A293" s="65"/>
      <c r="B293" s="34" t="s">
        <v>28</v>
      </c>
      <c r="C293" s="34"/>
      <c r="D293" s="35"/>
      <c r="E293" s="36"/>
      <c r="F293" s="3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7"/>
    </row>
    <row r="294" spans="1:40" outlineLevel="1" x14ac:dyDescent="0.25">
      <c r="A294" s="54"/>
      <c r="B294" s="14"/>
      <c r="C294" s="14"/>
      <c r="D294" s="15"/>
      <c r="E294" s="16"/>
      <c r="F294" s="14"/>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29"/>
    </row>
    <row r="295" spans="1:40" outlineLevel="1" x14ac:dyDescent="0.25">
      <c r="A295" s="54"/>
      <c r="B295" s="37" t="s">
        <v>253</v>
      </c>
      <c r="C295" s="37"/>
      <c r="D295" s="38"/>
      <c r="E295" s="39"/>
      <c r="F295" s="40"/>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4"/>
    </row>
    <row r="296" spans="1:40" outlineLevel="1" x14ac:dyDescent="0.25">
      <c r="A296" s="54"/>
      <c r="B296" s="95" t="s">
        <v>324</v>
      </c>
      <c r="C296" s="19"/>
      <c r="D296" s="15"/>
      <c r="E296" s="16"/>
      <c r="F296" s="14"/>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29"/>
    </row>
    <row r="297" spans="1:40" outlineLevel="1" x14ac:dyDescent="0.25">
      <c r="A297" s="54" t="s">
        <v>325</v>
      </c>
      <c r="B297" s="96" t="s">
        <v>326</v>
      </c>
      <c r="C297" s="112" t="s">
        <v>327</v>
      </c>
      <c r="D297" s="15" t="s">
        <v>142</v>
      </c>
      <c r="E297" s="241">
        <f>(650000+475000+690000)/3</f>
        <v>605000</v>
      </c>
      <c r="F297" s="229"/>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29"/>
    </row>
    <row r="298" spans="1:40" outlineLevel="1" x14ac:dyDescent="0.25">
      <c r="A298" s="54" t="s">
        <v>325</v>
      </c>
      <c r="B298" s="96" t="s">
        <v>299</v>
      </c>
      <c r="C298" s="112" t="s">
        <v>327</v>
      </c>
      <c r="D298" s="15" t="s">
        <v>142</v>
      </c>
      <c r="E298" s="241">
        <f>(750000+650000+749000)/3</f>
        <v>716333.33333333337</v>
      </c>
      <c r="F298" s="229"/>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29"/>
    </row>
    <row r="299" spans="1:40" outlineLevel="1" x14ac:dyDescent="0.25">
      <c r="A299" s="54" t="s">
        <v>325</v>
      </c>
      <c r="B299" s="96" t="s">
        <v>300</v>
      </c>
      <c r="C299" s="112" t="s">
        <v>327</v>
      </c>
      <c r="D299" s="15" t="s">
        <v>142</v>
      </c>
      <c r="E299" s="241">
        <f>(1030000+850000+980000)/3</f>
        <v>953333.33333333337</v>
      </c>
      <c r="F299" s="229"/>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29"/>
    </row>
    <row r="300" spans="1:40" outlineLevel="1" x14ac:dyDescent="0.25">
      <c r="A300" s="54"/>
      <c r="B300" s="96"/>
      <c r="C300" s="15"/>
      <c r="D300" s="15"/>
      <c r="E300" s="16"/>
      <c r="F300" s="14"/>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29"/>
    </row>
    <row r="301" spans="1:40" outlineLevel="1" x14ac:dyDescent="0.25">
      <c r="A301" s="54"/>
      <c r="B301" s="14" t="s">
        <v>256</v>
      </c>
      <c r="C301" s="14"/>
      <c r="D301" s="15" t="s">
        <v>128</v>
      </c>
      <c r="E301" s="212">
        <f>Dashboard!$H$85</f>
        <v>0</v>
      </c>
      <c r="F301" s="14"/>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29"/>
    </row>
    <row r="302" spans="1:40" outlineLevel="1" x14ac:dyDescent="0.25">
      <c r="A302" s="54"/>
      <c r="B302" s="96" t="s">
        <v>120</v>
      </c>
      <c r="C302" s="15" t="s">
        <v>291</v>
      </c>
      <c r="D302" s="15" t="s">
        <v>142</v>
      </c>
      <c r="E302" s="189">
        <f>E297*(1+$E$301)</f>
        <v>605000</v>
      </c>
      <c r="F302" s="14"/>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29"/>
    </row>
    <row r="303" spans="1:40" outlineLevel="1" x14ac:dyDescent="0.25">
      <c r="A303" s="54"/>
      <c r="B303" s="96" t="s">
        <v>124</v>
      </c>
      <c r="C303" s="15" t="s">
        <v>291</v>
      </c>
      <c r="D303" s="15" t="s">
        <v>142</v>
      </c>
      <c r="E303" s="189">
        <f t="shared" ref="E303:E304" si="17">E298*(1+$E$301)</f>
        <v>716333.33333333337</v>
      </c>
      <c r="F303" s="14"/>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29"/>
    </row>
    <row r="304" spans="1:40" outlineLevel="1" x14ac:dyDescent="0.25">
      <c r="A304" s="54"/>
      <c r="B304" s="96" t="s">
        <v>126</v>
      </c>
      <c r="C304" s="15" t="s">
        <v>291</v>
      </c>
      <c r="D304" s="15" t="s">
        <v>142</v>
      </c>
      <c r="E304" s="189">
        <f t="shared" si="17"/>
        <v>953333.33333333337</v>
      </c>
      <c r="F304" s="14"/>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29"/>
    </row>
    <row r="305" spans="1:40" outlineLevel="1" x14ac:dyDescent="0.25">
      <c r="A305" s="54"/>
      <c r="B305" s="96"/>
      <c r="C305" s="15"/>
      <c r="D305" s="15"/>
      <c r="E305" s="189"/>
      <c r="F305" s="14"/>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29"/>
    </row>
    <row r="306" spans="1:40" outlineLevel="1" x14ac:dyDescent="0.25">
      <c r="A306" s="54"/>
      <c r="B306" s="41" t="s">
        <v>302</v>
      </c>
      <c r="C306" s="41"/>
      <c r="D306" s="15"/>
      <c r="E306" s="16"/>
      <c r="F306" s="14"/>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29"/>
    </row>
    <row r="307" spans="1:40" outlineLevel="1" x14ac:dyDescent="0.25">
      <c r="A307" s="54"/>
      <c r="B307" s="136" t="s">
        <v>328</v>
      </c>
      <c r="C307" s="112" t="s">
        <v>327</v>
      </c>
      <c r="D307" s="15" t="s">
        <v>304</v>
      </c>
      <c r="E307" s="160">
        <v>9</v>
      </c>
      <c r="F307" s="14"/>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29"/>
    </row>
    <row r="308" spans="1:40" outlineLevel="1" x14ac:dyDescent="0.25">
      <c r="A308" s="54"/>
      <c r="B308" s="136" t="s">
        <v>329</v>
      </c>
      <c r="C308" s="154"/>
      <c r="D308" s="15" t="s">
        <v>128</v>
      </c>
      <c r="E308" s="171"/>
      <c r="F308" s="14"/>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29"/>
    </row>
    <row r="309" spans="1:40" outlineLevel="1" x14ac:dyDescent="0.25">
      <c r="A309" s="54" t="s">
        <v>325</v>
      </c>
      <c r="B309" s="96" t="s">
        <v>326</v>
      </c>
      <c r="C309" s="112" t="s">
        <v>245</v>
      </c>
      <c r="D309" s="15" t="s">
        <v>142</v>
      </c>
      <c r="E309" s="241">
        <v>156000</v>
      </c>
      <c r="F309" s="14"/>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29"/>
    </row>
    <row r="310" spans="1:40" outlineLevel="1" x14ac:dyDescent="0.25">
      <c r="A310" s="54" t="s">
        <v>325</v>
      </c>
      <c r="B310" s="96" t="s">
        <v>299</v>
      </c>
      <c r="C310" s="112" t="s">
        <v>245</v>
      </c>
      <c r="D310" s="15" t="s">
        <v>142</v>
      </c>
      <c r="E310" s="241">
        <v>180000</v>
      </c>
      <c r="F310" s="14"/>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29"/>
    </row>
    <row r="311" spans="1:40" outlineLevel="1" x14ac:dyDescent="0.25">
      <c r="A311" s="54" t="s">
        <v>325</v>
      </c>
      <c r="B311" s="96" t="s">
        <v>300</v>
      </c>
      <c r="C311" s="112" t="s">
        <v>245</v>
      </c>
      <c r="D311" s="15" t="s">
        <v>142</v>
      </c>
      <c r="E311" s="241">
        <v>235000</v>
      </c>
      <c r="F311" s="14"/>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29"/>
    </row>
    <row r="312" spans="1:40" outlineLevel="1" x14ac:dyDescent="0.25">
      <c r="A312" s="54"/>
      <c r="B312" s="96" t="s">
        <v>330</v>
      </c>
      <c r="C312" s="53" t="s">
        <v>314</v>
      </c>
      <c r="D312" s="15" t="s">
        <v>331</v>
      </c>
      <c r="E312" s="242">
        <v>3.8300000000000001E-2</v>
      </c>
      <c r="F312" s="14"/>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29"/>
    </row>
    <row r="313" spans="1:40" outlineLevel="1" x14ac:dyDescent="0.25">
      <c r="A313" s="54"/>
      <c r="B313" s="96"/>
      <c r="C313" s="172"/>
      <c r="D313" s="15"/>
      <c r="E313" s="241"/>
      <c r="F313" s="14"/>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29"/>
    </row>
    <row r="314" spans="1:40" outlineLevel="1" x14ac:dyDescent="0.25">
      <c r="A314" s="54"/>
      <c r="B314" s="14"/>
      <c r="C314" s="14"/>
      <c r="D314" s="15"/>
      <c r="E314" s="16"/>
      <c r="F314" s="14"/>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29"/>
    </row>
    <row r="315" spans="1:40" outlineLevel="1" x14ac:dyDescent="0.25">
      <c r="A315" s="54"/>
      <c r="B315" s="140" t="s">
        <v>306</v>
      </c>
      <c r="C315" s="41"/>
      <c r="D315" s="15"/>
      <c r="E315" s="212">
        <f>E301</f>
        <v>0</v>
      </c>
      <c r="F315" s="14"/>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29"/>
    </row>
    <row r="316" spans="1:40" outlineLevel="1" x14ac:dyDescent="0.25">
      <c r="A316" s="54"/>
      <c r="B316" s="14" t="s">
        <v>307</v>
      </c>
      <c r="C316" s="14" t="s">
        <v>308</v>
      </c>
      <c r="D316" s="15" t="s">
        <v>313</v>
      </c>
      <c r="E316" s="386">
        <f>'Bus research'!$I$32*(1+$E$315)</f>
        <v>62335</v>
      </c>
      <c r="F316" s="14"/>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29"/>
    </row>
    <row r="317" spans="1:40" outlineLevel="1" x14ac:dyDescent="0.25">
      <c r="A317" s="54"/>
      <c r="B317" s="14" t="s">
        <v>309</v>
      </c>
      <c r="C317" s="14" t="s">
        <v>308</v>
      </c>
      <c r="D317" s="15" t="s">
        <v>313</v>
      </c>
      <c r="E317" s="386">
        <f>'Bus research'!$I$38*(1+$E$315)</f>
        <v>70444.868888888886</v>
      </c>
      <c r="F317" s="14"/>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29"/>
    </row>
    <row r="318" spans="1:40" outlineLevel="1" x14ac:dyDescent="0.25">
      <c r="A318" s="54"/>
      <c r="B318" s="136" t="s">
        <v>310</v>
      </c>
      <c r="C318" s="14" t="s">
        <v>245</v>
      </c>
      <c r="D318" s="15" t="s">
        <v>313</v>
      </c>
      <c r="E318" s="386">
        <f>'Bus research'!I45*(1+$E$315)</f>
        <v>164000</v>
      </c>
      <c r="F318" s="14"/>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29"/>
    </row>
    <row r="319" spans="1:40" outlineLevel="1" x14ac:dyDescent="0.25">
      <c r="A319" s="54"/>
      <c r="B319" s="14" t="s">
        <v>311</v>
      </c>
      <c r="C319" s="14"/>
      <c r="D319" s="15" t="s">
        <v>313</v>
      </c>
      <c r="E319" s="386">
        <f>'Bus research'!I48*(1+$E$315)</f>
        <v>180267.33950848284</v>
      </c>
      <c r="F319" s="14"/>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29"/>
    </row>
    <row r="320" spans="1:40" outlineLevel="1" x14ac:dyDescent="0.25">
      <c r="A320" s="54"/>
      <c r="B320" s="14" t="s">
        <v>312</v>
      </c>
      <c r="C320" s="14" t="s">
        <v>245</v>
      </c>
      <c r="D320" s="15" t="s">
        <v>266</v>
      </c>
      <c r="E320" s="160">
        <v>9</v>
      </c>
      <c r="F320" s="14"/>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29"/>
    </row>
    <row r="321" spans="1:40" outlineLevel="1" x14ac:dyDescent="0.25">
      <c r="A321" s="54"/>
      <c r="C321" s="15"/>
      <c r="D321" s="15"/>
      <c r="E321" s="16"/>
      <c r="F321" s="14"/>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29"/>
    </row>
    <row r="322" spans="1:40" outlineLevel="1" x14ac:dyDescent="0.25">
      <c r="A322" s="54"/>
      <c r="B322" s="37" t="s">
        <v>257</v>
      </c>
      <c r="C322" s="40"/>
      <c r="D322" s="38"/>
      <c r="E322" s="39"/>
      <c r="F322" s="40"/>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4"/>
    </row>
    <row r="323" spans="1:40" outlineLevel="1" x14ac:dyDescent="0.25">
      <c r="A323" s="54"/>
      <c r="B323" s="20" t="s">
        <v>258</v>
      </c>
      <c r="C323" s="15"/>
      <c r="D323" s="15"/>
      <c r="E323" s="16"/>
      <c r="F323" s="14"/>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29"/>
    </row>
    <row r="324" spans="1:40" outlineLevel="1" x14ac:dyDescent="0.25">
      <c r="A324" s="54"/>
      <c r="B324" s="96" t="s">
        <v>120</v>
      </c>
      <c r="C324" s="15" t="s">
        <v>314</v>
      </c>
      <c r="D324" s="15" t="s">
        <v>259</v>
      </c>
      <c r="E324" s="173">
        <f>'Bus research'!$I$17</f>
        <v>0.48749999999999993</v>
      </c>
      <c r="F324" s="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56"/>
      <c r="AJ324" s="56"/>
      <c r="AK324" s="56"/>
      <c r="AL324" s="56"/>
      <c r="AM324" s="56"/>
      <c r="AN324" s="29"/>
    </row>
    <row r="325" spans="1:40" outlineLevel="1" x14ac:dyDescent="0.25">
      <c r="A325" s="54"/>
      <c r="B325" s="96" t="s">
        <v>124</v>
      </c>
      <c r="C325" s="15" t="s">
        <v>314</v>
      </c>
      <c r="D325" s="15" t="s">
        <v>259</v>
      </c>
      <c r="E325" s="173">
        <f>E324</f>
        <v>0.48749999999999993</v>
      </c>
      <c r="F325" s="14"/>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56"/>
      <c r="AJ325" s="56"/>
      <c r="AK325" s="56"/>
      <c r="AL325" s="56"/>
      <c r="AM325" s="56"/>
      <c r="AN325" s="29"/>
    </row>
    <row r="326" spans="1:40" outlineLevel="1" x14ac:dyDescent="0.25">
      <c r="A326" s="54"/>
      <c r="B326" s="96" t="s">
        <v>126</v>
      </c>
      <c r="C326" s="15" t="s">
        <v>314</v>
      </c>
      <c r="D326" s="15" t="s">
        <v>259</v>
      </c>
      <c r="E326" s="211">
        <f>E324*1.04</f>
        <v>0.5069999999999999</v>
      </c>
      <c r="F326" s="14"/>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56"/>
      <c r="AJ326" s="56"/>
      <c r="AK326" s="56"/>
      <c r="AL326" s="56"/>
      <c r="AM326" s="56"/>
      <c r="AN326" s="29"/>
    </row>
    <row r="327" spans="1:40" outlineLevel="1" x14ac:dyDescent="0.25">
      <c r="A327" s="54"/>
      <c r="B327" s="96"/>
      <c r="C327" s="14"/>
      <c r="D327" s="15"/>
      <c r="E327" s="16"/>
      <c r="F327" s="14"/>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29"/>
    </row>
    <row r="328" spans="1:40" outlineLevel="1" x14ac:dyDescent="0.25">
      <c r="A328" s="54"/>
      <c r="B328" s="95" t="s">
        <v>306</v>
      </c>
      <c r="C328" s="14"/>
      <c r="D328" s="15"/>
      <c r="E328" s="16"/>
      <c r="F328" s="14"/>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29"/>
    </row>
    <row r="329" spans="1:40" outlineLevel="1" x14ac:dyDescent="0.25">
      <c r="A329" s="54"/>
      <c r="B329" s="96" t="s">
        <v>316</v>
      </c>
      <c r="C329" s="15" t="s">
        <v>317</v>
      </c>
      <c r="D329" s="15" t="s">
        <v>318</v>
      </c>
      <c r="E329" s="157">
        <f>'Bus research'!I39</f>
        <v>0</v>
      </c>
      <c r="F329" s="14"/>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29"/>
    </row>
    <row r="330" spans="1:40" outlineLevel="1" x14ac:dyDescent="0.25">
      <c r="A330" s="54"/>
      <c r="B330" s="96" t="s">
        <v>332</v>
      </c>
      <c r="C330" s="15" t="s">
        <v>251</v>
      </c>
      <c r="D330" s="15" t="s">
        <v>318</v>
      </c>
      <c r="E330" s="174">
        <f>'Bus research'!I49*12</f>
        <v>26042.400000000001</v>
      </c>
      <c r="F330" s="14"/>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29"/>
    </row>
    <row r="331" spans="1:40" outlineLevel="1" x14ac:dyDescent="0.25">
      <c r="A331" s="54"/>
      <c r="B331" s="96"/>
      <c r="C331" s="15"/>
      <c r="D331" s="15"/>
      <c r="E331" s="174"/>
      <c r="F331" s="14"/>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29"/>
    </row>
    <row r="332" spans="1:40" outlineLevel="1" x14ac:dyDescent="0.25">
      <c r="A332" s="54"/>
      <c r="B332" s="20" t="s">
        <v>260</v>
      </c>
      <c r="C332" s="15"/>
      <c r="D332" s="15" t="s">
        <v>261</v>
      </c>
      <c r="E332" s="173">
        <f>IF(E333="ON",E122,0)</f>
        <v>0.3604</v>
      </c>
      <c r="F332" s="14"/>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29"/>
    </row>
    <row r="333" spans="1:40" outlineLevel="1" x14ac:dyDescent="0.25">
      <c r="A333" s="54"/>
      <c r="B333" s="14" t="s">
        <v>333</v>
      </c>
      <c r="C333" s="15"/>
      <c r="D333" s="15"/>
      <c r="E333" s="402" t="str">
        <f>Dashboard!I35</f>
        <v>ON</v>
      </c>
      <c r="F333" s="14"/>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29"/>
    </row>
    <row r="334" spans="1:40" outlineLevel="1" x14ac:dyDescent="0.25">
      <c r="A334" s="54"/>
      <c r="B334" s="96"/>
      <c r="C334" s="14"/>
      <c r="D334" s="15"/>
      <c r="E334" s="16"/>
      <c r="F334" s="14"/>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29"/>
    </row>
    <row r="335" spans="1:40" outlineLevel="1" x14ac:dyDescent="0.25">
      <c r="A335" s="54"/>
      <c r="B335" s="37" t="s">
        <v>262</v>
      </c>
      <c r="C335" s="40"/>
      <c r="D335" s="38"/>
      <c r="E335" s="39"/>
      <c r="F335" s="40"/>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4"/>
    </row>
    <row r="336" spans="1:40" outlineLevel="1" x14ac:dyDescent="0.25">
      <c r="A336" s="54"/>
      <c r="B336" s="20" t="s">
        <v>263</v>
      </c>
      <c r="C336" s="14"/>
      <c r="D336" s="15"/>
      <c r="E336" s="16"/>
      <c r="F336" s="14"/>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29"/>
    </row>
    <row r="337" spans="1:40" outlineLevel="1" x14ac:dyDescent="0.25">
      <c r="A337" s="54"/>
      <c r="B337" s="14" t="s">
        <v>334</v>
      </c>
      <c r="C337" s="15" t="s">
        <v>251</v>
      </c>
      <c r="D337" s="15" t="s">
        <v>266</v>
      </c>
      <c r="E337" s="157">
        <v>20</v>
      </c>
      <c r="F337" s="14"/>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29"/>
    </row>
    <row r="338" spans="1:40" outlineLevel="1" x14ac:dyDescent="0.25">
      <c r="A338" s="54"/>
      <c r="B338" s="14"/>
      <c r="C338" s="15"/>
      <c r="D338" s="15"/>
      <c r="E338" s="157"/>
      <c r="F338" s="14"/>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29"/>
    </row>
    <row r="339" spans="1:40" outlineLevel="1" x14ac:dyDescent="0.25">
      <c r="A339" s="54"/>
      <c r="B339" s="20" t="s">
        <v>335</v>
      </c>
      <c r="C339" s="14"/>
      <c r="D339" s="15"/>
      <c r="E339" s="16"/>
      <c r="F339" s="14"/>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29"/>
    </row>
    <row r="340" spans="1:40" outlineLevel="1" x14ac:dyDescent="0.25">
      <c r="A340" s="54"/>
      <c r="B340" s="96" t="s">
        <v>297</v>
      </c>
      <c r="C340" s="14" t="s">
        <v>245</v>
      </c>
      <c r="D340" s="15" t="s">
        <v>320</v>
      </c>
      <c r="E340" s="174">
        <f>E275</f>
        <v>0.8</v>
      </c>
      <c r="F340" s="14"/>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29"/>
    </row>
    <row r="341" spans="1:40" outlineLevel="1" x14ac:dyDescent="0.25">
      <c r="A341" s="54"/>
      <c r="B341" s="96" t="s">
        <v>299</v>
      </c>
      <c r="C341" s="14" t="s">
        <v>245</v>
      </c>
      <c r="D341" s="15" t="s">
        <v>320</v>
      </c>
      <c r="E341" s="174">
        <f>E276</f>
        <v>0.8</v>
      </c>
      <c r="F341" s="14"/>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29"/>
    </row>
    <row r="342" spans="1:40" outlineLevel="1" x14ac:dyDescent="0.25">
      <c r="A342" s="54"/>
      <c r="B342" s="96" t="s">
        <v>315</v>
      </c>
      <c r="C342" s="14" t="s">
        <v>255</v>
      </c>
      <c r="D342" s="15" t="s">
        <v>320</v>
      </c>
      <c r="E342" s="174">
        <f>E277</f>
        <v>1.22</v>
      </c>
      <c r="F342" s="14"/>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29"/>
    </row>
    <row r="343" spans="1:40" outlineLevel="1" x14ac:dyDescent="0.25">
      <c r="A343" s="54"/>
      <c r="B343" s="14"/>
      <c r="C343" s="15"/>
      <c r="D343" s="15"/>
      <c r="E343" s="16"/>
      <c r="F343" s="14"/>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29"/>
    </row>
    <row r="344" spans="1:40" outlineLevel="1" x14ac:dyDescent="0.25">
      <c r="A344" s="54"/>
      <c r="B344" s="20" t="s">
        <v>302</v>
      </c>
      <c r="C344" s="15"/>
      <c r="D344" s="15"/>
      <c r="E344" s="16"/>
      <c r="F344" s="14"/>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29"/>
    </row>
    <row r="345" spans="1:40" outlineLevel="1" x14ac:dyDescent="0.25">
      <c r="A345" s="54"/>
      <c r="B345" s="136" t="s">
        <v>321</v>
      </c>
      <c r="C345" s="15" t="s">
        <v>251</v>
      </c>
      <c r="D345" s="15" t="s">
        <v>266</v>
      </c>
      <c r="E345" s="243">
        <f>E307</f>
        <v>9</v>
      </c>
      <c r="F345" s="14"/>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29"/>
    </row>
    <row r="346" spans="1:40" outlineLevel="1" x14ac:dyDescent="0.25">
      <c r="A346" s="54"/>
      <c r="B346" s="136" t="s">
        <v>336</v>
      </c>
      <c r="C346" s="14" t="s">
        <v>255</v>
      </c>
      <c r="D346" s="15"/>
      <c r="E346" s="240"/>
      <c r="F346" s="14"/>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29"/>
    </row>
    <row r="347" spans="1:40" outlineLevel="1" x14ac:dyDescent="0.25">
      <c r="A347" s="54"/>
      <c r="B347" s="136"/>
      <c r="C347" s="14"/>
      <c r="D347" s="15"/>
      <c r="E347" s="240"/>
      <c r="F347" s="14"/>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29"/>
    </row>
    <row r="348" spans="1:40" outlineLevel="1" x14ac:dyDescent="0.25">
      <c r="A348" s="54"/>
      <c r="B348" s="20" t="s">
        <v>306</v>
      </c>
      <c r="C348" s="14"/>
      <c r="D348" s="15"/>
      <c r="E348" s="240"/>
      <c r="F348" s="14"/>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29"/>
    </row>
    <row r="349" spans="1:40" outlineLevel="1" x14ac:dyDescent="0.25">
      <c r="A349" s="54"/>
      <c r="B349" s="14" t="s">
        <v>337</v>
      </c>
      <c r="C349" s="14" t="s">
        <v>338</v>
      </c>
      <c r="D349" s="15" t="s">
        <v>116</v>
      </c>
      <c r="E349" s="157">
        <v>1</v>
      </c>
      <c r="F349" s="14"/>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29"/>
    </row>
    <row r="350" spans="1:40" outlineLevel="1" x14ac:dyDescent="0.25">
      <c r="A350" s="54"/>
      <c r="B350" s="14" t="s">
        <v>339</v>
      </c>
      <c r="C350" s="14" t="s">
        <v>338</v>
      </c>
      <c r="D350" s="15" t="s">
        <v>116</v>
      </c>
      <c r="E350" s="158">
        <f>Dashboard!I44</f>
        <v>0</v>
      </c>
      <c r="F350" s="14"/>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29"/>
    </row>
    <row r="351" spans="1:40" outlineLevel="1" x14ac:dyDescent="0.25">
      <c r="A351" s="54"/>
      <c r="B351" s="136" t="s">
        <v>340</v>
      </c>
      <c r="C351" s="14"/>
      <c r="D351" s="15"/>
      <c r="E351" s="180">
        <v>0.02</v>
      </c>
      <c r="F351" s="14"/>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29"/>
    </row>
    <row r="352" spans="1:40" outlineLevel="1" x14ac:dyDescent="0.25">
      <c r="A352" s="54"/>
      <c r="B352" s="19"/>
      <c r="C352" s="14"/>
      <c r="D352" s="15"/>
      <c r="E352" s="16"/>
      <c r="F352" s="14"/>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29"/>
    </row>
    <row r="353" spans="1:40" outlineLevel="1" x14ac:dyDescent="0.25">
      <c r="A353" s="54"/>
      <c r="B353" s="37" t="s">
        <v>272</v>
      </c>
      <c r="C353" s="40"/>
      <c r="D353" s="38"/>
      <c r="E353" s="39"/>
      <c r="F353" s="40"/>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4"/>
    </row>
    <row r="354" spans="1:40" outlineLevel="1" x14ac:dyDescent="0.25">
      <c r="A354" s="54"/>
      <c r="B354" s="14" t="s">
        <v>341</v>
      </c>
      <c r="C354" s="15" t="s">
        <v>274</v>
      </c>
      <c r="D354" s="15" t="s">
        <v>342</v>
      </c>
      <c r="E354" s="168">
        <v>147000</v>
      </c>
      <c r="F354" s="14"/>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29"/>
    </row>
    <row r="355" spans="1:40" outlineLevel="1" x14ac:dyDescent="0.25">
      <c r="A355" s="54"/>
      <c r="B355" s="14" t="s">
        <v>343</v>
      </c>
      <c r="C355" s="15" t="s">
        <v>274</v>
      </c>
      <c r="D355" s="15" t="s">
        <v>344</v>
      </c>
      <c r="E355" s="168">
        <v>47000</v>
      </c>
      <c r="F355" s="14"/>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29"/>
    </row>
    <row r="356" spans="1:40" outlineLevel="1" x14ac:dyDescent="0.25">
      <c r="A356" s="54"/>
      <c r="B356" s="14"/>
      <c r="C356" s="14"/>
      <c r="D356" s="15"/>
      <c r="E356" s="16"/>
      <c r="F356" s="14"/>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29"/>
    </row>
    <row r="357" spans="1:40" outlineLevel="1" x14ac:dyDescent="0.25">
      <c r="A357" s="54"/>
      <c r="B357" s="14"/>
      <c r="C357" s="14"/>
      <c r="D357" s="15"/>
      <c r="E357" s="16"/>
      <c r="F357" s="14"/>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29"/>
    </row>
    <row r="358" spans="1:40" outlineLevel="1" x14ac:dyDescent="0.25">
      <c r="A358" s="54"/>
      <c r="B358" s="37" t="s">
        <v>345</v>
      </c>
      <c r="C358" s="40"/>
      <c r="D358" s="38"/>
      <c r="E358" s="39"/>
      <c r="F358" s="40"/>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4"/>
    </row>
    <row r="359" spans="1:40" outlineLevel="1" x14ac:dyDescent="0.25">
      <c r="A359" s="54"/>
      <c r="B359" s="14" t="s">
        <v>346</v>
      </c>
      <c r="C359" s="14"/>
      <c r="D359" s="15" t="s">
        <v>347</v>
      </c>
      <c r="E359" s="170">
        <v>0.15</v>
      </c>
      <c r="F359" s="14"/>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29"/>
    </row>
    <row r="360" spans="1:40" outlineLevel="1" x14ac:dyDescent="0.25">
      <c r="A360" s="54"/>
      <c r="B360" s="14"/>
      <c r="C360" s="14"/>
      <c r="D360" s="15"/>
      <c r="E360" s="16"/>
      <c r="F360" s="14"/>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29"/>
    </row>
    <row r="361" spans="1:40" x14ac:dyDescent="0.25">
      <c r="A361" s="65"/>
      <c r="B361" s="34" t="s">
        <v>30</v>
      </c>
      <c r="C361" s="34"/>
      <c r="D361" s="35"/>
      <c r="E361" s="36"/>
      <c r="F361" s="3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7"/>
    </row>
    <row r="362" spans="1:40" outlineLevel="1" x14ac:dyDescent="0.25">
      <c r="A362" s="54"/>
      <c r="B362" s="14"/>
      <c r="C362" s="14"/>
      <c r="D362" s="15"/>
      <c r="E362" s="16"/>
      <c r="F362" s="14"/>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29"/>
    </row>
    <row r="363" spans="1:40" outlineLevel="1" x14ac:dyDescent="0.25">
      <c r="A363" s="54"/>
      <c r="B363" s="37" t="s">
        <v>253</v>
      </c>
      <c r="C363" s="37"/>
      <c r="D363" s="38"/>
      <c r="E363" s="39"/>
      <c r="F363" s="40"/>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4"/>
    </row>
    <row r="364" spans="1:40" outlineLevel="1" x14ac:dyDescent="0.25">
      <c r="A364" s="54"/>
      <c r="B364" s="95" t="s">
        <v>324</v>
      </c>
      <c r="C364" s="19"/>
      <c r="D364" s="15"/>
      <c r="E364" s="16"/>
      <c r="F364" s="14"/>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29"/>
    </row>
    <row r="365" spans="1:40" outlineLevel="1" x14ac:dyDescent="0.25">
      <c r="A365" s="54" t="s">
        <v>325</v>
      </c>
      <c r="B365" s="96" t="s">
        <v>120</v>
      </c>
      <c r="C365" s="14" t="s">
        <v>245</v>
      </c>
      <c r="D365" s="15" t="s">
        <v>142</v>
      </c>
      <c r="E365" s="160">
        <v>820000</v>
      </c>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29"/>
    </row>
    <row r="366" spans="1:40" outlineLevel="1" x14ac:dyDescent="0.25">
      <c r="A366" s="54" t="s">
        <v>325</v>
      </c>
      <c r="B366" s="96" t="s">
        <v>124</v>
      </c>
      <c r="C366" s="14" t="s">
        <v>245</v>
      </c>
      <c r="D366" s="15" t="s">
        <v>142</v>
      </c>
      <c r="E366" s="160">
        <v>890000</v>
      </c>
      <c r="F366" s="14"/>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29"/>
    </row>
    <row r="367" spans="1:40" outlineLevel="1" x14ac:dyDescent="0.25">
      <c r="A367" s="54" t="s">
        <v>325</v>
      </c>
      <c r="B367" s="96" t="s">
        <v>126</v>
      </c>
      <c r="C367" s="14" t="s">
        <v>245</v>
      </c>
      <c r="D367" s="15" t="s">
        <v>142</v>
      </c>
      <c r="E367" s="160">
        <v>1195000</v>
      </c>
      <c r="F367" s="14"/>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29"/>
    </row>
    <row r="368" spans="1:40" outlineLevel="1" x14ac:dyDescent="0.25">
      <c r="A368" s="54" t="s">
        <v>325</v>
      </c>
      <c r="B368" s="140" t="s">
        <v>348</v>
      </c>
      <c r="C368" s="14" t="s">
        <v>349</v>
      </c>
      <c r="D368" s="15" t="s">
        <v>54</v>
      </c>
      <c r="E368" s="157">
        <v>0</v>
      </c>
      <c r="F368" s="14"/>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29"/>
    </row>
    <row r="369" spans="1:40" outlineLevel="1" x14ac:dyDescent="0.25">
      <c r="A369" s="54"/>
      <c r="B369" s="14"/>
      <c r="C369" s="14"/>
      <c r="D369" s="15"/>
      <c r="E369" s="16"/>
      <c r="F369" s="14"/>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29"/>
    </row>
    <row r="370" spans="1:40" outlineLevel="1" x14ac:dyDescent="0.25">
      <c r="A370" s="54"/>
      <c r="B370" s="14" t="s">
        <v>256</v>
      </c>
      <c r="C370" s="14"/>
      <c r="D370" s="15" t="s">
        <v>128</v>
      </c>
      <c r="E370" s="212">
        <f>Dashboard!H86</f>
        <v>0</v>
      </c>
      <c r="F370" s="14"/>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29"/>
    </row>
    <row r="371" spans="1:40" outlineLevel="1" x14ac:dyDescent="0.25">
      <c r="A371" s="54"/>
      <c r="B371" s="96" t="s">
        <v>120</v>
      </c>
      <c r="C371" s="15" t="s">
        <v>291</v>
      </c>
      <c r="D371" s="15" t="s">
        <v>142</v>
      </c>
      <c r="E371" s="189">
        <f>E365*(1+$E$370)</f>
        <v>820000</v>
      </c>
      <c r="F371" s="14"/>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29"/>
    </row>
    <row r="372" spans="1:40" outlineLevel="1" x14ac:dyDescent="0.25">
      <c r="A372" s="54"/>
      <c r="B372" s="96" t="s">
        <v>124</v>
      </c>
      <c r="C372" s="15" t="s">
        <v>291</v>
      </c>
      <c r="D372" s="15" t="s">
        <v>142</v>
      </c>
      <c r="E372" s="189">
        <f>E366*(1+$E$370)</f>
        <v>890000</v>
      </c>
      <c r="F372" s="14"/>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29"/>
    </row>
    <row r="373" spans="1:40" outlineLevel="1" x14ac:dyDescent="0.25">
      <c r="A373" s="54"/>
      <c r="B373" s="96" t="s">
        <v>126</v>
      </c>
      <c r="C373" s="15" t="s">
        <v>291</v>
      </c>
      <c r="D373" s="15" t="s">
        <v>142</v>
      </c>
      <c r="E373" s="189">
        <f>E367*(1+$E$370)</f>
        <v>1195000</v>
      </c>
      <c r="F373" s="14"/>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29"/>
    </row>
    <row r="374" spans="1:40" outlineLevel="1" x14ac:dyDescent="0.25">
      <c r="A374" s="54"/>
      <c r="B374" s="14"/>
      <c r="C374" s="14"/>
      <c r="D374" s="15"/>
      <c r="E374" s="16"/>
      <c r="F374" s="14"/>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29"/>
    </row>
    <row r="375" spans="1:40" outlineLevel="1" x14ac:dyDescent="0.25">
      <c r="A375" s="54"/>
      <c r="B375" s="37" t="s">
        <v>257</v>
      </c>
      <c r="C375" s="40"/>
      <c r="D375" s="38"/>
      <c r="E375" s="39"/>
      <c r="F375" s="40"/>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4"/>
    </row>
    <row r="376" spans="1:40" outlineLevel="1" x14ac:dyDescent="0.25">
      <c r="A376" s="54"/>
      <c r="B376" s="20" t="s">
        <v>258</v>
      </c>
      <c r="C376" s="15"/>
      <c r="D376" s="15"/>
      <c r="E376" s="16"/>
      <c r="F376" s="14"/>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29"/>
    </row>
    <row r="377" spans="1:40" outlineLevel="1" x14ac:dyDescent="0.25">
      <c r="A377" s="54"/>
      <c r="B377" s="96" t="s">
        <v>120</v>
      </c>
      <c r="C377" s="15" t="s">
        <v>251</v>
      </c>
      <c r="D377" s="15" t="s">
        <v>259</v>
      </c>
      <c r="E377" s="155">
        <f>'Bus research'!$I$20</f>
        <v>0.57163449999999993</v>
      </c>
      <c r="F377" s="14"/>
      <c r="G377" s="63"/>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29"/>
    </row>
    <row r="378" spans="1:40" outlineLevel="1" x14ac:dyDescent="0.25">
      <c r="A378" s="54"/>
      <c r="B378" s="96" t="s">
        <v>124</v>
      </c>
      <c r="C378" s="15" t="s">
        <v>251</v>
      </c>
      <c r="D378" s="15" t="s">
        <v>259</v>
      </c>
      <c r="E378" s="155">
        <f>'Bus research'!$I$20</f>
        <v>0.57163449999999993</v>
      </c>
      <c r="F378" s="14"/>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29"/>
    </row>
    <row r="379" spans="1:40" outlineLevel="1" x14ac:dyDescent="0.25">
      <c r="A379" s="54"/>
      <c r="B379" s="96" t="s">
        <v>126</v>
      </c>
      <c r="C379" s="15" t="s">
        <v>251</v>
      </c>
      <c r="D379" s="15" t="s">
        <v>259</v>
      </c>
      <c r="E379" s="155">
        <f>E377*(E367/E365)</f>
        <v>0.8330527164634145</v>
      </c>
      <c r="F379" s="14"/>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29"/>
    </row>
    <row r="380" spans="1:40" outlineLevel="1" x14ac:dyDescent="0.25">
      <c r="A380" s="54"/>
      <c r="B380" s="95" t="s">
        <v>350</v>
      </c>
      <c r="C380" s="14"/>
      <c r="D380" s="15" t="s">
        <v>318</v>
      </c>
      <c r="E380" s="16"/>
      <c r="F380" s="14"/>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29"/>
    </row>
    <row r="381" spans="1:40" outlineLevel="1" x14ac:dyDescent="0.25">
      <c r="A381" s="54"/>
      <c r="B381" s="19"/>
      <c r="C381" s="14"/>
      <c r="D381" s="15"/>
      <c r="E381" s="16"/>
      <c r="F381" s="14"/>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29"/>
    </row>
    <row r="382" spans="1:40" outlineLevel="1" x14ac:dyDescent="0.25">
      <c r="A382" s="54"/>
      <c r="B382" s="20" t="s">
        <v>260</v>
      </c>
      <c r="C382" s="14" t="s">
        <v>255</v>
      </c>
      <c r="D382" s="15" t="s">
        <v>261</v>
      </c>
      <c r="E382" s="155">
        <v>0.3604</v>
      </c>
      <c r="F382" s="14"/>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29"/>
    </row>
    <row r="383" spans="1:40" outlineLevel="1" x14ac:dyDescent="0.25">
      <c r="A383" s="54"/>
      <c r="B383" s="14"/>
      <c r="C383" s="15"/>
      <c r="D383" s="15"/>
      <c r="E383" s="16"/>
      <c r="F383" s="14"/>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29"/>
    </row>
    <row r="384" spans="1:40" outlineLevel="1" x14ac:dyDescent="0.25">
      <c r="A384" s="54"/>
      <c r="B384" s="37" t="s">
        <v>262</v>
      </c>
      <c r="C384" s="40"/>
      <c r="D384" s="38"/>
      <c r="E384" s="39"/>
      <c r="F384" s="40"/>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4"/>
    </row>
    <row r="385" spans="1:40" outlineLevel="1" x14ac:dyDescent="0.25">
      <c r="A385" s="54"/>
      <c r="B385" s="20" t="s">
        <v>263</v>
      </c>
      <c r="C385" s="14"/>
      <c r="D385" s="15"/>
      <c r="E385" s="16"/>
      <c r="F385" s="14"/>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29"/>
    </row>
    <row r="386" spans="1:40" outlineLevel="1" x14ac:dyDescent="0.25">
      <c r="A386" s="54"/>
      <c r="B386" s="14" t="s">
        <v>334</v>
      </c>
      <c r="C386" s="15"/>
      <c r="D386" s="15" t="s">
        <v>266</v>
      </c>
      <c r="E386" s="16">
        <v>20</v>
      </c>
      <c r="F386" s="14"/>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29"/>
    </row>
    <row r="387" spans="1:40" outlineLevel="1" x14ac:dyDescent="0.25">
      <c r="A387" s="54"/>
      <c r="B387" s="20"/>
      <c r="C387" s="14"/>
      <c r="D387" s="15"/>
      <c r="E387" s="16"/>
      <c r="F387" s="14"/>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29"/>
    </row>
    <row r="388" spans="1:40" outlineLevel="1" x14ac:dyDescent="0.25">
      <c r="A388" s="54" t="s">
        <v>325</v>
      </c>
      <c r="B388" s="20" t="s">
        <v>351</v>
      </c>
      <c r="C388" s="15"/>
      <c r="D388" s="15"/>
      <c r="E388" s="16"/>
      <c r="F388" s="14"/>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29"/>
    </row>
    <row r="389" spans="1:40" outlineLevel="1" x14ac:dyDescent="0.25">
      <c r="A389" s="54" t="s">
        <v>325</v>
      </c>
      <c r="B389" s="96" t="s">
        <v>120</v>
      </c>
      <c r="C389" s="53" t="s">
        <v>251</v>
      </c>
      <c r="D389" s="15" t="s">
        <v>352</v>
      </c>
      <c r="E389" s="156">
        <f>(0.083+'Bus research'!G25)/2</f>
        <v>7.6374999999999998E-2</v>
      </c>
      <c r="F389" s="14"/>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29"/>
    </row>
    <row r="390" spans="1:40" outlineLevel="1" x14ac:dyDescent="0.25">
      <c r="A390" s="54" t="s">
        <v>325</v>
      </c>
      <c r="B390" s="96" t="s">
        <v>124</v>
      </c>
      <c r="C390" s="15" t="s">
        <v>353</v>
      </c>
      <c r="D390" s="15" t="s">
        <v>352</v>
      </c>
      <c r="E390" s="188">
        <f>E389</f>
        <v>7.6374999999999998E-2</v>
      </c>
      <c r="F390" s="14"/>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29"/>
    </row>
    <row r="391" spans="1:40" outlineLevel="1" x14ac:dyDescent="0.25">
      <c r="A391" s="54" t="s">
        <v>325</v>
      </c>
      <c r="B391" s="96" t="s">
        <v>126</v>
      </c>
      <c r="C391" s="15" t="s">
        <v>353</v>
      </c>
      <c r="D391" s="15" t="s">
        <v>352</v>
      </c>
      <c r="E391" s="188">
        <f>E390*(E342/E341)</f>
        <v>0.11647187499999999</v>
      </c>
      <c r="F391" s="14"/>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29"/>
    </row>
    <row r="392" spans="1:40" outlineLevel="1" x14ac:dyDescent="0.25">
      <c r="A392" s="96"/>
      <c r="B392" s="96"/>
      <c r="C392" s="14"/>
      <c r="D392" s="15"/>
      <c r="E392" s="16"/>
      <c r="F392" s="14"/>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29"/>
    </row>
    <row r="393" spans="1:40" outlineLevel="1" x14ac:dyDescent="0.25">
      <c r="A393" s="54"/>
      <c r="B393" s="14"/>
      <c r="C393" s="14"/>
      <c r="D393" s="15"/>
      <c r="E393" s="16"/>
      <c r="F393" s="14"/>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29"/>
    </row>
    <row r="394" spans="1:40" outlineLevel="1" x14ac:dyDescent="0.25">
      <c r="A394" s="54"/>
      <c r="B394" s="37" t="s">
        <v>272</v>
      </c>
      <c r="C394" s="40"/>
      <c r="D394" s="38"/>
      <c r="E394" s="39"/>
      <c r="F394" s="40"/>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4"/>
    </row>
    <row r="395" spans="1:40" outlineLevel="1" x14ac:dyDescent="0.25">
      <c r="A395" s="54"/>
      <c r="B395" s="14" t="s">
        <v>354</v>
      </c>
      <c r="C395" s="14"/>
      <c r="D395" s="15" t="s">
        <v>355</v>
      </c>
      <c r="E395" s="157">
        <v>0</v>
      </c>
      <c r="F395" s="14"/>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29"/>
    </row>
    <row r="396" spans="1:40" outlineLevel="1" x14ac:dyDescent="0.25">
      <c r="A396" s="54"/>
      <c r="B396" s="14" t="s">
        <v>273</v>
      </c>
      <c r="C396" s="53" t="s">
        <v>651</v>
      </c>
      <c r="D396" s="15" t="s">
        <v>342</v>
      </c>
      <c r="E396" s="180">
        <f>E138+5600</f>
        <v>105600</v>
      </c>
      <c r="F396" s="14"/>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29"/>
    </row>
    <row r="397" spans="1:40" outlineLevel="1" x14ac:dyDescent="0.25">
      <c r="A397" s="54"/>
      <c r="B397" s="14"/>
      <c r="C397" s="15"/>
      <c r="D397" s="15"/>
      <c r="E397" s="16"/>
      <c r="F397" s="14"/>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29"/>
    </row>
    <row r="398" spans="1:40" outlineLevel="1" x14ac:dyDescent="0.25">
      <c r="A398" s="54"/>
      <c r="B398" s="37" t="s">
        <v>345</v>
      </c>
      <c r="C398" s="40"/>
      <c r="D398" s="38"/>
      <c r="E398" s="39"/>
      <c r="F398" s="40"/>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4"/>
    </row>
    <row r="399" spans="1:40" outlineLevel="1" x14ac:dyDescent="0.25">
      <c r="A399" s="54"/>
      <c r="B399" s="14" t="s">
        <v>356</v>
      </c>
      <c r="C399" s="14" t="s">
        <v>357</v>
      </c>
      <c r="D399" s="15" t="s">
        <v>347</v>
      </c>
      <c r="E399" s="392">
        <v>0.15</v>
      </c>
      <c r="F399" s="14"/>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29"/>
    </row>
    <row r="400" spans="1:40" outlineLevel="1" x14ac:dyDescent="0.25">
      <c r="A400" s="54"/>
      <c r="B400" s="14"/>
      <c r="C400" s="15"/>
      <c r="D400" s="15"/>
      <c r="E400" s="16"/>
      <c r="F400" s="14"/>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29"/>
    </row>
    <row r="401" spans="1:40" x14ac:dyDescent="0.25">
      <c r="A401" s="59"/>
      <c r="B401" s="24" t="s">
        <v>358</v>
      </c>
      <c r="C401" s="24"/>
      <c r="D401" s="25"/>
      <c r="E401" s="26"/>
      <c r="F401" s="26"/>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1"/>
    </row>
    <row r="402" spans="1:40" x14ac:dyDescent="0.25">
      <c r="A402" s="54"/>
      <c r="B402" s="14"/>
      <c r="C402" s="14"/>
      <c r="D402" s="15"/>
      <c r="E402" s="16"/>
      <c r="F402" s="14"/>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29"/>
    </row>
    <row r="403" spans="1:40" x14ac:dyDescent="0.25">
      <c r="A403" s="36"/>
      <c r="B403" s="34" t="s">
        <v>172</v>
      </c>
      <c r="C403" s="36"/>
      <c r="D403" s="36"/>
      <c r="E403" s="36"/>
      <c r="F403" s="3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7"/>
    </row>
    <row r="404" spans="1:40" outlineLevel="1" x14ac:dyDescent="0.25">
      <c r="B404" s="54"/>
      <c r="C404" s="14"/>
      <c r="D404" s="15"/>
      <c r="E404" s="245"/>
      <c r="F404" s="14"/>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29"/>
    </row>
    <row r="405" spans="1:40" outlineLevel="1" x14ac:dyDescent="0.25">
      <c r="A405" s="54"/>
      <c r="B405" s="14" t="s">
        <v>359</v>
      </c>
      <c r="C405" s="14"/>
      <c r="D405" s="15" t="s">
        <v>112</v>
      </c>
      <c r="E405" s="158">
        <f>Dashboard!I39</f>
        <v>20</v>
      </c>
      <c r="F405" s="14"/>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29"/>
    </row>
    <row r="406" spans="1:40" outlineLevel="1" x14ac:dyDescent="0.25">
      <c r="A406" s="54"/>
      <c r="B406" s="14" t="s">
        <v>113</v>
      </c>
      <c r="C406" s="14"/>
      <c r="D406" s="15" t="s">
        <v>114</v>
      </c>
      <c r="E406" s="158">
        <f>Dashboard!I40</f>
        <v>15</v>
      </c>
      <c r="F406" s="14"/>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29"/>
    </row>
    <row r="407" spans="1:40" outlineLevel="1" x14ac:dyDescent="0.25">
      <c r="A407" s="54"/>
      <c r="B407" s="14" t="s">
        <v>360</v>
      </c>
      <c r="C407" s="14"/>
      <c r="D407" s="15" t="s">
        <v>361</v>
      </c>
      <c r="E407" s="80"/>
      <c r="F407" s="14"/>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29"/>
    </row>
    <row r="408" spans="1:40" outlineLevel="1" x14ac:dyDescent="0.25">
      <c r="A408" s="54"/>
      <c r="B408" s="14" t="s">
        <v>362</v>
      </c>
      <c r="C408" s="14"/>
      <c r="D408" s="15" t="s">
        <v>363</v>
      </c>
      <c r="E408" s="164">
        <v>312</v>
      </c>
      <c r="F408" s="14"/>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29"/>
    </row>
    <row r="409" spans="1:40" outlineLevel="1" x14ac:dyDescent="0.25">
      <c r="A409" s="54"/>
      <c r="B409" s="96" t="s">
        <v>364</v>
      </c>
      <c r="C409" s="14"/>
      <c r="D409" s="15"/>
      <c r="E409" s="16"/>
      <c r="F409" s="14"/>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29"/>
    </row>
    <row r="410" spans="1:40" outlineLevel="1" x14ac:dyDescent="0.25">
      <c r="A410" s="54"/>
      <c r="B410" s="14" t="s">
        <v>365</v>
      </c>
      <c r="C410" t="s">
        <v>653</v>
      </c>
      <c r="D410" s="70" t="s">
        <v>366</v>
      </c>
      <c r="E410" s="157">
        <v>10</v>
      </c>
      <c r="F410" s="71"/>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29"/>
    </row>
    <row r="411" spans="1:40" outlineLevel="1" x14ac:dyDescent="0.25">
      <c r="A411" s="54"/>
      <c r="B411" s="14"/>
      <c r="C411" s="172"/>
      <c r="D411" s="70"/>
      <c r="E411" s="157"/>
      <c r="F411" s="71"/>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29"/>
    </row>
    <row r="412" spans="1:40" outlineLevel="1" x14ac:dyDescent="0.25">
      <c r="A412" s="54"/>
      <c r="B412" s="20" t="s">
        <v>367</v>
      </c>
      <c r="C412" s="172"/>
      <c r="D412" s="70"/>
      <c r="E412" s="157"/>
      <c r="F412" s="71"/>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29"/>
    </row>
    <row r="413" spans="1:40" outlineLevel="1" x14ac:dyDescent="0.25">
      <c r="A413" s="54"/>
      <c r="B413" s="14" t="s">
        <v>283</v>
      </c>
      <c r="C413" s="14" t="s">
        <v>243</v>
      </c>
      <c r="D413" s="70" t="s">
        <v>368</v>
      </c>
      <c r="E413" s="173" cm="1">
        <f t="array" ref="E413">_xlfn.IFS(Dashboard!$I$42='Control panel'!$D$55,'Control panel'!D56,Dashboard!$I$42='Control panel'!$E$55,'Control panel'!E56,Dashboard!$I$42='Control panel'!$F$55,'Control panel'!F56)</f>
        <v>4.0583752780418596</v>
      </c>
      <c r="F413" s="71"/>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29"/>
    </row>
    <row r="414" spans="1:40" outlineLevel="1" x14ac:dyDescent="0.25">
      <c r="A414" s="54"/>
      <c r="B414" s="14" t="s">
        <v>284</v>
      </c>
      <c r="C414" s="14" t="s">
        <v>243</v>
      </c>
      <c r="D414" s="70" t="s">
        <v>368</v>
      </c>
      <c r="E414" s="173" cm="1">
        <f t="array" ref="E414">_xlfn.IFS(Dashboard!$I$42='Control panel'!$D$55,'Control panel'!D57,Dashboard!$I$42='Control panel'!$E$55,'Control panel'!E57,Dashboard!$I$42='Control panel'!$F$55,'Control panel'!F57)</f>
        <v>1017.6439575523251</v>
      </c>
      <c r="F414" s="71"/>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29"/>
    </row>
    <row r="415" spans="1:40" outlineLevel="1" x14ac:dyDescent="0.25">
      <c r="A415" s="54"/>
      <c r="B415" s="14" t="s">
        <v>285</v>
      </c>
      <c r="C415" s="14" t="s">
        <v>243</v>
      </c>
      <c r="D415" s="70" t="s">
        <v>368</v>
      </c>
      <c r="E415" s="173" cm="1">
        <f t="array" ref="E415">_xlfn.IFS(Dashboard!$I$42='Control panel'!$D$55,'Control panel'!D58,Dashboard!$I$42='Control panel'!$E$55,'Control panel'!E58,Dashboard!$I$42='Control panel'!$F$55,'Control panel'!F58)</f>
        <v>0.28470339849987791</v>
      </c>
      <c r="F415" s="71"/>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29"/>
    </row>
    <row r="416" spans="1:40" outlineLevel="1" x14ac:dyDescent="0.25">
      <c r="A416" s="54"/>
      <c r="B416" s="14" t="s">
        <v>220</v>
      </c>
      <c r="C416" s="14" t="s">
        <v>243</v>
      </c>
      <c r="D416" s="70" t="s">
        <v>368</v>
      </c>
      <c r="E416" s="173" cm="1">
        <f t="array" ref="E416">_xlfn.IFS(Dashboard!$I$42='Control panel'!$D$55,'Control panel'!D59,Dashboard!$I$42='Control panel'!$E$55,'Control panel'!E59,Dashboard!$I$42='Control panel'!$F$55,'Control panel'!F59)</f>
        <v>10.339278110248999</v>
      </c>
      <c r="F416" s="71"/>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29"/>
    </row>
    <row r="417" spans="1:40" outlineLevel="1" x14ac:dyDescent="0.25">
      <c r="A417" s="54"/>
      <c r="B417" s="14" t="s">
        <v>212</v>
      </c>
      <c r="C417" s="14" t="s">
        <v>243</v>
      </c>
      <c r="D417" s="70" t="s">
        <v>368</v>
      </c>
      <c r="E417" s="173" cm="1">
        <f t="array" ref="E417">_xlfn.IFS(Dashboard!$I$42='Control panel'!$D$55,'Control panel'!D60,Dashboard!$I$42='Control panel'!$E$55,'Control panel'!E60,Dashboard!$I$42='Control panel'!$F$55,'Control panel'!F60)</f>
        <v>1.0831616103370489</v>
      </c>
      <c r="F417" s="71"/>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29"/>
    </row>
    <row r="418" spans="1:40" outlineLevel="1" x14ac:dyDescent="0.25">
      <c r="A418" s="54"/>
      <c r="B418" s="14" t="s">
        <v>286</v>
      </c>
      <c r="C418" s="14" t="s">
        <v>243</v>
      </c>
      <c r="D418" s="70" t="s">
        <v>368</v>
      </c>
      <c r="E418" s="173" cm="1">
        <f t="array" ref="E418">_xlfn.IFS(Dashboard!$I$42='Control panel'!$D$55,'Control panel'!D61,Dashboard!$I$42='Control panel'!$E$55,'Control panel'!E61,Dashboard!$I$42='Control panel'!$F$55,'Control panel'!F61)</f>
        <v>0.23599733894197369</v>
      </c>
      <c r="F418" s="71"/>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29"/>
    </row>
    <row r="419" spans="1:40" outlineLevel="1" x14ac:dyDescent="0.25">
      <c r="A419" s="54"/>
      <c r="B419" s="14" t="s">
        <v>287</v>
      </c>
      <c r="C419" s="14" t="s">
        <v>243</v>
      </c>
      <c r="D419" s="70" t="s">
        <v>368</v>
      </c>
      <c r="E419" s="173" cm="1">
        <f t="array" ref="E419">_xlfn.IFS(Dashboard!$I$42='Control panel'!$D$55,'Control panel'!D62,Dashboard!$I$42='Control panel'!$E$55,'Control panel'!E62,Dashboard!$I$42='Control panel'!$F$55,'Control panel'!F62)</f>
        <v>1.748642999999999E-2</v>
      </c>
      <c r="F419" s="71"/>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29"/>
    </row>
    <row r="420" spans="1:40" outlineLevel="1" x14ac:dyDescent="0.25">
      <c r="A420" s="54"/>
      <c r="B420" s="14" t="s">
        <v>288</v>
      </c>
      <c r="C420" s="14" t="s">
        <v>243</v>
      </c>
      <c r="D420" s="70" t="s">
        <v>269</v>
      </c>
      <c r="E420" s="173" cm="1">
        <f t="array" ref="E420">_xlfn.IFS(Dashboard!$I$42='Control panel'!$D$55,'Control panel'!D63,Dashboard!$I$42='Control panel'!$E$55,'Control panel'!E63,Dashboard!$I$42='Control panel'!$F$55,'Control panel'!F63)/100</f>
        <v>0.38037124574842174</v>
      </c>
      <c r="F420" s="71"/>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29"/>
    </row>
    <row r="421" spans="1:40" outlineLevel="1" x14ac:dyDescent="0.25">
      <c r="A421" s="54"/>
      <c r="B421" s="14"/>
      <c r="C421" s="14"/>
      <c r="D421" s="70"/>
      <c r="E421" s="155"/>
      <c r="F421" s="71"/>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29"/>
    </row>
    <row r="422" spans="1:40" outlineLevel="1" x14ac:dyDescent="0.25">
      <c r="A422" s="54"/>
      <c r="B422" s="14"/>
      <c r="C422" s="14"/>
      <c r="D422" s="70"/>
      <c r="E422" s="199"/>
      <c r="F422" s="71"/>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29"/>
    </row>
    <row r="423" spans="1:40" outlineLevel="1" x14ac:dyDescent="0.25">
      <c r="A423" s="54"/>
      <c r="B423" s="20" t="s">
        <v>369</v>
      </c>
      <c r="C423" s="14"/>
      <c r="D423" s="70"/>
      <c r="E423" s="199"/>
      <c r="F423" s="71"/>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29"/>
    </row>
    <row r="424" spans="1:40" outlineLevel="1" x14ac:dyDescent="0.25">
      <c r="A424" s="54"/>
      <c r="B424" s="14" t="s">
        <v>283</v>
      </c>
      <c r="C424" s="14"/>
      <c r="D424" s="70" t="s">
        <v>368</v>
      </c>
      <c r="E424" s="211">
        <f>E413*(1-$E$171)</f>
        <v>4.0583752780418596</v>
      </c>
      <c r="F424" s="71"/>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29"/>
    </row>
    <row r="425" spans="1:40" outlineLevel="1" x14ac:dyDescent="0.25">
      <c r="A425" s="54"/>
      <c r="B425" s="14" t="s">
        <v>284</v>
      </c>
      <c r="C425" s="14"/>
      <c r="D425" s="70" t="s">
        <v>368</v>
      </c>
      <c r="E425" s="211">
        <f>E414*(1-$E$172)</f>
        <v>376.52826429436027</v>
      </c>
      <c r="F425" s="71"/>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29"/>
    </row>
    <row r="426" spans="1:40" outlineLevel="1" x14ac:dyDescent="0.25">
      <c r="A426" s="54"/>
      <c r="B426" s="14" t="s">
        <v>285</v>
      </c>
      <c r="C426" s="14"/>
      <c r="D426" s="70" t="s">
        <v>368</v>
      </c>
      <c r="E426" s="211">
        <f>E415*(1-$E$173)</f>
        <v>0.28470339849987791</v>
      </c>
      <c r="F426" s="71"/>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29"/>
    </row>
    <row r="427" spans="1:40" outlineLevel="1" x14ac:dyDescent="0.25">
      <c r="A427" s="54"/>
      <c r="B427" s="14" t="s">
        <v>220</v>
      </c>
      <c r="C427" s="14"/>
      <c r="D427" s="70" t="s">
        <v>368</v>
      </c>
      <c r="E427" s="211">
        <f>E416*(1-$E$174)</f>
        <v>10.339278110248999</v>
      </c>
      <c r="F427" s="71"/>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29"/>
    </row>
    <row r="428" spans="1:40" outlineLevel="1" x14ac:dyDescent="0.25">
      <c r="A428" s="54"/>
      <c r="B428" s="14" t="s">
        <v>212</v>
      </c>
      <c r="C428" s="14"/>
      <c r="D428" s="70" t="s">
        <v>368</v>
      </c>
      <c r="E428" s="211">
        <f>E417*(1-$E$175)</f>
        <v>1.0831616103370489</v>
      </c>
      <c r="F428" s="71"/>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29"/>
    </row>
    <row r="429" spans="1:40" outlineLevel="1" x14ac:dyDescent="0.25">
      <c r="A429" s="54"/>
      <c r="B429" s="14" t="s">
        <v>286</v>
      </c>
      <c r="C429" s="14"/>
      <c r="D429" s="70" t="s">
        <v>368</v>
      </c>
      <c r="E429" s="211">
        <f>E418*(1-$E$176)</f>
        <v>0.23599733894197369</v>
      </c>
      <c r="F429" s="71"/>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29"/>
    </row>
    <row r="430" spans="1:40" outlineLevel="1" x14ac:dyDescent="0.25">
      <c r="A430" s="54"/>
      <c r="B430" s="14" t="s">
        <v>287</v>
      </c>
      <c r="C430" s="14"/>
      <c r="D430" s="70" t="s">
        <v>368</v>
      </c>
      <c r="E430" s="211">
        <f>E419*(1-$E$177)</f>
        <v>1.748642999999999E-2</v>
      </c>
      <c r="F430" s="71"/>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29"/>
    </row>
    <row r="431" spans="1:40" outlineLevel="1" x14ac:dyDescent="0.25">
      <c r="A431" s="54"/>
      <c r="B431" s="14" t="s">
        <v>288</v>
      </c>
      <c r="C431" s="14"/>
      <c r="D431" s="70" t="s">
        <v>269</v>
      </c>
      <c r="E431" s="211">
        <f>E420*(1-$E$178)</f>
        <v>0.38037124574842174</v>
      </c>
      <c r="F431" s="71"/>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29"/>
    </row>
    <row r="432" spans="1:40" outlineLevel="1" x14ac:dyDescent="0.25">
      <c r="A432" s="54"/>
      <c r="B432" s="14"/>
      <c r="C432" s="14"/>
      <c r="D432" s="70"/>
      <c r="E432" s="199"/>
      <c r="F432" s="71"/>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29"/>
    </row>
    <row r="433" spans="1:40" outlineLevel="1" x14ac:dyDescent="0.25">
      <c r="A433" s="54"/>
      <c r="B433" s="14"/>
      <c r="C433" s="14"/>
      <c r="D433" s="70"/>
      <c r="E433" s="199"/>
      <c r="F433" s="71"/>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29"/>
    </row>
    <row r="434" spans="1:40" outlineLevel="1" x14ac:dyDescent="0.25">
      <c r="A434" s="54"/>
      <c r="B434" s="20" t="s">
        <v>24</v>
      </c>
      <c r="C434" s="14"/>
      <c r="D434" s="70"/>
      <c r="E434" s="199"/>
      <c r="F434" s="71"/>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29"/>
    </row>
    <row r="435" spans="1:40" outlineLevel="1" x14ac:dyDescent="0.25">
      <c r="A435" s="54"/>
      <c r="B435" s="14" t="s">
        <v>283</v>
      </c>
      <c r="C435" s="14"/>
      <c r="D435" s="70" t="s">
        <v>368</v>
      </c>
      <c r="E435" s="211">
        <f>E413*(1-$E$218)</f>
        <v>3.9065920426430942</v>
      </c>
      <c r="F435" s="71"/>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29"/>
    </row>
    <row r="436" spans="1:40" outlineLevel="1" x14ac:dyDescent="0.25">
      <c r="A436" s="54"/>
      <c r="B436" s="14" t="s">
        <v>284</v>
      </c>
      <c r="C436" s="14"/>
      <c r="D436" s="70" t="s">
        <v>368</v>
      </c>
      <c r="E436" s="211">
        <f>E414*(1-$E$219)</f>
        <v>1016.1174916159966</v>
      </c>
      <c r="F436" s="71"/>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29"/>
    </row>
    <row r="437" spans="1:40" outlineLevel="1" x14ac:dyDescent="0.25">
      <c r="A437" s="54"/>
      <c r="B437" s="14" t="s">
        <v>285</v>
      </c>
      <c r="C437" s="14"/>
      <c r="D437" s="70" t="s">
        <v>368</v>
      </c>
      <c r="E437" s="211">
        <f>E415*(1-$E$220)</f>
        <v>0.28470339849987791</v>
      </c>
      <c r="F437" s="71"/>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29"/>
    </row>
    <row r="438" spans="1:40" outlineLevel="1" x14ac:dyDescent="0.25">
      <c r="A438" s="54"/>
      <c r="B438" s="14" t="s">
        <v>220</v>
      </c>
      <c r="C438" s="14"/>
      <c r="D438" s="70" t="s">
        <v>368</v>
      </c>
      <c r="E438" s="211">
        <f>E416*(1-$E$221)</f>
        <v>10.339278110248999</v>
      </c>
      <c r="F438" s="71"/>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29"/>
    </row>
    <row r="439" spans="1:40" outlineLevel="1" x14ac:dyDescent="0.25">
      <c r="A439" s="54"/>
      <c r="B439" s="14" t="s">
        <v>212</v>
      </c>
      <c r="C439" s="14"/>
      <c r="D439" s="70" t="s">
        <v>368</v>
      </c>
      <c r="E439" s="211">
        <f>E417*(1-$E$222)</f>
        <v>1.1276795525219017</v>
      </c>
      <c r="F439" s="71"/>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29"/>
    </row>
    <row r="440" spans="1:40" outlineLevel="1" x14ac:dyDescent="0.25">
      <c r="A440" s="54"/>
      <c r="B440" s="14" t="s">
        <v>286</v>
      </c>
      <c r="C440" s="14"/>
      <c r="D440" s="70" t="s">
        <v>368</v>
      </c>
      <c r="E440" s="211">
        <f>E418*(1-$E$223)</f>
        <v>0.15802381815554559</v>
      </c>
      <c r="F440" s="71"/>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29"/>
    </row>
    <row r="441" spans="1:40" outlineLevel="1" x14ac:dyDescent="0.25">
      <c r="A441" s="54"/>
      <c r="B441" s="14" t="s">
        <v>287</v>
      </c>
      <c r="C441" s="14"/>
      <c r="D441" s="70" t="s">
        <v>368</v>
      </c>
      <c r="E441" s="211">
        <f>E419*(1-$E$224)</f>
        <v>1.1708913527999992E-2</v>
      </c>
      <c r="F441" s="71"/>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29"/>
    </row>
    <row r="442" spans="1:40" outlineLevel="1" x14ac:dyDescent="0.25">
      <c r="A442" s="54"/>
      <c r="B442" s="14" t="s">
        <v>288</v>
      </c>
      <c r="C442" s="14"/>
      <c r="D442" s="70" t="s">
        <v>269</v>
      </c>
      <c r="E442" s="211">
        <f>E420*(1-$E$225)</f>
        <v>0.38037124574842174</v>
      </c>
      <c r="F442" s="71"/>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29"/>
    </row>
    <row r="443" spans="1:40" outlineLevel="1" x14ac:dyDescent="0.25">
      <c r="A443" s="54"/>
      <c r="B443" s="14"/>
      <c r="C443" s="14"/>
      <c r="D443" s="70"/>
      <c r="E443" s="211"/>
      <c r="F443" s="71"/>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29"/>
    </row>
    <row r="444" spans="1:40" outlineLevel="1" x14ac:dyDescent="0.25">
      <c r="A444" s="54"/>
      <c r="B444" s="20" t="s">
        <v>26</v>
      </c>
      <c r="C444" s="172"/>
      <c r="D444" s="70"/>
      <c r="E444" s="157"/>
      <c r="F444" s="71"/>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29"/>
    </row>
    <row r="445" spans="1:40" outlineLevel="1" x14ac:dyDescent="0.25">
      <c r="A445" s="54"/>
      <c r="B445" s="14" t="s">
        <v>283</v>
      </c>
      <c r="C445" s="14"/>
      <c r="D445" s="70" t="s">
        <v>368</v>
      </c>
      <c r="E445" s="211" cm="1">
        <f t="array" ref="E445">_xlfn.IFS(Dashboard!$I$42='Control panel'!$D$69,'Control panel'!D70,Dashboard!$I$42='Control panel'!$E$69,'Control panel'!E70,Dashboard!$I$42='Control panel'!$F$69,'Control panel'!F70)</f>
        <v>0</v>
      </c>
      <c r="F445" s="71"/>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29"/>
    </row>
    <row r="446" spans="1:40" outlineLevel="1" x14ac:dyDescent="0.25">
      <c r="A446" s="54"/>
      <c r="B446" s="14" t="s">
        <v>284</v>
      </c>
      <c r="C446" s="14"/>
      <c r="D446" s="70" t="s">
        <v>352</v>
      </c>
      <c r="E446" s="211" cm="1">
        <f t="array" ref="E446">_xlfn.IFS(Dashboard!$I$42='Control panel'!$D$69,'Control panel'!D71,Dashboard!$I$42='Control panel'!$E$69,'Control panel'!E71,Dashboard!$I$42='Control panel'!$F$69,'Control panel'!F71)</f>
        <v>0.15968215015849699</v>
      </c>
      <c r="F446" s="71"/>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29"/>
    </row>
    <row r="447" spans="1:40" outlineLevel="1" x14ac:dyDescent="0.25">
      <c r="A447" s="54"/>
      <c r="B447" s="14" t="s">
        <v>285</v>
      </c>
      <c r="C447" s="14"/>
      <c r="D447" s="70" t="s">
        <v>368</v>
      </c>
      <c r="E447" s="211" cm="1">
        <f t="array" ref="E447">_xlfn.IFS(Dashboard!$I$42='Control panel'!$D$69,'Control panel'!D72,Dashboard!$I$42='Control panel'!$E$69,'Control panel'!E72,Dashboard!$I$42='Control panel'!$F$69,'Control panel'!F72)</f>
        <v>0</v>
      </c>
      <c r="F447" s="71"/>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29"/>
    </row>
    <row r="448" spans="1:40" outlineLevel="1" x14ac:dyDescent="0.25">
      <c r="A448" s="54"/>
      <c r="B448" s="14" t="s">
        <v>220</v>
      </c>
      <c r="C448" s="14"/>
      <c r="D448" s="70" t="s">
        <v>368</v>
      </c>
      <c r="E448" s="211" cm="1">
        <f t="array" ref="E448">_xlfn.IFS(Dashboard!$I$42='Control panel'!$D$69,'Control panel'!D73,Dashboard!$I$42='Control panel'!$E$69,'Control panel'!E73,Dashboard!$I$42='Control panel'!$F$69,'Control panel'!F73)</f>
        <v>0</v>
      </c>
      <c r="F448" s="71"/>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29"/>
    </row>
    <row r="449" spans="1:40" outlineLevel="1" x14ac:dyDescent="0.25">
      <c r="A449" s="54"/>
      <c r="B449" s="14" t="s">
        <v>212</v>
      </c>
      <c r="C449" s="14"/>
      <c r="D449" s="70" t="s">
        <v>368</v>
      </c>
      <c r="E449" s="211" cm="1">
        <f t="array" ref="E449">_xlfn.IFS(Dashboard!$I$42='Control panel'!$D$69,'Control panel'!D74,Dashboard!$I$42='Control panel'!$E$69,'Control panel'!E74,Dashboard!$I$42='Control panel'!$F$69,'Control panel'!F74)</f>
        <v>0</v>
      </c>
      <c r="F449" s="71"/>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29"/>
    </row>
    <row r="450" spans="1:40" outlineLevel="1" x14ac:dyDescent="0.25">
      <c r="A450" s="54"/>
      <c r="B450" s="14" t="s">
        <v>286</v>
      </c>
      <c r="C450" s="14"/>
      <c r="D450" s="70" t="s">
        <v>368</v>
      </c>
      <c r="E450" s="211" cm="1">
        <f t="array" ref="E450">_xlfn.IFS(Dashboard!$I$42='Control panel'!$D$69,'Control panel'!D75,Dashboard!$I$42='Control panel'!$E$69,'Control panel'!E75,Dashboard!$I$42='Control panel'!$F$69,'Control panel'!F75)</f>
        <v>0</v>
      </c>
      <c r="F450" s="71"/>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29"/>
    </row>
    <row r="451" spans="1:40" outlineLevel="1" x14ac:dyDescent="0.25">
      <c r="A451" s="54"/>
      <c r="B451" s="14" t="s">
        <v>287</v>
      </c>
      <c r="C451" s="14"/>
      <c r="D451" s="70" t="s">
        <v>368</v>
      </c>
      <c r="E451" s="211" cm="1">
        <f t="array" ref="E451">_xlfn.IFS(Dashboard!$I$42='Control panel'!$D$69,'Control panel'!D76,Dashboard!$I$42='Control panel'!$E$69,'Control panel'!E76,Dashboard!$I$42='Control panel'!$F$69,'Control panel'!F76)</f>
        <v>3.3242819999999999E-2</v>
      </c>
      <c r="F451" s="71"/>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29"/>
    </row>
    <row r="452" spans="1:40" outlineLevel="1" x14ac:dyDescent="0.25">
      <c r="A452" s="54"/>
      <c r="B452" s="14" t="s">
        <v>288</v>
      </c>
      <c r="C452" s="14"/>
      <c r="D452" s="70" t="s">
        <v>269</v>
      </c>
      <c r="E452" s="211" cm="1">
        <f t="array" ref="E452">_xlfn.IFS(Dashboard!$I$42='Control panel'!$D$69,'Control panel'!D77,Dashboard!$I$42='Control panel'!$E$69,'Control panel'!E77,Dashboard!$I$42='Control panel'!$F$69,'Control panel'!F77)</f>
        <v>0</v>
      </c>
      <c r="F452" s="71"/>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29"/>
    </row>
    <row r="453" spans="1:40" outlineLevel="1" x14ac:dyDescent="0.25">
      <c r="A453" s="54"/>
      <c r="B453" s="14"/>
      <c r="C453" s="14"/>
      <c r="D453" s="70"/>
      <c r="E453" s="211"/>
      <c r="F453" s="71"/>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29"/>
    </row>
    <row r="454" spans="1:40" outlineLevel="1" x14ac:dyDescent="0.25">
      <c r="A454" s="54"/>
      <c r="B454" s="20" t="s">
        <v>28</v>
      </c>
      <c r="C454" s="172"/>
      <c r="D454" s="70"/>
      <c r="E454" s="16"/>
      <c r="F454" s="71"/>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29"/>
    </row>
    <row r="455" spans="1:40" outlineLevel="1" x14ac:dyDescent="0.25">
      <c r="A455" s="54"/>
      <c r="B455" s="14" t="s">
        <v>283</v>
      </c>
      <c r="C455" s="14"/>
      <c r="D455" s="70" t="s">
        <v>368</v>
      </c>
      <c r="E455" s="211" cm="1">
        <f t="array" ref="E455">_xlfn.IFS(Dashboard!$I$42='Control panel'!$D$69,'Control panel'!D70,Dashboard!$I$42='Control panel'!$E$69,'Control panel'!E70,Dashboard!$I$42='Control panel'!$F$69,'Control panel'!F70)</f>
        <v>0</v>
      </c>
      <c r="F455" s="71"/>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29"/>
    </row>
    <row r="456" spans="1:40" outlineLevel="1" x14ac:dyDescent="0.25">
      <c r="A456" s="54"/>
      <c r="B456" s="14" t="s">
        <v>284</v>
      </c>
      <c r="C456" s="14"/>
      <c r="D456" s="70" t="s">
        <v>352</v>
      </c>
      <c r="E456" s="211" cm="1">
        <f t="array" ref="E456">_xlfn.IFS(Dashboard!$I$42='Control panel'!$D$69,'Control panel'!D71,Dashboard!$I$42='Control panel'!$E$69,'Control panel'!E71,Dashboard!$I$42='Control panel'!$F$69,'Control panel'!F71)</f>
        <v>0.15968215015849699</v>
      </c>
      <c r="F456" s="71"/>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29"/>
    </row>
    <row r="457" spans="1:40" outlineLevel="1" x14ac:dyDescent="0.25">
      <c r="A457" s="54"/>
      <c r="B457" s="14" t="s">
        <v>285</v>
      </c>
      <c r="C457" s="14"/>
      <c r="D457" s="70" t="s">
        <v>368</v>
      </c>
      <c r="E457" s="211" cm="1">
        <f t="array" ref="E457">_xlfn.IFS(Dashboard!$I$42='Control panel'!$D$69,'Control panel'!D72,Dashboard!$I$42='Control panel'!$E$69,'Control panel'!E72,Dashboard!$I$42='Control panel'!$F$69,'Control panel'!F72)</f>
        <v>0</v>
      </c>
      <c r="F457" s="71"/>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29"/>
    </row>
    <row r="458" spans="1:40" outlineLevel="1" x14ac:dyDescent="0.25">
      <c r="A458" s="54"/>
      <c r="B458" s="14" t="s">
        <v>220</v>
      </c>
      <c r="C458" s="14"/>
      <c r="D458" s="70" t="s">
        <v>368</v>
      </c>
      <c r="E458" s="211" cm="1">
        <f t="array" ref="E458">_xlfn.IFS(Dashboard!$I$42='Control panel'!$D$69,'Control panel'!D73,Dashboard!$I$42='Control panel'!$E$69,'Control panel'!E73,Dashboard!$I$42='Control panel'!$F$69,'Control panel'!F73)</f>
        <v>0</v>
      </c>
      <c r="F458" s="71"/>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29"/>
    </row>
    <row r="459" spans="1:40" outlineLevel="1" x14ac:dyDescent="0.25">
      <c r="A459" s="54"/>
      <c r="B459" s="14" t="s">
        <v>212</v>
      </c>
      <c r="C459" s="14"/>
      <c r="D459" s="70" t="s">
        <v>368</v>
      </c>
      <c r="E459" s="211" cm="1">
        <f t="array" ref="E459">_xlfn.IFS(Dashboard!$I$42='Control panel'!$D$69,'Control panel'!D74,Dashboard!$I$42='Control panel'!$E$69,'Control panel'!E74,Dashboard!$I$42='Control panel'!$F$69,'Control panel'!F74)</f>
        <v>0</v>
      </c>
      <c r="F459" s="71"/>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29"/>
    </row>
    <row r="460" spans="1:40" outlineLevel="1" x14ac:dyDescent="0.25">
      <c r="A460" s="54"/>
      <c r="B460" s="14" t="s">
        <v>286</v>
      </c>
      <c r="C460" s="14"/>
      <c r="D460" s="70" t="s">
        <v>368</v>
      </c>
      <c r="E460" s="211" cm="1">
        <f t="array" ref="E460">_xlfn.IFS(Dashboard!$I$42='Control panel'!$D$69,'Control panel'!D75,Dashboard!$I$42='Control panel'!$E$69,'Control panel'!E75,Dashboard!$I$42='Control panel'!$F$69,'Control panel'!F75)</f>
        <v>0</v>
      </c>
      <c r="F460" s="71"/>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29"/>
    </row>
    <row r="461" spans="1:40" outlineLevel="1" x14ac:dyDescent="0.25">
      <c r="A461" s="54"/>
      <c r="B461" s="14" t="s">
        <v>287</v>
      </c>
      <c r="C461" s="14"/>
      <c r="D461" s="70" t="s">
        <v>368</v>
      </c>
      <c r="E461" s="211" cm="1">
        <f t="array" ref="E461">_xlfn.IFS(Dashboard!$I$42='Control panel'!$D$69,'Control panel'!D76,Dashboard!$I$42='Control panel'!$E$69,'Control panel'!E76,Dashboard!$I$42='Control panel'!$F$69,'Control panel'!F76)</f>
        <v>3.3242819999999999E-2</v>
      </c>
      <c r="F461" s="71"/>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29"/>
    </row>
    <row r="462" spans="1:40" outlineLevel="1" x14ac:dyDescent="0.25">
      <c r="A462" s="54"/>
      <c r="B462" s="14" t="s">
        <v>288</v>
      </c>
      <c r="C462" s="14"/>
      <c r="D462" s="70" t="s">
        <v>269</v>
      </c>
      <c r="E462" s="211" cm="1">
        <f t="array" ref="E462">_xlfn.IFS(Dashboard!$I$42='Control panel'!$D$69,'Control panel'!D77,Dashboard!$I$42='Control panel'!$E$69,'Control panel'!E77,Dashboard!$I$42='Control panel'!$F$69,'Control panel'!F77)</f>
        <v>0</v>
      </c>
      <c r="F462" s="71"/>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29"/>
    </row>
    <row r="463" spans="1:40" outlineLevel="1" x14ac:dyDescent="0.25">
      <c r="A463" s="54"/>
      <c r="B463" s="14"/>
      <c r="C463" s="14"/>
      <c r="D463" s="70"/>
      <c r="E463" s="155"/>
      <c r="F463" s="71"/>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29"/>
    </row>
    <row r="464" spans="1:40" outlineLevel="1" x14ac:dyDescent="0.25">
      <c r="A464" s="54"/>
      <c r="B464" s="20" t="s">
        <v>30</v>
      </c>
      <c r="C464" s="172"/>
      <c r="D464" s="70"/>
      <c r="E464" s="157"/>
      <c r="F464" s="71"/>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29"/>
    </row>
    <row r="465" spans="1:40" outlineLevel="1" x14ac:dyDescent="0.25">
      <c r="A465" s="54"/>
      <c r="B465" s="14" t="s">
        <v>283</v>
      </c>
      <c r="C465" s="14"/>
      <c r="D465" s="70" t="s">
        <v>368</v>
      </c>
      <c r="E465" s="155">
        <v>0</v>
      </c>
      <c r="F465" s="71"/>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29"/>
    </row>
    <row r="466" spans="1:40" outlineLevel="1" x14ac:dyDescent="0.25">
      <c r="A466" s="54"/>
      <c r="B466" s="14" t="s">
        <v>284</v>
      </c>
      <c r="C466" s="14"/>
      <c r="D466" s="70" t="s">
        <v>368</v>
      </c>
      <c r="E466" s="173">
        <f>E395</f>
        <v>0</v>
      </c>
      <c r="F466" s="71"/>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29"/>
    </row>
    <row r="467" spans="1:40" outlineLevel="1" x14ac:dyDescent="0.25">
      <c r="A467" s="54"/>
      <c r="B467" s="14" t="s">
        <v>285</v>
      </c>
      <c r="C467" s="14"/>
      <c r="D467" s="70" t="s">
        <v>368</v>
      </c>
      <c r="E467" s="155">
        <v>0</v>
      </c>
      <c r="F467" s="71"/>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29"/>
    </row>
    <row r="468" spans="1:40" outlineLevel="1" x14ac:dyDescent="0.25">
      <c r="A468" s="54"/>
      <c r="B468" s="14" t="s">
        <v>220</v>
      </c>
      <c r="C468" s="14"/>
      <c r="D468" s="70" t="s">
        <v>368</v>
      </c>
      <c r="E468" s="155">
        <v>0</v>
      </c>
      <c r="F468" s="71"/>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29"/>
    </row>
    <row r="469" spans="1:40" outlineLevel="1" x14ac:dyDescent="0.25">
      <c r="A469" s="54"/>
      <c r="B469" s="14" t="s">
        <v>212</v>
      </c>
      <c r="C469" s="14"/>
      <c r="D469" s="70" t="s">
        <v>368</v>
      </c>
      <c r="E469" s="155">
        <v>0</v>
      </c>
      <c r="F469" s="71"/>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29"/>
    </row>
    <row r="470" spans="1:40" outlineLevel="1" x14ac:dyDescent="0.25">
      <c r="A470" s="54"/>
      <c r="B470" s="14" t="s">
        <v>286</v>
      </c>
      <c r="C470" s="14"/>
      <c r="D470" s="70" t="s">
        <v>368</v>
      </c>
      <c r="E470" s="155">
        <v>0</v>
      </c>
      <c r="F470" s="71"/>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29"/>
    </row>
    <row r="471" spans="1:40" outlineLevel="1" x14ac:dyDescent="0.25">
      <c r="A471" s="54"/>
      <c r="B471" s="14" t="s">
        <v>287</v>
      </c>
      <c r="C471" s="14"/>
      <c r="D471" s="70" t="s">
        <v>368</v>
      </c>
      <c r="E471" s="155">
        <v>0</v>
      </c>
      <c r="F471" s="71"/>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29"/>
    </row>
    <row r="472" spans="1:40" outlineLevel="1" x14ac:dyDescent="0.25">
      <c r="A472" s="54"/>
      <c r="B472" s="14" t="s">
        <v>288</v>
      </c>
      <c r="C472" s="14"/>
      <c r="D472" s="70" t="s">
        <v>269</v>
      </c>
      <c r="E472" s="155">
        <v>0</v>
      </c>
      <c r="F472" s="71"/>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29"/>
    </row>
    <row r="473" spans="1:40" outlineLevel="1" x14ac:dyDescent="0.25">
      <c r="A473" s="54"/>
      <c r="B473" s="20"/>
      <c r="C473" s="14"/>
      <c r="D473" s="15"/>
      <c r="E473" s="16"/>
      <c r="F473" s="14"/>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29"/>
    </row>
    <row r="474" spans="1:40" x14ac:dyDescent="0.25">
      <c r="A474" s="36"/>
      <c r="B474" s="34" t="s">
        <v>173</v>
      </c>
      <c r="C474" s="36"/>
      <c r="D474" s="36"/>
      <c r="E474" s="36"/>
      <c r="F474" s="3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7"/>
    </row>
    <row r="475" spans="1:40" outlineLevel="1" x14ac:dyDescent="0.25">
      <c r="A475" s="54"/>
      <c r="B475" s="14"/>
      <c r="C475" s="14"/>
      <c r="D475" s="15"/>
      <c r="E475" s="16"/>
      <c r="F475" s="14"/>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29"/>
    </row>
    <row r="476" spans="1:40" outlineLevel="1" x14ac:dyDescent="0.25">
      <c r="A476" s="54"/>
      <c r="B476" s="14" t="s">
        <v>359</v>
      </c>
      <c r="C476" s="14"/>
      <c r="D476" s="15" t="s">
        <v>112</v>
      </c>
      <c r="E476" s="16"/>
      <c r="F476" s="14"/>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29"/>
    </row>
    <row r="477" spans="1:40" outlineLevel="1" x14ac:dyDescent="0.25">
      <c r="A477" s="54"/>
      <c r="B477" s="14" t="s">
        <v>113</v>
      </c>
      <c r="C477" s="14"/>
      <c r="D477" s="15" t="s">
        <v>114</v>
      </c>
      <c r="E477" s="16"/>
      <c r="F477" s="14"/>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2"/>
      <c r="AI477" s="72"/>
      <c r="AJ477" s="72"/>
      <c r="AK477" s="72"/>
      <c r="AL477" s="72"/>
      <c r="AM477" s="72"/>
      <c r="AN477" s="29"/>
    </row>
    <row r="478" spans="1:40" outlineLevel="1" x14ac:dyDescent="0.25">
      <c r="A478" s="54"/>
      <c r="B478" s="14" t="s">
        <v>370</v>
      </c>
      <c r="C478" s="14"/>
      <c r="D478" s="15" t="s">
        <v>116</v>
      </c>
      <c r="E478" s="16"/>
      <c r="F478" s="14"/>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2"/>
      <c r="AI478" s="72"/>
      <c r="AJ478" s="72"/>
      <c r="AK478" s="72"/>
      <c r="AL478" s="72"/>
      <c r="AM478" s="72"/>
      <c r="AN478" s="29"/>
    </row>
    <row r="479" spans="1:40" outlineLevel="1" x14ac:dyDescent="0.25">
      <c r="A479" s="54"/>
      <c r="B479" s="14" t="s">
        <v>360</v>
      </c>
      <c r="C479" s="14"/>
      <c r="D479" s="15" t="s">
        <v>361</v>
      </c>
      <c r="E479" s="16"/>
      <c r="F479" s="14"/>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2"/>
      <c r="AI479" s="72"/>
      <c r="AJ479" s="72"/>
      <c r="AK479" s="72"/>
      <c r="AL479" s="72"/>
      <c r="AM479" s="72"/>
      <c r="AN479" s="29"/>
    </row>
    <row r="480" spans="1:40" outlineLevel="1" x14ac:dyDescent="0.25">
      <c r="A480" s="54"/>
      <c r="B480" s="14" t="s">
        <v>362</v>
      </c>
      <c r="C480" s="14"/>
      <c r="D480" s="15" t="s">
        <v>363</v>
      </c>
      <c r="E480" s="16">
        <v>312</v>
      </c>
      <c r="F480" s="14"/>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2"/>
      <c r="AI480" s="72"/>
      <c r="AJ480" s="72"/>
      <c r="AK480" s="72"/>
      <c r="AL480" s="72"/>
      <c r="AM480" s="72"/>
      <c r="AN480" s="29"/>
    </row>
    <row r="481" spans="1:40" outlineLevel="1" x14ac:dyDescent="0.25">
      <c r="A481" s="54"/>
      <c r="B481" s="96" t="s">
        <v>364</v>
      </c>
      <c r="C481" s="14"/>
      <c r="D481" s="15"/>
      <c r="E481" s="16"/>
      <c r="F481" s="14"/>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2"/>
      <c r="AI481" s="72"/>
      <c r="AJ481" s="72"/>
      <c r="AK481" s="72"/>
      <c r="AL481" s="72"/>
      <c r="AM481" s="72"/>
      <c r="AN481" s="29"/>
    </row>
    <row r="482" spans="1:40" outlineLevel="1" x14ac:dyDescent="0.25">
      <c r="A482" s="54"/>
      <c r="B482" s="14" t="s">
        <v>365</v>
      </c>
      <c r="C482" t="s">
        <v>653</v>
      </c>
      <c r="D482" s="15" t="s">
        <v>366</v>
      </c>
      <c r="E482" s="157">
        <v>25</v>
      </c>
      <c r="F482" s="14"/>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2"/>
      <c r="AI482" s="72"/>
      <c r="AJ482" s="72"/>
      <c r="AK482" s="72"/>
      <c r="AL482" s="72"/>
      <c r="AM482" s="72"/>
      <c r="AN482" s="29"/>
    </row>
    <row r="483" spans="1:40" outlineLevel="1" x14ac:dyDescent="0.25">
      <c r="A483" s="54"/>
      <c r="B483" s="14"/>
      <c r="C483" s="15"/>
      <c r="D483" s="15"/>
      <c r="E483" s="16"/>
      <c r="F483" s="14"/>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2"/>
      <c r="AI483" s="72"/>
      <c r="AJ483" s="72"/>
      <c r="AK483" s="72"/>
      <c r="AL483" s="72"/>
      <c r="AM483" s="72"/>
      <c r="AN483" s="29"/>
    </row>
    <row r="484" spans="1:40" outlineLevel="1" x14ac:dyDescent="0.25">
      <c r="A484" s="54"/>
      <c r="B484" s="20" t="s">
        <v>367</v>
      </c>
      <c r="C484" s="172"/>
      <c r="D484" s="70"/>
      <c r="E484" s="157"/>
      <c r="F484" s="71"/>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29"/>
    </row>
    <row r="485" spans="1:40" outlineLevel="1" x14ac:dyDescent="0.25">
      <c r="A485" s="54"/>
      <c r="B485" s="14" t="s">
        <v>283</v>
      </c>
      <c r="C485" s="14" t="s">
        <v>243</v>
      </c>
      <c r="D485" s="70" t="s">
        <v>368</v>
      </c>
      <c r="E485" s="173" cm="1">
        <f t="array" ref="E485">_xlfn.IFS(Dashboard!$I$52='Control panel'!$G$55,'Control panel'!G56,Dashboard!$I$52='Control panel'!$H$55,'Control panel'!H56,Dashboard!$I$52='Control panel'!$I$55,'Control panel'!I56)</f>
        <v>4.3953694163207464</v>
      </c>
      <c r="F485" s="14"/>
      <c r="G485" s="72"/>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29"/>
    </row>
    <row r="486" spans="1:40" outlineLevel="1" x14ac:dyDescent="0.25">
      <c r="A486" s="54"/>
      <c r="B486" s="14" t="s">
        <v>284</v>
      </c>
      <c r="C486" s="14" t="s">
        <v>243</v>
      </c>
      <c r="D486" s="70" t="s">
        <v>368</v>
      </c>
      <c r="E486" s="173" cm="1">
        <f t="array" ref="E486">_xlfn.IFS(Dashboard!$I$52='Control panel'!$G$55,'Control panel'!G57,Dashboard!$I$52='Control panel'!$H$55,'Control panel'!H57,Dashboard!$I$52='Control panel'!$I$55,'Control panel'!I57)</f>
        <v>2772.3529845073449</v>
      </c>
      <c r="F486" s="71"/>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29"/>
    </row>
    <row r="487" spans="1:40" outlineLevel="1" x14ac:dyDescent="0.25">
      <c r="A487" s="54"/>
      <c r="B487" s="14" t="s">
        <v>285</v>
      </c>
      <c r="C487" s="14" t="s">
        <v>243</v>
      </c>
      <c r="D487" s="70" t="s">
        <v>368</v>
      </c>
      <c r="E487" s="173" cm="1">
        <f t="array" ref="E487">_xlfn.IFS(Dashboard!$I$52='Control panel'!$G$55,'Control panel'!G58,Dashboard!$I$52='Control panel'!$H$55,'Control panel'!H58,Dashboard!$I$52='Control panel'!$I$55,'Control panel'!I58)</f>
        <v>0.34917477856892726</v>
      </c>
      <c r="F487" s="14"/>
      <c r="G487" s="72"/>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29"/>
    </row>
    <row r="488" spans="1:40" outlineLevel="1" x14ac:dyDescent="0.25">
      <c r="A488" s="54"/>
      <c r="B488" s="14" t="s">
        <v>220</v>
      </c>
      <c r="C488" s="14" t="s">
        <v>243</v>
      </c>
      <c r="D488" s="70" t="s">
        <v>368</v>
      </c>
      <c r="E488" s="173" cm="1">
        <f t="array" ref="E488">_xlfn.IFS(Dashboard!$I$52='Control panel'!$G$55,'Control panel'!G59,Dashboard!$I$52='Control panel'!$H$55,'Control panel'!H59,Dashboard!$I$52='Control panel'!$I$55,'Control panel'!I59)</f>
        <v>15.499642131509336</v>
      </c>
      <c r="F488" s="71"/>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29"/>
    </row>
    <row r="489" spans="1:40" outlineLevel="1" x14ac:dyDescent="0.25">
      <c r="A489" s="54"/>
      <c r="B489" s="14" t="s">
        <v>212</v>
      </c>
      <c r="C489" s="14" t="s">
        <v>243</v>
      </c>
      <c r="D489" s="70" t="s">
        <v>368</v>
      </c>
      <c r="E489" s="173" cm="1">
        <f t="array" ref="E489">_xlfn.IFS(Dashboard!$I$52='Control panel'!$G$55,'Control panel'!G60,Dashboard!$I$52='Control panel'!$H$55,'Control panel'!H60,Dashboard!$I$52='Control panel'!$I$55,'Control panel'!I60)</f>
        <v>1.7773516852597466</v>
      </c>
      <c r="F489" s="14"/>
      <c r="G489" s="72"/>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29"/>
    </row>
    <row r="490" spans="1:40" outlineLevel="1" x14ac:dyDescent="0.25">
      <c r="A490" s="54"/>
      <c r="B490" s="14" t="s">
        <v>286</v>
      </c>
      <c r="C490" s="14" t="s">
        <v>243</v>
      </c>
      <c r="D490" s="70" t="s">
        <v>368</v>
      </c>
      <c r="E490" s="173" cm="1">
        <f t="array" ref="E490">_xlfn.IFS(Dashboard!$I$52='Control panel'!$G$55,'Control panel'!G61,Dashboard!$I$52='Control panel'!$H$55,'Control panel'!H61,Dashboard!$I$52='Control panel'!$I$55,'Control panel'!I61)</f>
        <v>0.38228686252612731</v>
      </c>
      <c r="F490" s="71"/>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29"/>
    </row>
    <row r="491" spans="1:40" outlineLevel="1" x14ac:dyDescent="0.25">
      <c r="A491" s="54"/>
      <c r="B491" s="14" t="s">
        <v>287</v>
      </c>
      <c r="C491" s="14" t="s">
        <v>243</v>
      </c>
      <c r="D491" s="70" t="s">
        <v>368</v>
      </c>
      <c r="E491" s="173" cm="1">
        <f t="array" ref="E491">_xlfn.IFS(Dashboard!$I$52='Control panel'!$G$55,'Control panel'!G62,Dashboard!$I$52='Control panel'!$H$55,'Control panel'!H62,Dashboard!$I$52='Control panel'!$I$55,'Control panel'!I62)</f>
        <v>4.1005175397632307E-2</v>
      </c>
      <c r="F491" s="14"/>
      <c r="G491" s="72"/>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29"/>
    </row>
    <row r="492" spans="1:40" outlineLevel="1" x14ac:dyDescent="0.25">
      <c r="A492" s="54"/>
      <c r="B492" s="14" t="s">
        <v>288</v>
      </c>
      <c r="C492" s="14" t="s">
        <v>243</v>
      </c>
      <c r="D492" s="70" t="s">
        <v>269</v>
      </c>
      <c r="E492" s="173" cm="1">
        <f t="array" ref="E492">_xlfn.IFS(Dashboard!$I$52='Control panel'!$G$55,'Control panel'!G63,Dashboard!$I$52='Control panel'!$H$55,'Control panel'!H63,Dashboard!$I$52='Control panel'!$I$55,'Control panel'!I63)/100</f>
        <v>1.0448462062146329</v>
      </c>
      <c r="F492" s="71"/>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29"/>
    </row>
    <row r="493" spans="1:40" outlineLevel="1" x14ac:dyDescent="0.25">
      <c r="A493" s="54"/>
      <c r="B493" s="14"/>
      <c r="C493" s="14"/>
      <c r="D493" s="70"/>
      <c r="E493" s="173"/>
      <c r="F493" s="14"/>
      <c r="G493" s="72"/>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29"/>
    </row>
    <row r="494" spans="1:40" outlineLevel="1" x14ac:dyDescent="0.25">
      <c r="A494" s="54"/>
      <c r="B494" s="20" t="s">
        <v>369</v>
      </c>
      <c r="C494" s="14"/>
      <c r="D494" s="70"/>
      <c r="E494" s="199"/>
      <c r="F494" s="71"/>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29"/>
    </row>
    <row r="495" spans="1:40" outlineLevel="1" x14ac:dyDescent="0.25">
      <c r="A495" s="54"/>
      <c r="B495" s="14" t="s">
        <v>283</v>
      </c>
      <c r="C495" s="14"/>
      <c r="D495" s="70" t="s">
        <v>368</v>
      </c>
      <c r="E495" s="211">
        <f t="shared" ref="E495:E502" si="18">E485*(1-$E171)</f>
        <v>4.3953694163207464</v>
      </c>
      <c r="F495" s="14"/>
      <c r="G495" s="72"/>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29"/>
    </row>
    <row r="496" spans="1:40" outlineLevel="1" x14ac:dyDescent="0.25">
      <c r="A496" s="54"/>
      <c r="B496" s="14" t="s">
        <v>284</v>
      </c>
      <c r="C496" s="14"/>
      <c r="D496" s="70" t="s">
        <v>368</v>
      </c>
      <c r="E496" s="211">
        <f t="shared" si="18"/>
        <v>1025.7706042677175</v>
      </c>
      <c r="F496" s="71"/>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29"/>
    </row>
    <row r="497" spans="1:40" outlineLevel="1" x14ac:dyDescent="0.25">
      <c r="A497" s="54"/>
      <c r="B497" s="14" t="s">
        <v>285</v>
      </c>
      <c r="C497" s="14"/>
      <c r="D497" s="70" t="s">
        <v>368</v>
      </c>
      <c r="E497" s="211">
        <f t="shared" si="18"/>
        <v>0.34917477856892726</v>
      </c>
      <c r="F497" s="71"/>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29"/>
    </row>
    <row r="498" spans="1:40" outlineLevel="1" x14ac:dyDescent="0.25">
      <c r="A498" s="54"/>
      <c r="B498" s="14" t="s">
        <v>220</v>
      </c>
      <c r="C498" s="14"/>
      <c r="D498" s="70" t="s">
        <v>368</v>
      </c>
      <c r="E498" s="211">
        <f t="shared" si="18"/>
        <v>15.499642131509336</v>
      </c>
      <c r="F498" s="71"/>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29"/>
    </row>
    <row r="499" spans="1:40" outlineLevel="1" x14ac:dyDescent="0.25">
      <c r="A499" s="54"/>
      <c r="B499" s="14" t="s">
        <v>212</v>
      </c>
      <c r="C499" s="14"/>
      <c r="D499" s="70" t="s">
        <v>368</v>
      </c>
      <c r="E499" s="211">
        <f t="shared" si="18"/>
        <v>1.7773516852597466</v>
      </c>
      <c r="F499" s="71"/>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29"/>
    </row>
    <row r="500" spans="1:40" outlineLevel="1" x14ac:dyDescent="0.25">
      <c r="A500" s="54"/>
      <c r="B500" s="14" t="s">
        <v>286</v>
      </c>
      <c r="C500" s="14"/>
      <c r="D500" s="70" t="s">
        <v>368</v>
      </c>
      <c r="E500" s="211">
        <f t="shared" si="18"/>
        <v>0.38228686252612731</v>
      </c>
      <c r="F500" s="71"/>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29"/>
    </row>
    <row r="501" spans="1:40" outlineLevel="1" x14ac:dyDescent="0.25">
      <c r="A501" s="54"/>
      <c r="B501" s="14" t="s">
        <v>287</v>
      </c>
      <c r="C501" s="14"/>
      <c r="D501" s="70" t="s">
        <v>368</v>
      </c>
      <c r="E501" s="211">
        <f t="shared" si="18"/>
        <v>4.1005175397632307E-2</v>
      </c>
      <c r="F501" s="71"/>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29"/>
    </row>
    <row r="502" spans="1:40" outlineLevel="1" x14ac:dyDescent="0.25">
      <c r="A502" s="54"/>
      <c r="B502" s="14" t="s">
        <v>288</v>
      </c>
      <c r="C502" s="14"/>
      <c r="D502" s="70" t="s">
        <v>269</v>
      </c>
      <c r="E502" s="211">
        <f t="shared" si="18"/>
        <v>1.0448462062146329</v>
      </c>
      <c r="F502" s="71"/>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29"/>
    </row>
    <row r="503" spans="1:40" outlineLevel="1" x14ac:dyDescent="0.25">
      <c r="A503" s="54"/>
      <c r="B503" s="14"/>
      <c r="C503" s="14"/>
      <c r="D503" s="70"/>
      <c r="E503" s="199"/>
      <c r="F503" s="71"/>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29"/>
    </row>
    <row r="504" spans="1:40" outlineLevel="1" x14ac:dyDescent="0.25">
      <c r="A504" s="54"/>
      <c r="B504" s="20" t="s">
        <v>24</v>
      </c>
      <c r="C504" s="14"/>
      <c r="D504" s="70"/>
      <c r="E504" s="199"/>
      <c r="F504" s="71"/>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29"/>
    </row>
    <row r="505" spans="1:40" outlineLevel="1" x14ac:dyDescent="0.25">
      <c r="A505" s="54"/>
      <c r="B505" s="14" t="s">
        <v>283</v>
      </c>
      <c r="C505" s="14"/>
      <c r="D505" s="70" t="s">
        <v>368</v>
      </c>
      <c r="E505" s="211">
        <f>E485*(1-$E$218)</f>
        <v>4.2309826001503508</v>
      </c>
      <c r="F505" s="71"/>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29"/>
    </row>
    <row r="506" spans="1:40" outlineLevel="1" x14ac:dyDescent="0.25">
      <c r="A506" s="54"/>
      <c r="B506" s="14" t="s">
        <v>284</v>
      </c>
      <c r="C506" s="14"/>
      <c r="D506" s="70" t="s">
        <v>368</v>
      </c>
      <c r="E506" s="211">
        <f>E486*(1-$E$219)</f>
        <v>2768.1944550305839</v>
      </c>
      <c r="F506" s="71"/>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29"/>
    </row>
    <row r="507" spans="1:40" outlineLevel="1" x14ac:dyDescent="0.25">
      <c r="A507" s="54"/>
      <c r="B507" s="14" t="s">
        <v>285</v>
      </c>
      <c r="C507" s="14"/>
      <c r="D507" s="70" t="s">
        <v>368</v>
      </c>
      <c r="E507" s="211">
        <f>E487*(1-$E$220)</f>
        <v>0.34917477856892726</v>
      </c>
      <c r="F507" s="71"/>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29"/>
    </row>
    <row r="508" spans="1:40" outlineLevel="1" x14ac:dyDescent="0.25">
      <c r="A508" s="54"/>
      <c r="B508" s="14" t="s">
        <v>220</v>
      </c>
      <c r="C508" s="14"/>
      <c r="D508" s="70" t="s">
        <v>368</v>
      </c>
      <c r="E508" s="211">
        <f>E488*(1-$E$221)</f>
        <v>15.499642131509336</v>
      </c>
      <c r="F508" s="71"/>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29"/>
    </row>
    <row r="509" spans="1:40" outlineLevel="1" x14ac:dyDescent="0.25">
      <c r="A509" s="54"/>
      <c r="B509" s="14" t="s">
        <v>212</v>
      </c>
      <c r="C509" s="14"/>
      <c r="D509" s="70" t="s">
        <v>368</v>
      </c>
      <c r="E509" s="211">
        <f>E489*(1-$E$222)</f>
        <v>1.850400839523922</v>
      </c>
      <c r="F509" s="71"/>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29"/>
    </row>
    <row r="510" spans="1:40" outlineLevel="1" x14ac:dyDescent="0.25">
      <c r="A510" s="54"/>
      <c r="B510" s="14" t="s">
        <v>286</v>
      </c>
      <c r="C510" s="14"/>
      <c r="D510" s="70" t="s">
        <v>368</v>
      </c>
      <c r="E510" s="211">
        <f>E490*(1-$E$223)</f>
        <v>0.25597928314749485</v>
      </c>
      <c r="F510" s="71"/>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29"/>
    </row>
    <row r="511" spans="1:40" outlineLevel="1" x14ac:dyDescent="0.25">
      <c r="A511" s="54"/>
      <c r="B511" s="14" t="s">
        <v>287</v>
      </c>
      <c r="C511" s="14"/>
      <c r="D511" s="70" t="s">
        <v>368</v>
      </c>
      <c r="E511" s="211">
        <f>E491*(1-$E$224)</f>
        <v>2.7457065446254592E-2</v>
      </c>
      <c r="F511" s="71"/>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29"/>
    </row>
    <row r="512" spans="1:40" outlineLevel="1" x14ac:dyDescent="0.25">
      <c r="A512" s="54"/>
      <c r="B512" s="14" t="s">
        <v>288</v>
      </c>
      <c r="C512" s="14"/>
      <c r="D512" s="70" t="s">
        <v>269</v>
      </c>
      <c r="E512" s="211">
        <f>E492*(1-$E$225)</f>
        <v>1.0448462062146329</v>
      </c>
      <c r="F512" s="71"/>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29"/>
    </row>
    <row r="513" spans="1:40" outlineLevel="1" x14ac:dyDescent="0.25">
      <c r="A513" s="54"/>
      <c r="B513" s="14"/>
      <c r="C513" s="14"/>
      <c r="D513" s="70"/>
      <c r="E513" s="211"/>
      <c r="F513" s="71"/>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29"/>
    </row>
    <row r="514" spans="1:40" outlineLevel="1" x14ac:dyDescent="0.25">
      <c r="A514" s="54"/>
      <c r="B514" s="20" t="s">
        <v>26</v>
      </c>
      <c r="C514" s="172"/>
      <c r="D514" s="70"/>
      <c r="E514" s="157"/>
      <c r="F514" s="71"/>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29"/>
    </row>
    <row r="515" spans="1:40" outlineLevel="1" x14ac:dyDescent="0.25">
      <c r="A515" s="54"/>
      <c r="B515" s="14" t="s">
        <v>283</v>
      </c>
      <c r="C515" s="14"/>
      <c r="D515" s="70" t="s">
        <v>368</v>
      </c>
      <c r="E515" s="211" cm="1">
        <f t="array" ref="E515">_xlfn.IFS(Dashboard!$I$52='Control panel'!$G$69,'Control panel'!G70,Dashboard!$I$52='Control panel'!$H$69,'Control panel'!H70,Dashboard!$I$52='Control panel'!$I$69,'Control panel'!I70)</f>
        <v>0</v>
      </c>
      <c r="F515" s="71"/>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29"/>
    </row>
    <row r="516" spans="1:40" outlineLevel="1" x14ac:dyDescent="0.25">
      <c r="A516" s="54"/>
      <c r="B516" s="14" t="s">
        <v>284</v>
      </c>
      <c r="C516" s="14"/>
      <c r="D516" s="70" t="s">
        <v>352</v>
      </c>
      <c r="E516" s="211" cm="1">
        <f t="array" ref="E516">_xlfn.IFS(Dashboard!$I$52='Control panel'!$G$69,'Control panel'!G71,Dashboard!$I$52='Control panel'!$H$69,'Control panel'!H71,Dashboard!$I$52='Control panel'!$I$69,'Control panel'!I71)</f>
        <v>0.17887155708091804</v>
      </c>
      <c r="F516" s="71"/>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29"/>
    </row>
    <row r="517" spans="1:40" outlineLevel="1" x14ac:dyDescent="0.25">
      <c r="A517" s="54"/>
      <c r="B517" s="14" t="s">
        <v>285</v>
      </c>
      <c r="C517" s="14"/>
      <c r="D517" s="70" t="s">
        <v>368</v>
      </c>
      <c r="E517" s="211" cm="1">
        <f t="array" ref="E517">_xlfn.IFS(Dashboard!$I$52='Control panel'!$G$69,'Control panel'!G72,Dashboard!$I$52='Control panel'!$H$69,'Control panel'!H72,Dashboard!$I$52='Control panel'!$I$69,'Control panel'!I72)</f>
        <v>0</v>
      </c>
      <c r="F517" s="71"/>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29"/>
    </row>
    <row r="518" spans="1:40" outlineLevel="1" x14ac:dyDescent="0.25">
      <c r="A518" s="54"/>
      <c r="B518" s="14" t="s">
        <v>220</v>
      </c>
      <c r="C518" s="14"/>
      <c r="D518" s="70" t="s">
        <v>368</v>
      </c>
      <c r="E518" s="211" cm="1">
        <f t="array" ref="E518">_xlfn.IFS(Dashboard!$I$52='Control panel'!$G$69,'Control panel'!G73,Dashboard!$I$52='Control panel'!$H$69,'Control panel'!H73,Dashboard!$I$52='Control panel'!$I$69,'Control panel'!I73)</f>
        <v>0</v>
      </c>
      <c r="F518" s="71"/>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29"/>
    </row>
    <row r="519" spans="1:40" outlineLevel="1" x14ac:dyDescent="0.25">
      <c r="A519" s="54"/>
      <c r="B519" s="14" t="s">
        <v>212</v>
      </c>
      <c r="C519" s="14"/>
      <c r="D519" s="70" t="s">
        <v>368</v>
      </c>
      <c r="E519" s="211" cm="1">
        <f t="array" ref="E519">_xlfn.IFS(Dashboard!$I$52='Control panel'!$G$69,'Control panel'!G74,Dashboard!$I$52='Control panel'!$H$69,'Control panel'!H74,Dashboard!$I$52='Control panel'!$I$69,'Control panel'!I74)</f>
        <v>0</v>
      </c>
      <c r="F519" s="71"/>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29"/>
    </row>
    <row r="520" spans="1:40" outlineLevel="1" x14ac:dyDescent="0.25">
      <c r="A520" s="54"/>
      <c r="B520" s="14" t="s">
        <v>286</v>
      </c>
      <c r="C520" s="14"/>
      <c r="D520" s="70" t="s">
        <v>368</v>
      </c>
      <c r="E520" s="211" cm="1">
        <f t="array" ref="E520">_xlfn.IFS(Dashboard!$I$52='Control panel'!$G$69,'Control panel'!G75,Dashboard!$I$52='Control panel'!$H$69,'Control panel'!H75,Dashboard!$I$52='Control panel'!$I$69,'Control panel'!I75)</f>
        <v>0</v>
      </c>
      <c r="F520" s="71"/>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29"/>
    </row>
    <row r="521" spans="1:40" outlineLevel="1" x14ac:dyDescent="0.25">
      <c r="A521" s="54"/>
      <c r="B521" s="14" t="s">
        <v>287</v>
      </c>
      <c r="C521" s="14"/>
      <c r="D521" s="70" t="s">
        <v>368</v>
      </c>
      <c r="E521" s="211" cm="1">
        <f t="array" ref="E521">_xlfn.IFS(Dashboard!$I$52='Control panel'!$G$69,'Control panel'!G76,Dashboard!$I$52='Control panel'!$H$69,'Control panel'!H76,Dashboard!$I$52='Control panel'!$I$69,'Control panel'!I76)</f>
        <v>7.7953456755433775E-2</v>
      </c>
      <c r="F521" s="71"/>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29"/>
    </row>
    <row r="522" spans="1:40" outlineLevel="1" x14ac:dyDescent="0.25">
      <c r="A522" s="54"/>
      <c r="B522" s="14" t="s">
        <v>288</v>
      </c>
      <c r="C522" s="14"/>
      <c r="D522" s="70" t="s">
        <v>269</v>
      </c>
      <c r="E522" s="211" cm="1">
        <f t="array" ref="E522">_xlfn.IFS(Dashboard!$I$52='Control panel'!$G$69,'Control panel'!G77,Dashboard!$I$52='Control panel'!$H$69,'Control panel'!H77,Dashboard!$I$52='Control panel'!$I$69,'Control panel'!I77)</f>
        <v>0</v>
      </c>
      <c r="F522" s="71"/>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29"/>
    </row>
    <row r="523" spans="1:40" outlineLevel="1" x14ac:dyDescent="0.25">
      <c r="A523" s="54"/>
      <c r="B523" s="14"/>
      <c r="C523" s="14"/>
      <c r="D523" s="70"/>
      <c r="E523" s="211"/>
      <c r="F523" s="71"/>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29"/>
    </row>
    <row r="524" spans="1:40" outlineLevel="1" x14ac:dyDescent="0.25">
      <c r="A524" s="54"/>
      <c r="B524" s="20" t="s">
        <v>28</v>
      </c>
      <c r="C524" s="172"/>
      <c r="D524" s="70"/>
      <c r="E524" s="16"/>
      <c r="F524" s="71"/>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29"/>
    </row>
    <row r="525" spans="1:40" outlineLevel="1" x14ac:dyDescent="0.25">
      <c r="A525" s="54"/>
      <c r="B525" s="14" t="s">
        <v>283</v>
      </c>
      <c r="C525" s="14"/>
      <c r="D525" s="70" t="s">
        <v>368</v>
      </c>
      <c r="E525" s="211" cm="1">
        <f t="array" ref="E525">_xlfn.IFS(Dashboard!$I$52='Control panel'!$G$69,'Control panel'!G70,Dashboard!$I$52='Control panel'!$H$69,'Control panel'!H70,Dashboard!$I$52='Control panel'!$I$69,'Control panel'!I70)</f>
        <v>0</v>
      </c>
      <c r="F525" s="71"/>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29"/>
    </row>
    <row r="526" spans="1:40" outlineLevel="1" x14ac:dyDescent="0.25">
      <c r="A526" s="54"/>
      <c r="B526" s="14" t="s">
        <v>284</v>
      </c>
      <c r="C526" s="14"/>
      <c r="D526" s="70" t="s">
        <v>352</v>
      </c>
      <c r="E526" s="211" cm="1">
        <f t="array" ref="E526">_xlfn.IFS(Dashboard!$I$52='Control panel'!$G$69,'Control panel'!G71,Dashboard!$I$52='Control panel'!$H$69,'Control panel'!H71,Dashboard!$I$52='Control panel'!$I$69,'Control panel'!I71)</f>
        <v>0.17887155708091804</v>
      </c>
      <c r="F526" s="71"/>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29"/>
    </row>
    <row r="527" spans="1:40" outlineLevel="1" x14ac:dyDescent="0.25">
      <c r="A527" s="54"/>
      <c r="B527" s="14" t="s">
        <v>285</v>
      </c>
      <c r="C527" s="14"/>
      <c r="D527" s="70" t="s">
        <v>368</v>
      </c>
      <c r="E527" s="211" cm="1">
        <f t="array" ref="E527">_xlfn.IFS(Dashboard!$I$52='Control panel'!$G$69,'Control panel'!G72,Dashboard!$I$52='Control panel'!$H$69,'Control panel'!H72,Dashboard!$I$52='Control panel'!$I$69,'Control panel'!I72)</f>
        <v>0</v>
      </c>
      <c r="F527" s="71"/>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29"/>
    </row>
    <row r="528" spans="1:40" outlineLevel="1" x14ac:dyDescent="0.25">
      <c r="A528" s="54"/>
      <c r="B528" s="14" t="s">
        <v>220</v>
      </c>
      <c r="C528" s="14"/>
      <c r="D528" s="70" t="s">
        <v>368</v>
      </c>
      <c r="E528" s="211" cm="1">
        <f t="array" ref="E528">_xlfn.IFS(Dashboard!$I$52='Control panel'!$G$69,'Control panel'!G73,Dashboard!$I$52='Control panel'!$H$69,'Control panel'!H73,Dashboard!$I$52='Control panel'!$I$69,'Control panel'!I73)</f>
        <v>0</v>
      </c>
      <c r="F528" s="71"/>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29"/>
    </row>
    <row r="529" spans="1:40" outlineLevel="1" x14ac:dyDescent="0.25">
      <c r="A529" s="54"/>
      <c r="B529" s="14" t="s">
        <v>212</v>
      </c>
      <c r="C529" s="14"/>
      <c r="D529" s="70" t="s">
        <v>368</v>
      </c>
      <c r="E529" s="211" cm="1">
        <f t="array" ref="E529">_xlfn.IFS(Dashboard!$I$52='Control panel'!$G$69,'Control panel'!G74,Dashboard!$I$52='Control panel'!$H$69,'Control panel'!H74,Dashboard!$I$52='Control panel'!$I$69,'Control panel'!I74)</f>
        <v>0</v>
      </c>
      <c r="F529" s="71"/>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29"/>
    </row>
    <row r="530" spans="1:40" outlineLevel="1" x14ac:dyDescent="0.25">
      <c r="A530" s="54"/>
      <c r="B530" s="14" t="s">
        <v>286</v>
      </c>
      <c r="C530" s="14"/>
      <c r="D530" s="70" t="s">
        <v>368</v>
      </c>
      <c r="E530" s="211" cm="1">
        <f t="array" ref="E530">_xlfn.IFS(Dashboard!$I$52='Control panel'!$G$69,'Control panel'!G75,Dashboard!$I$52='Control panel'!$H$69,'Control panel'!H75,Dashboard!$I$52='Control panel'!$I$69,'Control panel'!I75)</f>
        <v>0</v>
      </c>
      <c r="F530" s="71"/>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29"/>
    </row>
    <row r="531" spans="1:40" outlineLevel="1" x14ac:dyDescent="0.25">
      <c r="A531" s="54"/>
      <c r="B531" s="14" t="s">
        <v>287</v>
      </c>
      <c r="C531" s="14"/>
      <c r="D531" s="70" t="s">
        <v>368</v>
      </c>
      <c r="E531" s="211" cm="1">
        <f t="array" ref="E531">_xlfn.IFS(Dashboard!$I$52='Control panel'!$G$69,'Control panel'!G76,Dashboard!$I$52='Control panel'!$H$69,'Control panel'!H76,Dashboard!$I$52='Control panel'!$I$69,'Control panel'!I76)</f>
        <v>7.7953456755433775E-2</v>
      </c>
      <c r="F531" s="71"/>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29"/>
    </row>
    <row r="532" spans="1:40" outlineLevel="1" x14ac:dyDescent="0.25">
      <c r="A532" s="54"/>
      <c r="B532" s="14" t="s">
        <v>288</v>
      </c>
      <c r="C532" s="14"/>
      <c r="D532" s="70" t="s">
        <v>269</v>
      </c>
      <c r="E532" s="211" cm="1">
        <f t="array" ref="E532">_xlfn.IFS(Dashboard!$I$52='Control panel'!$G$69,'Control panel'!G77,Dashboard!$I$52='Control panel'!$H$69,'Control panel'!H77,Dashboard!$I$52='Control panel'!$I$69,'Control panel'!I77)</f>
        <v>0</v>
      </c>
      <c r="F532" s="71"/>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29"/>
    </row>
    <row r="533" spans="1:40" outlineLevel="1" x14ac:dyDescent="0.25">
      <c r="A533" s="54"/>
      <c r="B533" s="14"/>
      <c r="C533" s="14"/>
      <c r="D533" s="70"/>
      <c r="E533" s="155"/>
      <c r="F533" s="71"/>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29"/>
    </row>
    <row r="534" spans="1:40" outlineLevel="1" x14ac:dyDescent="0.25">
      <c r="A534" s="54"/>
      <c r="B534" s="20" t="s">
        <v>30</v>
      </c>
      <c r="C534" s="172"/>
      <c r="D534" s="70"/>
      <c r="E534" s="157"/>
      <c r="F534" s="71"/>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29"/>
    </row>
    <row r="535" spans="1:40" outlineLevel="1" x14ac:dyDescent="0.25">
      <c r="A535" s="54"/>
      <c r="B535" s="14" t="s">
        <v>283</v>
      </c>
      <c r="C535" s="14"/>
      <c r="D535" s="70" t="s">
        <v>368</v>
      </c>
      <c r="E535" s="155">
        <v>0</v>
      </c>
      <c r="F535" s="71"/>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29"/>
    </row>
    <row r="536" spans="1:40" outlineLevel="1" x14ac:dyDescent="0.25">
      <c r="A536" s="54"/>
      <c r="B536" s="14" t="s">
        <v>284</v>
      </c>
      <c r="C536" s="14"/>
      <c r="D536" s="70" t="s">
        <v>368</v>
      </c>
      <c r="E536" s="173">
        <f>E448</f>
        <v>0</v>
      </c>
      <c r="F536" s="71"/>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29"/>
    </row>
    <row r="537" spans="1:40" outlineLevel="1" x14ac:dyDescent="0.25">
      <c r="A537" s="54"/>
      <c r="B537" s="14" t="s">
        <v>285</v>
      </c>
      <c r="C537" s="14"/>
      <c r="D537" s="70" t="s">
        <v>368</v>
      </c>
      <c r="E537" s="155">
        <v>0</v>
      </c>
      <c r="F537" s="71"/>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29"/>
    </row>
    <row r="538" spans="1:40" outlineLevel="1" x14ac:dyDescent="0.25">
      <c r="A538" s="54"/>
      <c r="B538" s="14" t="s">
        <v>220</v>
      </c>
      <c r="C538" s="14"/>
      <c r="D538" s="70" t="s">
        <v>368</v>
      </c>
      <c r="E538" s="155">
        <v>0</v>
      </c>
      <c r="F538" s="71"/>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29"/>
    </row>
    <row r="539" spans="1:40" outlineLevel="1" x14ac:dyDescent="0.25">
      <c r="A539" s="54"/>
      <c r="B539" s="14" t="s">
        <v>212</v>
      </c>
      <c r="C539" s="14"/>
      <c r="D539" s="70" t="s">
        <v>368</v>
      </c>
      <c r="E539" s="155">
        <v>0</v>
      </c>
      <c r="F539" s="71"/>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29"/>
    </row>
    <row r="540" spans="1:40" outlineLevel="1" x14ac:dyDescent="0.25">
      <c r="A540" s="54"/>
      <c r="B540" s="14" t="s">
        <v>286</v>
      </c>
      <c r="C540" s="14"/>
      <c r="D540" s="70" t="s">
        <v>368</v>
      </c>
      <c r="E540" s="155">
        <v>0</v>
      </c>
      <c r="F540" s="71"/>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29"/>
    </row>
    <row r="541" spans="1:40" outlineLevel="1" x14ac:dyDescent="0.25">
      <c r="A541" s="54"/>
      <c r="B541" s="14" t="s">
        <v>287</v>
      </c>
      <c r="C541" s="14"/>
      <c r="D541" s="70" t="s">
        <v>368</v>
      </c>
      <c r="E541" s="155">
        <v>0</v>
      </c>
      <c r="F541" s="71"/>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29"/>
    </row>
    <row r="542" spans="1:40" outlineLevel="1" x14ac:dyDescent="0.25">
      <c r="A542" s="54"/>
      <c r="B542" s="14" t="s">
        <v>288</v>
      </c>
      <c r="C542" s="14"/>
      <c r="D542" s="70" t="s">
        <v>269</v>
      </c>
      <c r="E542" s="155">
        <v>0</v>
      </c>
      <c r="F542" s="71"/>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29"/>
    </row>
    <row r="543" spans="1:40" outlineLevel="1" x14ac:dyDescent="0.25">
      <c r="A543" s="54"/>
      <c r="B543" s="14"/>
      <c r="C543" s="15"/>
      <c r="D543" s="15"/>
      <c r="E543" s="16"/>
      <c r="F543" s="14"/>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29"/>
    </row>
    <row r="544" spans="1:40" outlineLevel="1" x14ac:dyDescent="0.25">
      <c r="A544" s="54"/>
      <c r="B544" s="14"/>
      <c r="C544" s="14"/>
      <c r="D544" s="15"/>
      <c r="E544" s="16"/>
      <c r="F544" s="14"/>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29"/>
    </row>
    <row r="545" spans="1:40" x14ac:dyDescent="0.25">
      <c r="A545" s="36"/>
      <c r="B545" s="34" t="s">
        <v>174</v>
      </c>
      <c r="C545" s="36"/>
      <c r="D545" s="36"/>
      <c r="E545" s="36"/>
      <c r="F545" s="3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7"/>
    </row>
    <row r="546" spans="1:40" outlineLevel="1" x14ac:dyDescent="0.25">
      <c r="A546" s="54"/>
      <c r="B546" s="14"/>
      <c r="C546" s="14"/>
      <c r="D546" s="15"/>
      <c r="E546" s="16"/>
      <c r="F546" s="14"/>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29"/>
    </row>
    <row r="547" spans="1:40" outlineLevel="1" x14ac:dyDescent="0.25">
      <c r="A547" s="54"/>
      <c r="B547" s="14" t="s">
        <v>359</v>
      </c>
      <c r="C547" s="14"/>
      <c r="D547" s="15" t="s">
        <v>112</v>
      </c>
      <c r="E547" s="16"/>
      <c r="F547" s="14"/>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29"/>
    </row>
    <row r="548" spans="1:40" outlineLevel="1" x14ac:dyDescent="0.25">
      <c r="A548" s="54"/>
      <c r="B548" s="14" t="s">
        <v>113</v>
      </c>
      <c r="C548" s="14"/>
      <c r="D548" s="15" t="s">
        <v>114</v>
      </c>
      <c r="E548" s="16"/>
      <c r="F548" s="14"/>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29"/>
    </row>
    <row r="549" spans="1:40" outlineLevel="1" x14ac:dyDescent="0.25">
      <c r="A549" s="54"/>
      <c r="B549" s="14" t="s">
        <v>370</v>
      </c>
      <c r="C549" s="14"/>
      <c r="D549" s="15" t="s">
        <v>116</v>
      </c>
      <c r="E549" s="16"/>
      <c r="F549" s="14"/>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29"/>
    </row>
    <row r="550" spans="1:40" outlineLevel="1" x14ac:dyDescent="0.25">
      <c r="A550" s="54"/>
      <c r="B550" s="14" t="s">
        <v>360</v>
      </c>
      <c r="C550" s="14"/>
      <c r="D550" s="15" t="s">
        <v>361</v>
      </c>
      <c r="E550" s="16"/>
      <c r="F550" s="14"/>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29"/>
    </row>
    <row r="551" spans="1:40" outlineLevel="1" x14ac:dyDescent="0.25">
      <c r="A551" s="54"/>
      <c r="B551" s="14" t="s">
        <v>362</v>
      </c>
      <c r="C551" s="14"/>
      <c r="D551" s="15" t="s">
        <v>363</v>
      </c>
      <c r="E551" s="16"/>
      <c r="F551" s="14"/>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29"/>
    </row>
    <row r="552" spans="1:40" outlineLevel="1" x14ac:dyDescent="0.25">
      <c r="A552" s="54"/>
      <c r="B552" s="96" t="s">
        <v>364</v>
      </c>
      <c r="C552" s="14"/>
      <c r="D552" s="15"/>
      <c r="E552" s="16"/>
      <c r="F552" s="14"/>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29"/>
    </row>
    <row r="553" spans="1:40" outlineLevel="1" x14ac:dyDescent="0.25">
      <c r="A553" s="54"/>
      <c r="B553" s="14" t="s">
        <v>365</v>
      </c>
      <c r="C553" t="s">
        <v>653</v>
      </c>
      <c r="D553" s="15" t="s">
        <v>366</v>
      </c>
      <c r="E553" s="16">
        <v>40</v>
      </c>
      <c r="F553" s="14"/>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29"/>
    </row>
    <row r="554" spans="1:40" outlineLevel="1" x14ac:dyDescent="0.25">
      <c r="A554" s="54"/>
      <c r="B554" s="14"/>
      <c r="C554" s="15"/>
      <c r="D554" s="15"/>
      <c r="E554" s="16"/>
      <c r="F554" s="14"/>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29"/>
    </row>
    <row r="555" spans="1:40" outlineLevel="1" x14ac:dyDescent="0.25">
      <c r="A555" s="54"/>
      <c r="B555" s="20" t="s">
        <v>367</v>
      </c>
      <c r="C555" s="172"/>
      <c r="D555" s="70"/>
      <c r="E555" s="157"/>
      <c r="F555" s="71"/>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29"/>
    </row>
    <row r="556" spans="1:40" outlineLevel="1" x14ac:dyDescent="0.25">
      <c r="A556" s="54"/>
      <c r="B556" s="14" t="s">
        <v>283</v>
      </c>
      <c r="C556" s="14" t="s">
        <v>243</v>
      </c>
      <c r="D556" s="70" t="s">
        <v>368</v>
      </c>
      <c r="E556" s="255" cm="1">
        <f t="array" ref="E556">_xlfn.IFS(Dashboard!$I$62='Control panel'!$J$55,'Control panel'!J56,Dashboard!$I$62='Control panel'!$K$55,'Control panel'!K56,Dashboard!$I$62='Control panel'!$L$55,'Control panel'!L56)</f>
        <v>3.0107355222942198</v>
      </c>
      <c r="F556" s="71"/>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29"/>
    </row>
    <row r="557" spans="1:40" outlineLevel="1" x14ac:dyDescent="0.25">
      <c r="A557" s="54"/>
      <c r="B557" s="14" t="s">
        <v>284</v>
      </c>
      <c r="C557" s="14" t="s">
        <v>243</v>
      </c>
      <c r="D557" s="70" t="s">
        <v>368</v>
      </c>
      <c r="E557" s="255" cm="1">
        <f t="array" ref="E557">_xlfn.IFS(Dashboard!$I$62='Control panel'!$J$55,'Control panel'!J57,Dashboard!$I$62='Control panel'!$K$55,'Control panel'!K57,Dashboard!$I$62='Control panel'!$L$55,'Control panel'!L57)</f>
        <v>2256.5026878869471</v>
      </c>
      <c r="F557" s="71"/>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29"/>
    </row>
    <row r="558" spans="1:40" outlineLevel="1" x14ac:dyDescent="0.25">
      <c r="A558" s="54"/>
      <c r="B558" s="14" t="s">
        <v>285</v>
      </c>
      <c r="C558" s="14" t="s">
        <v>243</v>
      </c>
      <c r="D558" s="70" t="s">
        <v>368</v>
      </c>
      <c r="E558" s="255" cm="1">
        <f t="array" ref="E558">_xlfn.IFS(Dashboard!$I$62='Control panel'!$J$55,'Control panel'!J58,Dashboard!$I$62='Control panel'!$K$55,'Control panel'!K58,Dashboard!$I$62='Control panel'!$L$55,'Control panel'!L58)</f>
        <v>0.24674863588574203</v>
      </c>
      <c r="F558" s="71"/>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29"/>
    </row>
    <row r="559" spans="1:40" outlineLevel="1" x14ac:dyDescent="0.25">
      <c r="A559" s="54"/>
      <c r="B559" s="14" t="s">
        <v>220</v>
      </c>
      <c r="C559" s="14" t="s">
        <v>243</v>
      </c>
      <c r="D559" s="70" t="s">
        <v>368</v>
      </c>
      <c r="E559" s="255" cm="1">
        <f t="array" ref="E559">_xlfn.IFS(Dashboard!$I$62='Control panel'!$J$55,'Control panel'!J59,Dashboard!$I$62='Control panel'!$K$55,'Control panel'!K59,Dashboard!$I$62='Control panel'!$L$55,'Control panel'!L59)</f>
        <v>10.386979165916609</v>
      </c>
      <c r="F559" s="71"/>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29"/>
    </row>
    <row r="560" spans="1:40" outlineLevel="1" x14ac:dyDescent="0.25">
      <c r="A560" s="54"/>
      <c r="B560" s="14" t="s">
        <v>212</v>
      </c>
      <c r="C560" s="14" t="s">
        <v>243</v>
      </c>
      <c r="D560" s="70" t="s">
        <v>368</v>
      </c>
      <c r="E560" s="255" cm="1">
        <f t="array" ref="E560">_xlfn.IFS(Dashboard!$I$62='Control panel'!$J$55,'Control panel'!J60,Dashboard!$I$62='Control panel'!$K$55,'Control panel'!K60,Dashboard!$I$62='Control panel'!$L$55,'Control panel'!L60)</f>
        <v>1.200162949787418</v>
      </c>
      <c r="F560" s="71"/>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29"/>
    </row>
    <row r="561" spans="1:40" outlineLevel="1" x14ac:dyDescent="0.25">
      <c r="A561" s="54"/>
      <c r="B561" s="14" t="s">
        <v>286</v>
      </c>
      <c r="C561" s="14" t="s">
        <v>243</v>
      </c>
      <c r="D561" s="70" t="s">
        <v>368</v>
      </c>
      <c r="E561" s="255" cm="1">
        <f t="array" ref="E561">_xlfn.IFS(Dashboard!$I$62='Control panel'!$J$55,'Control panel'!J61,Dashboard!$I$62='Control panel'!$K$55,'Control panel'!K61,Dashboard!$I$62='Control panel'!$L$55,'Control panel'!L61)</f>
        <v>0.28863348804976247</v>
      </c>
      <c r="F561" s="71"/>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29"/>
    </row>
    <row r="562" spans="1:40" outlineLevel="1" x14ac:dyDescent="0.25">
      <c r="A562" s="54"/>
      <c r="B562" s="14" t="s">
        <v>287</v>
      </c>
      <c r="C562" s="14" t="s">
        <v>243</v>
      </c>
      <c r="D562" s="70" t="s">
        <v>368</v>
      </c>
      <c r="E562" s="255" cm="1">
        <f t="array" ref="E562">_xlfn.IFS(Dashboard!$I$62='Control panel'!$J$55,'Control panel'!J62,Dashboard!$I$62='Control panel'!$K$55,'Control panel'!K62,Dashboard!$I$62='Control panel'!$L$55,'Control panel'!L62)</f>
        <v>4.1011833239969993E-2</v>
      </c>
      <c r="F562" s="71"/>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29"/>
    </row>
    <row r="563" spans="1:40" outlineLevel="1" x14ac:dyDescent="0.25">
      <c r="A563" s="54"/>
      <c r="B563" s="14" t="s">
        <v>288</v>
      </c>
      <c r="C563" s="14" t="s">
        <v>243</v>
      </c>
      <c r="D563" s="70" t="s">
        <v>269</v>
      </c>
      <c r="E563" s="255" cm="1">
        <f t="array" ref="E563">_xlfn.IFS(Dashboard!$I$62='Control panel'!$J$55,'Control panel'!J63,Dashboard!$I$62='Control panel'!$K$55,'Control panel'!K63,Dashboard!$I$62='Control panel'!$L$55,'Control panel'!L63)/100</f>
        <v>0.84764946020722265</v>
      </c>
      <c r="F563" s="71"/>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29"/>
    </row>
    <row r="564" spans="1:40" outlineLevel="1" x14ac:dyDescent="0.25">
      <c r="A564" s="54"/>
      <c r="B564" s="14"/>
      <c r="C564" s="14"/>
      <c r="D564" s="70"/>
      <c r="E564" s="255"/>
      <c r="F564" s="71"/>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29"/>
    </row>
    <row r="565" spans="1:40" outlineLevel="1" x14ac:dyDescent="0.25">
      <c r="A565" s="54"/>
      <c r="B565" s="20" t="s">
        <v>369</v>
      </c>
      <c r="C565" s="14"/>
      <c r="D565" s="70"/>
      <c r="E565" s="199"/>
      <c r="F565" s="71"/>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29"/>
    </row>
    <row r="566" spans="1:40" outlineLevel="1" x14ac:dyDescent="0.25">
      <c r="A566" s="54"/>
      <c r="B566" s="14" t="s">
        <v>283</v>
      </c>
      <c r="C566" s="14"/>
      <c r="D566" s="70" t="s">
        <v>368</v>
      </c>
      <c r="E566" s="211">
        <f t="shared" ref="E566:E573" si="19">E556*(1-$E171)</f>
        <v>3.0107355222942198</v>
      </c>
      <c r="F566" s="71"/>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29"/>
    </row>
    <row r="567" spans="1:40" outlineLevel="1" x14ac:dyDescent="0.25">
      <c r="A567" s="54"/>
      <c r="B567" s="14" t="s">
        <v>284</v>
      </c>
      <c r="C567" s="14"/>
      <c r="D567" s="70" t="s">
        <v>368</v>
      </c>
      <c r="E567" s="211">
        <f t="shared" si="19"/>
        <v>834.90599451817047</v>
      </c>
      <c r="F567" s="71"/>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29"/>
    </row>
    <row r="568" spans="1:40" outlineLevel="1" x14ac:dyDescent="0.25">
      <c r="A568" s="54"/>
      <c r="B568" s="14" t="s">
        <v>285</v>
      </c>
      <c r="C568" s="14"/>
      <c r="D568" s="70" t="s">
        <v>368</v>
      </c>
      <c r="E568" s="211">
        <f t="shared" si="19"/>
        <v>0.24674863588574203</v>
      </c>
      <c r="F568" s="71"/>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29"/>
    </row>
    <row r="569" spans="1:40" outlineLevel="1" x14ac:dyDescent="0.25">
      <c r="A569" s="54"/>
      <c r="B569" s="14" t="s">
        <v>220</v>
      </c>
      <c r="C569" s="14"/>
      <c r="D569" s="70" t="s">
        <v>368</v>
      </c>
      <c r="E569" s="211">
        <f t="shared" si="19"/>
        <v>10.386979165916609</v>
      </c>
      <c r="F569" s="71"/>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29"/>
    </row>
    <row r="570" spans="1:40" outlineLevel="1" x14ac:dyDescent="0.25">
      <c r="A570" s="54"/>
      <c r="B570" s="14" t="s">
        <v>212</v>
      </c>
      <c r="C570" s="14"/>
      <c r="D570" s="70" t="s">
        <v>368</v>
      </c>
      <c r="E570" s="211">
        <f t="shared" si="19"/>
        <v>1.200162949787418</v>
      </c>
      <c r="F570" s="71"/>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29"/>
    </row>
    <row r="571" spans="1:40" outlineLevel="1" x14ac:dyDescent="0.25">
      <c r="A571" s="54"/>
      <c r="B571" s="14" t="s">
        <v>286</v>
      </c>
      <c r="C571" s="14"/>
      <c r="D571" s="70" t="s">
        <v>368</v>
      </c>
      <c r="E571" s="211">
        <f t="shared" si="19"/>
        <v>0.28863348804976247</v>
      </c>
      <c r="F571" s="71"/>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29"/>
    </row>
    <row r="572" spans="1:40" outlineLevel="1" x14ac:dyDescent="0.25">
      <c r="A572" s="54"/>
      <c r="B572" s="14" t="s">
        <v>287</v>
      </c>
      <c r="C572" s="14"/>
      <c r="D572" s="70" t="s">
        <v>368</v>
      </c>
      <c r="E572" s="211">
        <f t="shared" si="19"/>
        <v>4.1011833239969993E-2</v>
      </c>
      <c r="F572" s="71"/>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29"/>
    </row>
    <row r="573" spans="1:40" outlineLevel="1" x14ac:dyDescent="0.25">
      <c r="A573" s="54"/>
      <c r="B573" s="14" t="s">
        <v>288</v>
      </c>
      <c r="C573" s="14"/>
      <c r="D573" s="70" t="s">
        <v>269</v>
      </c>
      <c r="E573" s="211">
        <f t="shared" si="19"/>
        <v>0.84764946020722265</v>
      </c>
      <c r="F573" s="71"/>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29"/>
    </row>
    <row r="574" spans="1:40" outlineLevel="1" x14ac:dyDescent="0.25">
      <c r="A574" s="54"/>
      <c r="B574" s="14"/>
      <c r="C574" s="14"/>
      <c r="D574" s="70"/>
      <c r="E574" s="255"/>
      <c r="F574" s="71"/>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29"/>
    </row>
    <row r="575" spans="1:40" outlineLevel="1" x14ac:dyDescent="0.25">
      <c r="A575" s="54"/>
      <c r="B575" s="20" t="s">
        <v>371</v>
      </c>
      <c r="C575" s="14"/>
      <c r="D575" s="70"/>
      <c r="E575" s="199"/>
      <c r="F575" s="71"/>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29"/>
    </row>
    <row r="576" spans="1:40" outlineLevel="1" x14ac:dyDescent="0.25">
      <c r="A576" s="54"/>
      <c r="B576" s="14" t="s">
        <v>283</v>
      </c>
      <c r="C576" s="14"/>
      <c r="D576" s="70" t="s">
        <v>368</v>
      </c>
      <c r="E576" s="211">
        <f>E556*(1-$E$218)</f>
        <v>2.8981340137604161</v>
      </c>
      <c r="F576" s="71"/>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29"/>
    </row>
    <row r="577" spans="1:40" outlineLevel="1" x14ac:dyDescent="0.25">
      <c r="A577" s="54"/>
      <c r="B577" s="14" t="s">
        <v>284</v>
      </c>
      <c r="C577" s="14"/>
      <c r="D577" s="70" t="s">
        <v>368</v>
      </c>
      <c r="E577" s="211">
        <f>E557*(1-$E$219)</f>
        <v>2253.1179338551169</v>
      </c>
      <c r="F577" s="71"/>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29"/>
    </row>
    <row r="578" spans="1:40" outlineLevel="1" x14ac:dyDescent="0.25">
      <c r="A578" s="54"/>
      <c r="B578" s="14" t="s">
        <v>285</v>
      </c>
      <c r="C578" s="14"/>
      <c r="D578" s="70" t="s">
        <v>368</v>
      </c>
      <c r="E578" s="211">
        <f>E558*(1-$E$220)</f>
        <v>0.24674863588574203</v>
      </c>
      <c r="F578" s="71"/>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29"/>
    </row>
    <row r="579" spans="1:40" outlineLevel="1" x14ac:dyDescent="0.25">
      <c r="A579" s="54"/>
      <c r="B579" s="14" t="s">
        <v>220</v>
      </c>
      <c r="C579" s="14"/>
      <c r="D579" s="70" t="s">
        <v>368</v>
      </c>
      <c r="E579" s="211">
        <f>E559*(1-$E$221)</f>
        <v>10.386979165916609</v>
      </c>
      <c r="F579" s="71"/>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29"/>
    </row>
    <row r="580" spans="1:40" outlineLevel="1" x14ac:dyDescent="0.25">
      <c r="A580" s="54"/>
      <c r="B580" s="14" t="s">
        <v>212</v>
      </c>
      <c r="C580" s="14"/>
      <c r="D580" s="70" t="s">
        <v>368</v>
      </c>
      <c r="E580" s="211">
        <f>E560*(1-$E$222)</f>
        <v>1.2494896470236807</v>
      </c>
      <c r="F580" s="71"/>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29"/>
    </row>
    <row r="581" spans="1:40" outlineLevel="1" x14ac:dyDescent="0.25">
      <c r="A581" s="54"/>
      <c r="B581" s="14" t="s">
        <v>286</v>
      </c>
      <c r="C581" s="14"/>
      <c r="D581" s="70" t="s">
        <v>368</v>
      </c>
      <c r="E581" s="211">
        <f>E561*(1-$E$223)</f>
        <v>0.19326898359812095</v>
      </c>
      <c r="F581" s="71"/>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29"/>
    </row>
    <row r="582" spans="1:40" outlineLevel="1" x14ac:dyDescent="0.25">
      <c r="A582" s="54"/>
      <c r="B582" s="14" t="s">
        <v>287</v>
      </c>
      <c r="C582" s="14"/>
      <c r="D582" s="70" t="s">
        <v>368</v>
      </c>
      <c r="E582" s="211">
        <f>E562*(1-$E$224)</f>
        <v>2.7461523537483906E-2</v>
      </c>
      <c r="F582" s="71"/>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29"/>
    </row>
    <row r="583" spans="1:40" outlineLevel="1" x14ac:dyDescent="0.25">
      <c r="A583" s="54"/>
      <c r="B583" s="14" t="s">
        <v>288</v>
      </c>
      <c r="C583" s="14"/>
      <c r="D583" s="70" t="s">
        <v>269</v>
      </c>
      <c r="E583" s="211">
        <f>E563*(1-$E$225)</f>
        <v>0.84764946020722265</v>
      </c>
      <c r="F583" s="71"/>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29"/>
    </row>
    <row r="584" spans="1:40" outlineLevel="1" x14ac:dyDescent="0.25">
      <c r="A584" s="54"/>
      <c r="B584" s="14"/>
      <c r="C584" s="15"/>
      <c r="D584" s="15"/>
      <c r="E584" s="16"/>
      <c r="F584" s="14"/>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29"/>
    </row>
    <row r="585" spans="1:40" outlineLevel="1" x14ac:dyDescent="0.25">
      <c r="A585" s="54"/>
      <c r="B585" s="20" t="s">
        <v>26</v>
      </c>
      <c r="C585" s="172"/>
      <c r="D585" s="70"/>
      <c r="E585" s="157"/>
      <c r="F585" s="71"/>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29"/>
    </row>
    <row r="586" spans="1:40" outlineLevel="1" x14ac:dyDescent="0.25">
      <c r="A586" s="54"/>
      <c r="B586" s="14" t="s">
        <v>283</v>
      </c>
      <c r="C586" s="14"/>
      <c r="D586" s="70" t="s">
        <v>368</v>
      </c>
      <c r="E586" s="173" cm="1">
        <f t="array" ref="E586">_xlfn.IFS(Dashboard!$I$62='Control panel'!$J$69,'Control panel'!J70,Dashboard!$I$62='Control panel'!$K$69,'Control panel'!K70,Dashboard!$I$62='Control panel'!$L$69,'Control panel'!L70)</f>
        <v>0</v>
      </c>
      <c r="F586" s="71"/>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29"/>
    </row>
    <row r="587" spans="1:40" outlineLevel="1" x14ac:dyDescent="0.25">
      <c r="A587" s="54"/>
      <c r="B587" s="14" t="s">
        <v>284</v>
      </c>
      <c r="C587" s="14"/>
      <c r="D587" s="70" t="s">
        <v>352</v>
      </c>
      <c r="E587" s="173" cm="1">
        <f t="array" ref="E587">_xlfn.IFS(Dashboard!$I$62='Control panel'!$J$69,'Control panel'!J71,Dashboard!$I$62='Control panel'!$K$69,'Control panel'!K71,Dashboard!$I$62='Control panel'!$L$69,'Control panel'!L71)</f>
        <v>0.14558901827984225</v>
      </c>
      <c r="F587" s="71"/>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29"/>
    </row>
    <row r="588" spans="1:40" outlineLevel="1" x14ac:dyDescent="0.25">
      <c r="A588" s="54"/>
      <c r="B588" s="14" t="s">
        <v>285</v>
      </c>
      <c r="C588" s="14"/>
      <c r="D588" s="70" t="s">
        <v>368</v>
      </c>
      <c r="E588" s="173" cm="1">
        <f t="array" ref="E588">_xlfn.IFS(Dashboard!$I$62='Control panel'!$J$69,'Control panel'!J72,Dashboard!$I$62='Control panel'!$K$69,'Control panel'!K72,Dashboard!$I$62='Control panel'!$L$69,'Control panel'!L72)</f>
        <v>0</v>
      </c>
      <c r="F588" s="71"/>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29"/>
    </row>
    <row r="589" spans="1:40" outlineLevel="1" x14ac:dyDescent="0.25">
      <c r="A589" s="54"/>
      <c r="B589" s="14" t="s">
        <v>220</v>
      </c>
      <c r="C589" s="14"/>
      <c r="D589" s="70" t="s">
        <v>368</v>
      </c>
      <c r="E589" s="173" cm="1">
        <f t="array" ref="E589">_xlfn.IFS(Dashboard!$I$62='Control panel'!$J$69,'Control panel'!J73,Dashboard!$I$62='Control panel'!$K$69,'Control panel'!K73,Dashboard!$I$62='Control panel'!$L$69,'Control panel'!L73)</f>
        <v>0</v>
      </c>
      <c r="F589" s="71"/>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29"/>
    </row>
    <row r="590" spans="1:40" outlineLevel="1" x14ac:dyDescent="0.25">
      <c r="A590" s="54"/>
      <c r="B590" s="14" t="s">
        <v>212</v>
      </c>
      <c r="C590" s="14"/>
      <c r="D590" s="70" t="s">
        <v>368</v>
      </c>
      <c r="E590" s="173" cm="1">
        <f t="array" ref="E590">_xlfn.IFS(Dashboard!$I$62='Control panel'!$J$69,'Control panel'!J74,Dashboard!$I$62='Control panel'!$K$69,'Control panel'!K74,Dashboard!$I$62='Control panel'!$L$69,'Control panel'!L74)</f>
        <v>0</v>
      </c>
      <c r="F590" s="71"/>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29"/>
    </row>
    <row r="591" spans="1:40" outlineLevel="1" x14ac:dyDescent="0.25">
      <c r="A591" s="54"/>
      <c r="B591" s="14" t="s">
        <v>286</v>
      </c>
      <c r="C591" s="14"/>
      <c r="D591" s="70" t="s">
        <v>368</v>
      </c>
      <c r="E591" s="173" cm="1">
        <f t="array" ref="E591">_xlfn.IFS(Dashboard!$I$62='Control panel'!$J$69,'Control panel'!J75,Dashboard!$I$62='Control panel'!$K$69,'Control panel'!K75,Dashboard!$I$62='Control panel'!$L$69,'Control panel'!L75)</f>
        <v>0</v>
      </c>
      <c r="F591" s="71"/>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29"/>
    </row>
    <row r="592" spans="1:40" outlineLevel="1" x14ac:dyDescent="0.25">
      <c r="A592" s="54"/>
      <c r="B592" s="14" t="s">
        <v>287</v>
      </c>
      <c r="C592" s="14"/>
      <c r="D592" s="70" t="s">
        <v>368</v>
      </c>
      <c r="E592" s="173" cm="1">
        <f t="array" ref="E592">_xlfn.IFS(Dashboard!$I$62='Control panel'!$J$69,'Control panel'!J76,Dashboard!$I$62='Control panel'!$K$69,'Control panel'!K76,Dashboard!$I$62='Control panel'!$L$69,'Control panel'!L76)</f>
        <v>7.7953456755433775E-2</v>
      </c>
      <c r="F592" s="71"/>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29"/>
    </row>
    <row r="593" spans="1:40" outlineLevel="1" x14ac:dyDescent="0.25">
      <c r="A593" s="54"/>
      <c r="B593" s="14" t="s">
        <v>288</v>
      </c>
      <c r="C593" s="14"/>
      <c r="D593" s="70" t="s">
        <v>269</v>
      </c>
      <c r="E593" s="173" cm="1">
        <f t="array" ref="E593">_xlfn.IFS(Dashboard!$I$62='Control panel'!$J$69,'Control panel'!J77,Dashboard!$I$62='Control panel'!$K$69,'Control panel'!K77,Dashboard!$I$62='Control panel'!$L$69,'Control panel'!L77)</f>
        <v>0</v>
      </c>
      <c r="F593" s="71"/>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29"/>
    </row>
    <row r="594" spans="1:40" outlineLevel="1" x14ac:dyDescent="0.25">
      <c r="A594" s="54"/>
      <c r="B594" s="14"/>
      <c r="C594" s="14"/>
      <c r="D594" s="70"/>
      <c r="E594" s="155"/>
      <c r="F594" s="71"/>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29"/>
    </row>
    <row r="595" spans="1:40" outlineLevel="1" x14ac:dyDescent="0.25">
      <c r="A595" s="54"/>
      <c r="B595" s="20" t="s">
        <v>28</v>
      </c>
      <c r="C595" s="172"/>
      <c r="D595" s="70"/>
      <c r="E595" s="155"/>
      <c r="F595" s="71"/>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29"/>
    </row>
    <row r="596" spans="1:40" outlineLevel="1" x14ac:dyDescent="0.25">
      <c r="A596" s="54"/>
      <c r="B596" s="14" t="s">
        <v>283</v>
      </c>
      <c r="C596" s="14"/>
      <c r="D596" s="70" t="s">
        <v>368</v>
      </c>
      <c r="E596" s="173" cm="1">
        <f t="array" ref="E596">_xlfn.IFS(Dashboard!$I$62='Control panel'!$J$69,'Control panel'!J70,Dashboard!$I$62='Control panel'!$K$69,'Control panel'!K70,Dashboard!$I$62='Control panel'!$L$69,'Control panel'!L70)</f>
        <v>0</v>
      </c>
      <c r="F596" s="71"/>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29"/>
    </row>
    <row r="597" spans="1:40" outlineLevel="1" x14ac:dyDescent="0.25">
      <c r="A597" s="54"/>
      <c r="B597" s="14" t="s">
        <v>284</v>
      </c>
      <c r="C597" s="14"/>
      <c r="D597" s="70" t="s">
        <v>352</v>
      </c>
      <c r="E597" s="173" cm="1">
        <f t="array" ref="E597">_xlfn.IFS(Dashboard!$I$62='Control panel'!$J$69,'Control panel'!J71,Dashboard!$I$62='Control panel'!$K$69,'Control panel'!K71,Dashboard!$I$62='Control panel'!$L$69,'Control panel'!L71)</f>
        <v>0.14558901827984225</v>
      </c>
      <c r="F597" s="71"/>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29"/>
    </row>
    <row r="598" spans="1:40" outlineLevel="1" x14ac:dyDescent="0.25">
      <c r="A598" s="54"/>
      <c r="B598" s="14" t="s">
        <v>285</v>
      </c>
      <c r="C598" s="14"/>
      <c r="D598" s="70" t="s">
        <v>368</v>
      </c>
      <c r="E598" s="173" cm="1">
        <f t="array" ref="E598">_xlfn.IFS(Dashboard!$I$62='Control panel'!$J$69,'Control panel'!J72,Dashboard!$I$62='Control panel'!$K$69,'Control panel'!K72,Dashboard!$I$62='Control panel'!$L$69,'Control panel'!L72)</f>
        <v>0</v>
      </c>
      <c r="F598" s="71"/>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29"/>
    </row>
    <row r="599" spans="1:40" outlineLevel="1" x14ac:dyDescent="0.25">
      <c r="A599" s="54"/>
      <c r="B599" s="14" t="s">
        <v>220</v>
      </c>
      <c r="C599" s="14"/>
      <c r="D599" s="70" t="s">
        <v>368</v>
      </c>
      <c r="E599" s="173" cm="1">
        <f t="array" ref="E599">_xlfn.IFS(Dashboard!$I$62='Control panel'!$J$69,'Control panel'!J73,Dashboard!$I$62='Control panel'!$K$69,'Control panel'!K73,Dashboard!$I$62='Control panel'!$L$69,'Control panel'!L73)</f>
        <v>0</v>
      </c>
      <c r="F599" s="71"/>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29"/>
    </row>
    <row r="600" spans="1:40" outlineLevel="1" x14ac:dyDescent="0.25">
      <c r="A600" s="54"/>
      <c r="B600" s="14" t="s">
        <v>212</v>
      </c>
      <c r="C600" s="14"/>
      <c r="D600" s="70" t="s">
        <v>368</v>
      </c>
      <c r="E600" s="173" cm="1">
        <f t="array" ref="E600">_xlfn.IFS(Dashboard!$I$62='Control panel'!$J$69,'Control panel'!J74,Dashboard!$I$62='Control panel'!$K$69,'Control panel'!K74,Dashboard!$I$62='Control panel'!$L$69,'Control panel'!L74)</f>
        <v>0</v>
      </c>
      <c r="F600" s="71"/>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29"/>
    </row>
    <row r="601" spans="1:40" outlineLevel="1" x14ac:dyDescent="0.25">
      <c r="A601" s="54"/>
      <c r="B601" s="14" t="s">
        <v>286</v>
      </c>
      <c r="C601" s="14"/>
      <c r="D601" s="70" t="s">
        <v>368</v>
      </c>
      <c r="E601" s="173" cm="1">
        <f t="array" ref="E601">_xlfn.IFS(Dashboard!$I$62='Control panel'!$J$69,'Control panel'!J75,Dashboard!$I$62='Control panel'!$K$69,'Control panel'!K75,Dashboard!$I$62='Control panel'!$L$69,'Control panel'!L75)</f>
        <v>0</v>
      </c>
      <c r="F601" s="71"/>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29"/>
    </row>
    <row r="602" spans="1:40" outlineLevel="1" x14ac:dyDescent="0.25">
      <c r="A602" s="54"/>
      <c r="B602" s="14" t="s">
        <v>287</v>
      </c>
      <c r="C602" s="14"/>
      <c r="D602" s="70" t="s">
        <v>368</v>
      </c>
      <c r="E602" s="173" cm="1">
        <f t="array" ref="E602">_xlfn.IFS(Dashboard!$I$62='Control panel'!$J$69,'Control panel'!J76,Dashboard!$I$62='Control panel'!$K$69,'Control panel'!K76,Dashboard!$I$62='Control panel'!$L$69,'Control panel'!L76)</f>
        <v>7.7953456755433775E-2</v>
      </c>
      <c r="F602" s="71"/>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29"/>
    </row>
    <row r="603" spans="1:40" outlineLevel="1" x14ac:dyDescent="0.25">
      <c r="A603" s="54"/>
      <c r="B603" s="14" t="s">
        <v>288</v>
      </c>
      <c r="C603" s="14"/>
      <c r="D603" s="70" t="s">
        <v>269</v>
      </c>
      <c r="E603" s="173" cm="1">
        <f t="array" ref="E603">_xlfn.IFS(Dashboard!$I$62='Control panel'!$J$69,'Control panel'!J77,Dashboard!$I$62='Control panel'!$K$69,'Control panel'!K77,Dashboard!$I$62='Control panel'!$L$69,'Control panel'!L77)</f>
        <v>0</v>
      </c>
      <c r="F603" s="71"/>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29"/>
    </row>
    <row r="604" spans="1:40" outlineLevel="1" x14ac:dyDescent="0.25">
      <c r="A604" s="54"/>
      <c r="B604" s="14"/>
      <c r="C604" s="14"/>
      <c r="D604" s="70"/>
      <c r="E604" s="155"/>
      <c r="F604" s="71"/>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29"/>
    </row>
    <row r="605" spans="1:40" outlineLevel="1" x14ac:dyDescent="0.25">
      <c r="A605" s="54"/>
      <c r="B605" s="20" t="s">
        <v>30</v>
      </c>
      <c r="C605" s="172"/>
      <c r="D605" s="70"/>
      <c r="E605" s="157"/>
      <c r="F605" s="71"/>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29"/>
    </row>
    <row r="606" spans="1:40" outlineLevel="1" x14ac:dyDescent="0.25">
      <c r="A606" s="54"/>
      <c r="B606" s="14" t="s">
        <v>283</v>
      </c>
      <c r="C606" s="14"/>
      <c r="D606" s="70" t="s">
        <v>368</v>
      </c>
      <c r="E606" s="155">
        <v>0</v>
      </c>
      <c r="F606" s="71"/>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29"/>
    </row>
    <row r="607" spans="1:40" outlineLevel="1" x14ac:dyDescent="0.25">
      <c r="A607" s="54"/>
      <c r="B607" s="14" t="s">
        <v>284</v>
      </c>
      <c r="C607" s="14"/>
      <c r="D607" s="70" t="s">
        <v>368</v>
      </c>
      <c r="E607" s="173">
        <f>E519</f>
        <v>0</v>
      </c>
      <c r="F607" s="71"/>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29"/>
    </row>
    <row r="608" spans="1:40" outlineLevel="1" x14ac:dyDescent="0.25">
      <c r="A608" s="54"/>
      <c r="B608" s="14" t="s">
        <v>285</v>
      </c>
      <c r="C608" s="14"/>
      <c r="D608" s="70" t="s">
        <v>368</v>
      </c>
      <c r="E608" s="155">
        <v>0</v>
      </c>
      <c r="F608" s="71"/>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29"/>
    </row>
    <row r="609" spans="1:40" outlineLevel="1" x14ac:dyDescent="0.25">
      <c r="A609" s="54"/>
      <c r="B609" s="14" t="s">
        <v>220</v>
      </c>
      <c r="C609" s="14"/>
      <c r="D609" s="70" t="s">
        <v>368</v>
      </c>
      <c r="E609" s="155">
        <v>0</v>
      </c>
      <c r="F609" s="71"/>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29"/>
    </row>
    <row r="610" spans="1:40" outlineLevel="1" x14ac:dyDescent="0.25">
      <c r="A610" s="54"/>
      <c r="B610" s="14" t="s">
        <v>212</v>
      </c>
      <c r="C610" s="14"/>
      <c r="D610" s="70" t="s">
        <v>368</v>
      </c>
      <c r="E610" s="155">
        <v>0</v>
      </c>
      <c r="F610" s="71"/>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29"/>
    </row>
    <row r="611" spans="1:40" outlineLevel="1" x14ac:dyDescent="0.25">
      <c r="A611" s="54"/>
      <c r="B611" s="14" t="s">
        <v>286</v>
      </c>
      <c r="C611" s="14"/>
      <c r="D611" s="70" t="s">
        <v>368</v>
      </c>
      <c r="E611" s="155">
        <v>0</v>
      </c>
      <c r="F611" s="71"/>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29"/>
    </row>
    <row r="612" spans="1:40" outlineLevel="1" x14ac:dyDescent="0.25">
      <c r="A612" s="54"/>
      <c r="B612" s="14" t="s">
        <v>287</v>
      </c>
      <c r="C612" s="14"/>
      <c r="D612" s="70" t="s">
        <v>368</v>
      </c>
      <c r="E612" s="155">
        <v>0</v>
      </c>
      <c r="F612" s="71"/>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29"/>
    </row>
    <row r="613" spans="1:40" outlineLevel="1" x14ac:dyDescent="0.25">
      <c r="A613" s="54"/>
      <c r="B613" s="14" t="s">
        <v>288</v>
      </c>
      <c r="C613" s="14"/>
      <c r="D613" s="70" t="s">
        <v>269</v>
      </c>
      <c r="E613" s="155">
        <v>0</v>
      </c>
      <c r="F613" s="71"/>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29"/>
    </row>
    <row r="614" spans="1:40" outlineLevel="1" x14ac:dyDescent="0.25">
      <c r="A614" s="54"/>
      <c r="B614" s="14"/>
      <c r="C614" s="15"/>
      <c r="D614" s="15"/>
      <c r="E614" s="16"/>
      <c r="F614" s="14"/>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29"/>
    </row>
    <row r="615" spans="1:40" x14ac:dyDescent="0.25">
      <c r="A615" s="36"/>
      <c r="B615" s="34" t="s">
        <v>372</v>
      </c>
      <c r="C615" s="36"/>
      <c r="D615" s="36"/>
      <c r="E615" s="36"/>
      <c r="F615" s="3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7"/>
    </row>
    <row r="616" spans="1:40" outlineLevel="1" x14ac:dyDescent="0.25">
      <c r="A616" s="54"/>
      <c r="B616" s="14" t="s">
        <v>359</v>
      </c>
      <c r="C616" s="15"/>
      <c r="D616" s="15" t="s">
        <v>112</v>
      </c>
      <c r="E616" s="158">
        <f>Dashboard!I69</f>
        <v>6</v>
      </c>
      <c r="F616" s="71"/>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29"/>
    </row>
    <row r="617" spans="1:40" outlineLevel="1" x14ac:dyDescent="0.25">
      <c r="A617" s="54"/>
      <c r="B617" s="14" t="s">
        <v>113</v>
      </c>
      <c r="C617" s="15"/>
      <c r="D617" s="15" t="s">
        <v>114</v>
      </c>
      <c r="E617" s="158">
        <f>Dashboard!I70</f>
        <v>2</v>
      </c>
      <c r="F617" s="71"/>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29"/>
    </row>
    <row r="618" spans="1:40" outlineLevel="1" x14ac:dyDescent="0.25">
      <c r="A618" s="54"/>
      <c r="B618" s="14" t="s">
        <v>370</v>
      </c>
      <c r="C618" s="15"/>
      <c r="D618" s="15" t="s">
        <v>116</v>
      </c>
      <c r="E618" s="158"/>
      <c r="F618" s="71"/>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29"/>
    </row>
    <row r="619" spans="1:40" outlineLevel="1" x14ac:dyDescent="0.25">
      <c r="A619" s="54"/>
      <c r="B619" s="14" t="s">
        <v>362</v>
      </c>
      <c r="C619" s="15"/>
      <c r="D619" s="15" t="s">
        <v>363</v>
      </c>
      <c r="E619" s="16">
        <f>5*52</f>
        <v>260</v>
      </c>
      <c r="F619" s="14"/>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29"/>
    </row>
    <row r="620" spans="1:40" outlineLevel="1" x14ac:dyDescent="0.25">
      <c r="A620" s="54"/>
      <c r="B620" s="14" t="s">
        <v>373</v>
      </c>
      <c r="C620" s="14"/>
      <c r="D620" s="15" t="s">
        <v>374</v>
      </c>
      <c r="E620" s="16">
        <v>1.51</v>
      </c>
      <c r="F620" s="14"/>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29"/>
    </row>
    <row r="621" spans="1:40" outlineLevel="1" x14ac:dyDescent="0.25">
      <c r="A621" s="54"/>
      <c r="B621" s="14"/>
      <c r="C621" s="14"/>
      <c r="D621" s="15"/>
      <c r="E621" s="16"/>
      <c r="F621" s="14"/>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29"/>
    </row>
    <row r="622" spans="1:40" outlineLevel="1" x14ac:dyDescent="0.25">
      <c r="A622" s="54"/>
      <c r="B622" s="37" t="s">
        <v>375</v>
      </c>
      <c r="C622" s="40"/>
      <c r="D622" s="38"/>
      <c r="E622" s="39"/>
      <c r="F622" s="40"/>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4"/>
    </row>
    <row r="623" spans="1:40" outlineLevel="1" x14ac:dyDescent="0.25">
      <c r="A623" s="54"/>
      <c r="B623" s="14" t="s">
        <v>376</v>
      </c>
      <c r="C623" s="14"/>
      <c r="D623" s="15"/>
      <c r="E623" s="16">
        <v>1.1499999999999999</v>
      </c>
      <c r="F623" s="14"/>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29"/>
    </row>
    <row r="624" spans="1:40" outlineLevel="1" x14ac:dyDescent="0.25">
      <c r="A624" s="54"/>
      <c r="B624" s="14" t="s">
        <v>377</v>
      </c>
      <c r="C624" s="14"/>
      <c r="D624" s="15"/>
      <c r="E624" s="16">
        <v>1.23</v>
      </c>
      <c r="F624" s="14"/>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29"/>
    </row>
    <row r="625" spans="1:40" outlineLevel="1" x14ac:dyDescent="0.25">
      <c r="A625" s="54"/>
      <c r="B625" s="14" t="s">
        <v>378</v>
      </c>
      <c r="C625" s="14"/>
      <c r="D625" s="15"/>
      <c r="E625" s="16">
        <v>1.35</v>
      </c>
      <c r="F625" s="14"/>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29"/>
    </row>
    <row r="626" spans="1:40" outlineLevel="1" x14ac:dyDescent="0.25">
      <c r="A626" s="54"/>
      <c r="B626" s="14" t="s">
        <v>379</v>
      </c>
      <c r="C626" s="14"/>
      <c r="D626" s="15"/>
      <c r="E626" s="16">
        <v>1.41</v>
      </c>
      <c r="F626" s="14"/>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29"/>
    </row>
    <row r="627" spans="1:40" outlineLevel="1" x14ac:dyDescent="0.25">
      <c r="A627" s="54"/>
      <c r="B627" s="14" t="s">
        <v>380</v>
      </c>
      <c r="C627" s="14"/>
      <c r="D627" s="15"/>
      <c r="E627" s="16">
        <v>1.62</v>
      </c>
      <c r="F627" s="14"/>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29"/>
    </row>
    <row r="628" spans="1:40" outlineLevel="1" x14ac:dyDescent="0.25">
      <c r="A628" s="54"/>
      <c r="B628" s="14" t="s">
        <v>381</v>
      </c>
      <c r="C628" s="14"/>
      <c r="D628" s="15"/>
      <c r="E628" s="16">
        <v>1.68</v>
      </c>
      <c r="F628" s="14"/>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29"/>
    </row>
    <row r="629" spans="1:40" outlineLevel="1" x14ac:dyDescent="0.25">
      <c r="A629" s="54"/>
      <c r="B629" s="14" t="s">
        <v>382</v>
      </c>
      <c r="C629" s="14"/>
      <c r="D629" s="15"/>
      <c r="E629" s="16">
        <v>2.13</v>
      </c>
      <c r="F629" s="14"/>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29"/>
    </row>
    <row r="630" spans="1:40" outlineLevel="1" x14ac:dyDescent="0.25">
      <c r="A630" s="54"/>
      <c r="B630" s="20" t="s">
        <v>383</v>
      </c>
      <c r="C630" s="20"/>
      <c r="D630" s="21"/>
      <c r="E630" s="48">
        <f>AVERAGE(E623:E629)</f>
        <v>1.51</v>
      </c>
      <c r="F630" s="14"/>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29"/>
    </row>
    <row r="631" spans="1:40" outlineLevel="1" x14ac:dyDescent="0.25">
      <c r="A631" s="54"/>
      <c r="B631" s="14"/>
      <c r="C631" s="14"/>
      <c r="D631" s="15"/>
      <c r="E631" s="16"/>
      <c r="F631" s="14"/>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29"/>
    </row>
    <row r="632" spans="1:40" outlineLevel="1" x14ac:dyDescent="0.25">
      <c r="A632" s="54"/>
      <c r="B632" s="14" t="s">
        <v>384</v>
      </c>
      <c r="C632" s="14"/>
      <c r="D632" s="15"/>
      <c r="E632" s="16"/>
      <c r="F632" s="14"/>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29"/>
    </row>
    <row r="633" spans="1:40" outlineLevel="1" x14ac:dyDescent="0.25">
      <c r="A633" s="54"/>
      <c r="B633" s="14" t="s">
        <v>283</v>
      </c>
      <c r="C633" s="14"/>
      <c r="D633" s="70" t="s">
        <v>368</v>
      </c>
      <c r="E633" s="155" cm="1">
        <f t="array" ref="E633:E640">TRANSPOSE('Bus research'!E168:L168)</f>
        <v>2.6375202808244103</v>
      </c>
      <c r="F633" s="14"/>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29"/>
    </row>
    <row r="634" spans="1:40" outlineLevel="1" x14ac:dyDescent="0.25">
      <c r="A634" s="54"/>
      <c r="B634" s="14" t="s">
        <v>284</v>
      </c>
      <c r="C634" s="14"/>
      <c r="D634" s="70" t="s">
        <v>368</v>
      </c>
      <c r="E634" s="155">
        <v>231.63813786582531</v>
      </c>
      <c r="F634" s="14"/>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29"/>
    </row>
    <row r="635" spans="1:40" outlineLevel="1" x14ac:dyDescent="0.25">
      <c r="A635" s="54"/>
      <c r="B635" s="14" t="s">
        <v>285</v>
      </c>
      <c r="C635" s="14"/>
      <c r="D635" s="70" t="s">
        <v>368</v>
      </c>
      <c r="E635" s="155">
        <v>0.17166394537127891</v>
      </c>
      <c r="F635" s="14"/>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29"/>
    </row>
    <row r="636" spans="1:40" outlineLevel="1" x14ac:dyDescent="0.25">
      <c r="A636" s="54"/>
      <c r="B636" s="14" t="s">
        <v>220</v>
      </c>
      <c r="C636" s="14"/>
      <c r="D636" s="70" t="s">
        <v>368</v>
      </c>
      <c r="E636" s="155">
        <v>0.43699871270386714</v>
      </c>
      <c r="F636" s="14"/>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29"/>
    </row>
    <row r="637" spans="1:40" outlineLevel="1" x14ac:dyDescent="0.25">
      <c r="A637" s="54"/>
      <c r="B637" s="14" t="s">
        <v>212</v>
      </c>
      <c r="C637" s="14"/>
      <c r="D637" s="70" t="s">
        <v>368</v>
      </c>
      <c r="E637" s="155">
        <v>0.12794648495232455</v>
      </c>
      <c r="F637" s="14"/>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29"/>
    </row>
    <row r="638" spans="1:40" outlineLevel="1" x14ac:dyDescent="0.25">
      <c r="A638" s="54"/>
      <c r="B638" s="14" t="s">
        <v>286</v>
      </c>
      <c r="C638" s="14"/>
      <c r="D638" s="70" t="s">
        <v>368</v>
      </c>
      <c r="E638" s="155">
        <v>2.5684219374862288E-2</v>
      </c>
      <c r="F638" s="14"/>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29"/>
    </row>
    <row r="639" spans="1:40" outlineLevel="1" x14ac:dyDescent="0.25">
      <c r="A639" s="54"/>
      <c r="B639" s="14" t="s">
        <v>287</v>
      </c>
      <c r="C639" s="14"/>
      <c r="D639" s="70" t="s">
        <v>368</v>
      </c>
      <c r="E639" s="155">
        <v>1.2998502134374784E-2</v>
      </c>
      <c r="F639" s="14"/>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29"/>
    </row>
    <row r="640" spans="1:40" outlineLevel="1" x14ac:dyDescent="0.25">
      <c r="A640" s="54"/>
      <c r="B640" s="14" t="s">
        <v>288</v>
      </c>
      <c r="C640" s="14"/>
      <c r="D640" s="70" t="s">
        <v>269</v>
      </c>
      <c r="E640" s="155">
        <v>9.3006447489134096</v>
      </c>
      <c r="F640" s="14"/>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29"/>
    </row>
    <row r="641" spans="1:40" outlineLevel="1" x14ac:dyDescent="0.25">
      <c r="A641" s="54"/>
      <c r="B641" s="14"/>
      <c r="C641" s="14"/>
      <c r="D641" s="15"/>
      <c r="E641" s="16"/>
      <c r="F641" s="14"/>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29"/>
    </row>
    <row r="642" spans="1:40" outlineLevel="1" x14ac:dyDescent="0.25">
      <c r="A642" s="54"/>
      <c r="B642" s="14"/>
      <c r="C642" s="14"/>
      <c r="D642" s="15"/>
      <c r="E642" s="16"/>
      <c r="F642" s="14"/>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29"/>
    </row>
    <row r="643" spans="1:40" outlineLevel="1" x14ac:dyDescent="0.25">
      <c r="A643" s="54"/>
      <c r="B643" s="14"/>
      <c r="C643" s="14"/>
      <c r="D643" s="15"/>
      <c r="E643" s="16"/>
      <c r="F643" s="14"/>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29"/>
    </row>
    <row r="644" spans="1:40" outlineLevel="1" x14ac:dyDescent="0.25">
      <c r="A644" s="54"/>
      <c r="B644" s="14"/>
      <c r="C644" s="14"/>
      <c r="D644" s="15"/>
      <c r="E644" s="16"/>
      <c r="F644" s="14"/>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29"/>
    </row>
    <row r="645" spans="1:40" outlineLevel="1" x14ac:dyDescent="0.25">
      <c r="A645" s="54"/>
      <c r="B645" s="14"/>
      <c r="C645" s="14"/>
      <c r="D645" s="15"/>
      <c r="E645" s="16"/>
      <c r="F645" s="14"/>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29"/>
    </row>
    <row r="646" spans="1:40" outlineLevel="1" x14ac:dyDescent="0.25">
      <c r="A646" s="54"/>
      <c r="B646" s="14"/>
      <c r="C646" s="14"/>
      <c r="D646" s="15"/>
      <c r="E646" s="16"/>
      <c r="F646" s="14"/>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29"/>
    </row>
    <row r="647" spans="1:40" outlineLevel="1" x14ac:dyDescent="0.25">
      <c r="A647" s="54"/>
      <c r="B647" s="14"/>
      <c r="C647" s="14"/>
      <c r="D647" s="15"/>
      <c r="E647" s="16"/>
      <c r="F647" s="14"/>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29"/>
    </row>
    <row r="648" spans="1:40" outlineLevel="1" x14ac:dyDescent="0.25">
      <c r="A648" s="54"/>
      <c r="B648" s="14"/>
      <c r="C648" s="14"/>
      <c r="D648" s="15"/>
      <c r="E648" s="16"/>
      <c r="F648" s="14"/>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29"/>
    </row>
    <row r="649" spans="1:40" outlineLevel="1" x14ac:dyDescent="0.25">
      <c r="A649" s="54"/>
      <c r="B649" s="14"/>
      <c r="C649" s="14"/>
      <c r="D649" s="15"/>
      <c r="E649" s="16"/>
      <c r="F649" s="14"/>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29"/>
    </row>
    <row r="650" spans="1:40" outlineLevel="1" x14ac:dyDescent="0.25">
      <c r="A650" s="54"/>
      <c r="B650" s="14"/>
      <c r="C650" s="14"/>
      <c r="D650" s="15"/>
      <c r="E650" s="16"/>
      <c r="F650" s="14"/>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29"/>
    </row>
    <row r="651" spans="1:40" outlineLevel="1" x14ac:dyDescent="0.25">
      <c r="A651" s="54"/>
      <c r="B651" s="14"/>
      <c r="C651" s="14"/>
      <c r="D651" s="15"/>
      <c r="E651" s="16"/>
      <c r="F651" s="14"/>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29"/>
    </row>
  </sheetData>
  <phoneticPr fontId="30" type="noConversion"/>
  <conditionalFormatting sqref="G2:AN3">
    <cfRule type="cellIs" dxfId="1006" priority="423" operator="equal">
      <formula>end_proj</formula>
    </cfRule>
    <cfRule type="expression" dxfId="1005" priority="424">
      <formula>ISNA(G2)</formula>
    </cfRule>
    <cfRule type="cellIs" dxfId="1004" priority="425" operator="equal">
      <formula>start_proj</formula>
    </cfRule>
    <cfRule type="cellIs" dxfId="1003" priority="426" operator="equal">
      <formula>start_proj-hist_years</formula>
    </cfRule>
    <cfRule type="cellIs" dxfId="1002" priority="427" operator="greaterThan">
      <formula>start_proj</formula>
    </cfRule>
  </conditionalFormatting>
  <conditionalFormatting sqref="G9:AN11 G13:AN17 G19:AN43 G81:G92 H83:AD88 G166:AN166 G326:AH326">
    <cfRule type="expression" dxfId="1001" priority="67">
      <formula>ISNA(G9)</formula>
    </cfRule>
    <cfRule type="expression" dxfId="1000" priority="68">
      <formula>G$2&gt;=start_proj</formula>
    </cfRule>
  </conditionalFormatting>
  <conditionalFormatting sqref="G45:AN53 G138:AN138 G147:AN147 G279:AN280 G307:AN313 G337:AN347 G388:AN393 G410:AN472 G556:AJ564 G574:AJ574">
    <cfRule type="expression" dxfId="999" priority="59">
      <formula>ISNA(G45)</formula>
    </cfRule>
    <cfRule type="expression" dxfId="998" priority="60">
      <formula>G$2&gt;=start_proj</formula>
    </cfRule>
  </conditionalFormatting>
  <conditionalFormatting sqref="G59:AN62 G64:AN67 G206:AN206 G616:AN619">
    <cfRule type="expression" dxfId="997" priority="63">
      <formula>ISNA(G59)</formula>
    </cfRule>
    <cfRule type="expression" dxfId="996" priority="64">
      <formula>G$2&gt;=start_proj</formula>
    </cfRule>
  </conditionalFormatting>
  <conditionalFormatting sqref="G70:AN71">
    <cfRule type="expression" dxfId="995" priority="29">
      <formula>ISNA(G70)</formula>
    </cfRule>
    <cfRule type="expression" dxfId="994" priority="30">
      <formula>G$2&gt;=start_proj</formula>
    </cfRule>
  </conditionalFormatting>
  <conditionalFormatting sqref="G74:AN77">
    <cfRule type="expression" dxfId="993" priority="27">
      <formula>ISNA(G74)</formula>
    </cfRule>
    <cfRule type="expression" dxfId="992" priority="28">
      <formula>G$2&gt;=start_proj</formula>
    </cfRule>
  </conditionalFormatting>
  <conditionalFormatting sqref="G79:AN80">
    <cfRule type="expression" dxfId="991" priority="3">
      <formula>ISNA(G79)</formula>
    </cfRule>
    <cfRule type="expression" dxfId="990" priority="4">
      <formula>G$2&gt;=start_proj</formula>
    </cfRule>
  </conditionalFormatting>
  <conditionalFormatting sqref="G98:AN102">
    <cfRule type="expression" dxfId="989" priority="5">
      <formula>ISNA(G98)</formula>
    </cfRule>
    <cfRule type="expression" dxfId="988" priority="6">
      <formula>G$2&gt;=start_proj</formula>
    </cfRule>
  </conditionalFormatting>
  <conditionalFormatting sqref="G109:AN109">
    <cfRule type="expression" dxfId="987" priority="259">
      <formula>ISNA(G109)</formula>
    </cfRule>
    <cfRule type="expression" dxfId="986" priority="260">
      <formula>G$2&gt;=start_proj</formula>
    </cfRule>
  </conditionalFormatting>
  <conditionalFormatting sqref="G114:AN115">
    <cfRule type="expression" dxfId="985" priority="25">
      <formula>ISNA(G114)</formula>
    </cfRule>
    <cfRule type="expression" dxfId="984" priority="26">
      <formula>G$2&gt;=start_proj</formula>
    </cfRule>
  </conditionalFormatting>
  <conditionalFormatting sqref="G117:AN118">
    <cfRule type="expression" dxfId="983" priority="257">
      <formula>ISNA(G117)</formula>
    </cfRule>
    <cfRule type="expression" dxfId="982" priority="258">
      <formula>G$2&gt;=start_proj</formula>
    </cfRule>
  </conditionalFormatting>
  <conditionalFormatting sqref="G126:AN127">
    <cfRule type="expression" dxfId="981" priority="31">
      <formula>ISNA(G126)</formula>
    </cfRule>
    <cfRule type="expression" dxfId="980" priority="32">
      <formula>G$2&gt;=start_proj</formula>
    </cfRule>
  </conditionalFormatting>
  <conditionalFormatting sqref="G133:AN133 G135:AN136">
    <cfRule type="expression" dxfId="979" priority="235">
      <formula>ISNA(G133)</formula>
    </cfRule>
    <cfRule type="expression" dxfId="978" priority="236">
      <formula>G$2&gt;=start_proj</formula>
    </cfRule>
  </conditionalFormatting>
  <conditionalFormatting sqref="G159:AN160">
    <cfRule type="expression" dxfId="977" priority="39">
      <formula>ISNA(G159)</formula>
    </cfRule>
    <cfRule type="expression" dxfId="976" priority="40">
      <formula>G$2&gt;=start_proj</formula>
    </cfRule>
  </conditionalFormatting>
  <conditionalFormatting sqref="G170:AN178">
    <cfRule type="expression" dxfId="975" priority="41">
      <formula>ISNA(G170)</formula>
    </cfRule>
    <cfRule type="expression" dxfId="974" priority="42">
      <formula>G$2&gt;=start_proj</formula>
    </cfRule>
  </conditionalFormatting>
  <conditionalFormatting sqref="G184:AN184">
    <cfRule type="expression" dxfId="973" priority="319">
      <formula>ISNA(G184)</formula>
    </cfRule>
    <cfRule type="expression" dxfId="972" priority="320">
      <formula>G$2&gt;=start_proj</formula>
    </cfRule>
  </conditionalFormatting>
  <conditionalFormatting sqref="G191:AN192">
    <cfRule type="expression" dxfId="971" priority="23">
      <formula>ISNA(G191)</formula>
    </cfRule>
    <cfRule type="expression" dxfId="970" priority="24">
      <formula>G$2&gt;=start_proj</formula>
    </cfRule>
  </conditionalFormatting>
  <conditionalFormatting sqref="G194:AN195">
    <cfRule type="expression" dxfId="969" priority="131">
      <formula>ISNA(G194)</formula>
    </cfRule>
    <cfRule type="expression" dxfId="968" priority="132">
      <formula>G$2&gt;=start_proj</formula>
    </cfRule>
  </conditionalFormatting>
  <conditionalFormatting sqref="G197:AN198">
    <cfRule type="expression" dxfId="967" priority="127">
      <formula>ISNA(G197)</formula>
    </cfRule>
    <cfRule type="expression" dxfId="966" priority="128">
      <formula>G$2&gt;=start_proj</formula>
    </cfRule>
  </conditionalFormatting>
  <conditionalFormatting sqref="G203:AN204">
    <cfRule type="expression" dxfId="965" priority="37">
      <formula>ISNA(G203)</formula>
    </cfRule>
    <cfRule type="expression" dxfId="964" priority="38">
      <formula>G$2&gt;=start_proj</formula>
    </cfRule>
  </conditionalFormatting>
  <conditionalFormatting sqref="G212:AN212">
    <cfRule type="expression" dxfId="963" priority="11">
      <formula>ISNA(G212)</formula>
    </cfRule>
    <cfRule type="expression" dxfId="962" priority="12">
      <formula>G$2&gt;=start_proj</formula>
    </cfRule>
  </conditionalFormatting>
  <conditionalFormatting sqref="G215:AN225">
    <cfRule type="expression" dxfId="961" priority="49">
      <formula>ISNA(G215)</formula>
    </cfRule>
    <cfRule type="expression" dxfId="960" priority="50">
      <formula>G$2&gt;=start_proj</formula>
    </cfRule>
  </conditionalFormatting>
  <conditionalFormatting sqref="G231:AN231">
    <cfRule type="expression" dxfId="959" priority="123">
      <formula>ISNA(G231)</formula>
    </cfRule>
    <cfRule type="expression" dxfId="958" priority="124">
      <formula>G$2&gt;=start_proj</formula>
    </cfRule>
  </conditionalFormatting>
  <conditionalFormatting sqref="G238:AN238">
    <cfRule type="expression" dxfId="957" priority="21">
      <formula>ISNA(G238)</formula>
    </cfRule>
    <cfRule type="expression" dxfId="956" priority="22">
      <formula>G$2&gt;=start_proj</formula>
    </cfRule>
  </conditionalFormatting>
  <conditionalFormatting sqref="G241:AN242">
    <cfRule type="expression" dxfId="955" priority="349">
      <formula>ISNA(G241)</formula>
    </cfRule>
    <cfRule type="expression" dxfId="954" priority="350">
      <formula>G$2&gt;=start_proj</formula>
    </cfRule>
  </conditionalFormatting>
  <conditionalFormatting sqref="G285:AN288">
    <cfRule type="expression" dxfId="953" priority="9">
      <formula>ISNA(G285)</formula>
    </cfRule>
    <cfRule type="expression" dxfId="952" priority="10">
      <formula>G$2&gt;=start_proj</formula>
    </cfRule>
  </conditionalFormatting>
  <conditionalFormatting sqref="G297:AN297">
    <cfRule type="expression" dxfId="951" priority="85">
      <formula>ISNA(G297)</formula>
    </cfRule>
    <cfRule type="expression" dxfId="950" priority="86">
      <formula>G$2&gt;=start_proj</formula>
    </cfRule>
  </conditionalFormatting>
  <conditionalFormatting sqref="G304:AN305">
    <cfRule type="expression" dxfId="949" priority="19">
      <formula>ISNA(G304)</formula>
    </cfRule>
    <cfRule type="expression" dxfId="948" priority="20">
      <formula>G$2&gt;=start_proj</formula>
    </cfRule>
  </conditionalFormatting>
  <conditionalFormatting sqref="G365:AN365">
    <cfRule type="expression" dxfId="947" priority="419">
      <formula>ISNA(G365)</formula>
    </cfRule>
    <cfRule type="expression" dxfId="946" priority="420">
      <formula>G$2&gt;=start_proj</formula>
    </cfRule>
  </conditionalFormatting>
  <conditionalFormatting sqref="G373:AN373">
    <cfRule type="expression" dxfId="945" priority="17">
      <formula>ISNA(G373)</formula>
    </cfRule>
    <cfRule type="expression" dxfId="944" priority="18">
      <formula>G$2&gt;=start_proj</formula>
    </cfRule>
  </conditionalFormatting>
  <conditionalFormatting sqref="G383:AN383 G385:AN386">
    <cfRule type="expression" dxfId="943" priority="161">
      <formula>ISNA(G383)</formula>
    </cfRule>
    <cfRule type="expression" dxfId="942" priority="162">
      <formula>G$2&gt;=start_proj</formula>
    </cfRule>
  </conditionalFormatting>
  <conditionalFormatting sqref="G400:AN400">
    <cfRule type="expression" dxfId="941" priority="385">
      <formula>ISNA(G400)</formula>
    </cfRule>
    <cfRule type="expression" dxfId="940" priority="386">
      <formula>G$2&gt;=start_proj</formula>
    </cfRule>
  </conditionalFormatting>
  <conditionalFormatting sqref="G477:AN482">
    <cfRule type="expression" dxfId="939" priority="403">
      <formula>ISNA(G477)</formula>
    </cfRule>
    <cfRule type="expression" dxfId="938" priority="404">
      <formula>G$2&gt;=start_proj</formula>
    </cfRule>
  </conditionalFormatting>
  <conditionalFormatting sqref="G484:AN542">
    <cfRule type="expression" dxfId="937" priority="15">
      <formula>ISNA(G484)</formula>
    </cfRule>
    <cfRule type="expression" dxfId="936" priority="16">
      <formula>G$2&gt;=start_proj</formula>
    </cfRule>
  </conditionalFormatting>
  <conditionalFormatting sqref="G547:AN614">
    <cfRule type="expression" dxfId="935" priority="13">
      <formula>ISNA(G547)</formula>
    </cfRule>
    <cfRule type="expression" dxfId="934" priority="14">
      <formula>G$2&gt;=start_proj</formula>
    </cfRule>
  </conditionalFormatting>
  <conditionalFormatting sqref="H81:AN82 G119:AH121 G149:AM150 AI151:AM151 G151:AH153 AI153:AM153 G154:AM154 G200:AN200 G252:AN252 G255:AN257 G259:AN261 G272:AN273 G316:AN316 G319:AN321 G323:AN325 G368:AN368 G376:AN379 G396:AN397 G483:AJ483 H485:AJ493 G503:AJ503 G504:G514 G543:AJ543">
    <cfRule type="expression" dxfId="933" priority="421">
      <formula>ISNA(G81)</formula>
    </cfRule>
    <cfRule type="expression" dxfId="932" priority="422">
      <formula>G$2&gt;=start_proj</formula>
    </cfRule>
  </conditionalFormatting>
  <conditionalFormatting sqref="AI120:AN121">
    <cfRule type="expression" dxfId="931" priority="165">
      <formula>ISNA(AI120)</formula>
    </cfRule>
    <cfRule type="expression" dxfId="930" priority="166">
      <formula>AI$2&gt;=start_proj</formula>
    </cfRule>
  </conditionalFormatting>
  <conditionalFormatting sqref="AN149:AN151">
    <cfRule type="expression" dxfId="929" priority="139">
      <formula>ISNA(AN149)</formula>
    </cfRule>
    <cfRule type="expression" dxfId="928" priority="140">
      <formula>AN$2&gt;=start_proj</formula>
    </cfRule>
  </conditionalFormatting>
  <conditionalFormatting sqref="AN153:AN154">
    <cfRule type="expression" dxfId="927" priority="135">
      <formula>ISNA(AN153)</formula>
    </cfRule>
    <cfRule type="expression" dxfId="926" priority="136">
      <formula>AN$2&gt;=start_proj</formula>
    </cfRule>
  </conditionalFormatting>
  <hyperlinks>
    <hyperlink ref="B1" location="Dashboard!A1" display="Go to Dashboard" xr:uid="{897A5648-2AA1-43BF-A5D0-7F723582E191}"/>
    <hyperlink ref="C1" location="Cover!A1" display="Go to Results" xr:uid="{C9E23F02-2F69-4E9A-8A2F-0837E7966B3B}"/>
    <hyperlink ref="C150" r:id="rId1" display="https://www.freightwaves.com/news/renewable-diesel-environmental-and-economic-sustainability-meet-head-on" xr:uid="{86A8D515-B3D4-4563-A832-BDCE93BE899A}"/>
  </hyperlinks>
  <pageMargins left="0.7" right="0.7" top="0.75" bottom="0.75" header="0.3" footer="0.3"/>
  <pageSetup orientation="portrait"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71C20-7D91-4282-91A6-33BD3AB96398}">
  <sheetPr codeName="Sheet8">
    <tabColor theme="9" tint="-0.249977111117893"/>
  </sheetPr>
  <dimension ref="B2:AT174"/>
  <sheetViews>
    <sheetView zoomScale="115" zoomScaleNormal="115" workbookViewId="0">
      <selection activeCell="C3" sqref="C3"/>
    </sheetView>
  </sheetViews>
  <sheetFormatPr defaultColWidth="9.140625" defaultRowHeight="15" x14ac:dyDescent="0.25"/>
  <cols>
    <col min="1" max="2" width="9.140625" style="94"/>
    <col min="3" max="3" width="38.5703125" style="94" customWidth="1"/>
    <col min="4" max="4" width="19" style="94" customWidth="1"/>
    <col min="5" max="5" width="17.42578125" style="94" customWidth="1"/>
    <col min="6" max="6" width="13.140625" style="94" customWidth="1"/>
    <col min="7" max="7" width="10.85546875" style="94" bestFit="1" customWidth="1"/>
    <col min="8" max="8" width="13.7109375" style="94" customWidth="1"/>
    <col min="9" max="9" width="16.28515625" style="94" customWidth="1"/>
    <col min="10" max="10" width="10.5703125" style="94" bestFit="1" customWidth="1"/>
    <col min="11" max="11" width="10.28515625" style="94" customWidth="1"/>
    <col min="12" max="12" width="11.7109375" style="94" bestFit="1" customWidth="1"/>
    <col min="13" max="13" width="12.28515625" style="94" bestFit="1" customWidth="1"/>
    <col min="14" max="14" width="9.140625" style="94"/>
    <col min="15" max="15" width="9.28515625" style="94" bestFit="1" customWidth="1"/>
    <col min="16" max="16" width="11.140625" style="94" bestFit="1" customWidth="1"/>
    <col min="17" max="17" width="9.28515625" style="94" bestFit="1" customWidth="1"/>
    <col min="18" max="18" width="12.28515625" style="94" bestFit="1" customWidth="1"/>
    <col min="19" max="19" width="9.28515625" style="94" bestFit="1" customWidth="1"/>
    <col min="20" max="20" width="11.140625" style="94" bestFit="1" customWidth="1"/>
    <col min="21" max="21" width="9.28515625" style="94" bestFit="1" customWidth="1"/>
    <col min="22" max="26" width="9.140625" style="94"/>
    <col min="27" max="27" width="12" style="94" customWidth="1"/>
    <col min="28" max="28" width="12.28515625" style="94" bestFit="1" customWidth="1"/>
    <col min="29" max="16384" width="9.140625" style="94"/>
  </cols>
  <sheetData>
    <row r="2" spans="2:46" x14ac:dyDescent="0.25">
      <c r="B2" s="14"/>
      <c r="C2" s="14"/>
      <c r="D2" s="144" t="s">
        <v>40</v>
      </c>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row>
    <row r="3" spans="2:46" x14ac:dyDescent="0.25">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row>
    <row r="4" spans="2:46" x14ac:dyDescent="0.25">
      <c r="B4" s="14"/>
      <c r="C4" s="14"/>
      <c r="D4" s="14"/>
      <c r="E4" s="15"/>
      <c r="F4" s="15"/>
      <c r="G4" s="21"/>
      <c r="H4" s="15"/>
      <c r="I4" s="15"/>
      <c r="J4" s="15"/>
      <c r="K4" s="15"/>
      <c r="L4" s="15"/>
      <c r="M4" s="15"/>
      <c r="N4" s="79"/>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row>
    <row r="5" spans="2:46" x14ac:dyDescent="0.25">
      <c r="B5" s="14"/>
      <c r="C5" s="24" t="s">
        <v>385</v>
      </c>
      <c r="D5" s="24"/>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307"/>
      <c r="AT5" s="307"/>
    </row>
    <row r="6" spans="2:46" x14ac:dyDescent="0.25">
      <c r="B6" s="96"/>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row>
    <row r="7" spans="2:46" x14ac:dyDescent="0.25">
      <c r="B7" s="14"/>
      <c r="C7" s="37" t="s">
        <v>386</v>
      </c>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14"/>
      <c r="AT7" s="14"/>
    </row>
    <row r="8" spans="2:46" x14ac:dyDescent="0.25">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row>
    <row r="9" spans="2:46" ht="14.25" customHeight="1" x14ac:dyDescent="0.25">
      <c r="B9" s="14"/>
      <c r="C9" s="272" t="s">
        <v>387</v>
      </c>
      <c r="D9" s="272"/>
      <c r="E9" s="272" t="s">
        <v>194</v>
      </c>
      <c r="F9" s="272" t="s">
        <v>388</v>
      </c>
      <c r="G9" s="272"/>
      <c r="H9" s="272" t="s">
        <v>389</v>
      </c>
      <c r="I9" s="272" t="s">
        <v>390</v>
      </c>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row>
    <row r="10" spans="2:46" x14ac:dyDescent="0.25">
      <c r="B10" s="14"/>
      <c r="C10" s="14" t="s">
        <v>391</v>
      </c>
      <c r="D10" s="14"/>
      <c r="E10" s="14"/>
      <c r="F10" s="162">
        <v>32814</v>
      </c>
      <c r="G10" s="56"/>
      <c r="H10" s="216">
        <f>F10*Data!E45</f>
        <v>52808.88276</v>
      </c>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row>
    <row r="11" spans="2:46" x14ac:dyDescent="0.25">
      <c r="B11" s="14"/>
      <c r="C11" s="14" t="s">
        <v>392</v>
      </c>
      <c r="D11" s="14"/>
      <c r="E11" s="14" t="s">
        <v>251</v>
      </c>
      <c r="F11" s="274">
        <v>0.88</v>
      </c>
      <c r="G11" s="14"/>
      <c r="H11" s="202">
        <f>F11/Data!E45</f>
        <v>0.54680800825182996</v>
      </c>
      <c r="I11" s="159">
        <f>H11*Data!$E$45</f>
        <v>0.88</v>
      </c>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row>
    <row r="12" spans="2:46" x14ac:dyDescent="0.25">
      <c r="B12" s="14"/>
      <c r="C12" s="14" t="s">
        <v>392</v>
      </c>
      <c r="D12" s="14"/>
      <c r="E12" s="14" t="s">
        <v>393</v>
      </c>
      <c r="F12" s="274"/>
      <c r="G12" s="14"/>
      <c r="H12" s="202"/>
      <c r="I12" s="159">
        <v>0.62</v>
      </c>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row>
    <row r="13" spans="2:46" x14ac:dyDescent="0.25">
      <c r="B13" s="14"/>
      <c r="C13" s="142" t="s">
        <v>394</v>
      </c>
      <c r="D13" s="142"/>
      <c r="E13" s="142"/>
      <c r="F13" s="470"/>
      <c r="G13" s="142"/>
      <c r="H13" s="471"/>
      <c r="I13" s="472">
        <f>AVERAGE(I11:I12)</f>
        <v>0.75</v>
      </c>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row>
    <row r="14" spans="2:46" x14ac:dyDescent="0.25">
      <c r="B14" s="14"/>
      <c r="C14" s="14" t="s">
        <v>395</v>
      </c>
      <c r="D14" s="14"/>
      <c r="E14" s="14" t="s">
        <v>251</v>
      </c>
      <c r="F14" s="274">
        <v>0.64</v>
      </c>
      <c r="G14" s="14"/>
      <c r="H14" s="202">
        <f>F14/Data!E45</f>
        <v>0.39767855145587633</v>
      </c>
      <c r="I14" s="159">
        <f>H14*Data!$E$45</f>
        <v>0.64</v>
      </c>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row>
    <row r="15" spans="2:46" x14ac:dyDescent="0.25">
      <c r="B15" s="14"/>
      <c r="C15" s="14" t="s">
        <v>395</v>
      </c>
      <c r="D15" s="14"/>
      <c r="E15" s="14" t="s">
        <v>314</v>
      </c>
      <c r="F15" s="274"/>
      <c r="G15" s="14"/>
      <c r="H15" s="202"/>
      <c r="I15" s="159">
        <f>I13*0.7</f>
        <v>0.52499999999999991</v>
      </c>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row>
    <row r="16" spans="2:46" x14ac:dyDescent="0.25">
      <c r="B16" s="14"/>
      <c r="C16" s="14" t="s">
        <v>395</v>
      </c>
      <c r="D16" s="14"/>
      <c r="E16" s="14" t="s">
        <v>393</v>
      </c>
      <c r="F16" s="274"/>
      <c r="G16" s="14"/>
      <c r="H16" s="202"/>
      <c r="I16" s="159">
        <v>0.45</v>
      </c>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row>
    <row r="17" spans="2:46" x14ac:dyDescent="0.25">
      <c r="B17" s="14"/>
      <c r="C17" s="142" t="s">
        <v>396</v>
      </c>
      <c r="D17" s="142"/>
      <c r="E17" s="142"/>
      <c r="F17" s="470"/>
      <c r="G17" s="142"/>
      <c r="H17" s="471"/>
      <c r="I17" s="472">
        <f>AVERAGE(I15:I16)</f>
        <v>0.48749999999999993</v>
      </c>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row>
    <row r="18" spans="2:46" x14ac:dyDescent="0.25">
      <c r="B18" s="14"/>
      <c r="C18" s="14" t="s">
        <v>397</v>
      </c>
      <c r="D18" s="14"/>
      <c r="E18" s="14" t="s">
        <v>251</v>
      </c>
      <c r="F18" s="14"/>
      <c r="G18" s="14"/>
      <c r="H18" s="202">
        <v>0.35</v>
      </c>
      <c r="I18" s="159">
        <f>H18*Data!$E$45</f>
        <v>0.56326899999999991</v>
      </c>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row>
    <row r="19" spans="2:46" x14ac:dyDescent="0.25">
      <c r="B19" s="14"/>
      <c r="C19" s="14" t="s">
        <v>397</v>
      </c>
      <c r="D19" s="14"/>
      <c r="E19" s="14" t="s">
        <v>393</v>
      </c>
      <c r="F19" s="14"/>
      <c r="G19" s="14"/>
      <c r="H19" s="202"/>
      <c r="I19" s="159">
        <v>0.57999999999999996</v>
      </c>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row>
    <row r="20" spans="2:46" x14ac:dyDescent="0.25">
      <c r="B20" s="14"/>
      <c r="C20" s="142" t="s">
        <v>394</v>
      </c>
      <c r="D20" s="142"/>
      <c r="E20" s="142"/>
      <c r="F20" s="142"/>
      <c r="G20" s="142"/>
      <c r="H20" s="471"/>
      <c r="I20" s="472">
        <f>AVERAGE(I18:I19)</f>
        <v>0.57163449999999993</v>
      </c>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row>
    <row r="21" spans="2:46" x14ac:dyDescent="0.25">
      <c r="B21" s="14"/>
      <c r="C21" s="14"/>
      <c r="D21" s="14"/>
      <c r="E21" s="14"/>
      <c r="F21" s="14"/>
      <c r="G21" s="14"/>
      <c r="H21" s="202"/>
      <c r="I21" s="159"/>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row>
    <row r="22" spans="2:46" ht="14.25" customHeight="1" x14ac:dyDescent="0.25">
      <c r="B22" s="14"/>
      <c r="C22" s="272" t="s">
        <v>398</v>
      </c>
      <c r="D22" s="272"/>
      <c r="E22" s="272" t="s">
        <v>194</v>
      </c>
      <c r="F22" s="272" t="s">
        <v>165</v>
      </c>
      <c r="G22" s="272"/>
      <c r="H22" s="272"/>
      <c r="I22" s="272"/>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row>
    <row r="23" spans="2:46" x14ac:dyDescent="0.25">
      <c r="B23" s="14"/>
      <c r="C23" s="20" t="s">
        <v>30</v>
      </c>
      <c r="D23" s="14"/>
      <c r="E23" s="14"/>
      <c r="F23" s="14"/>
      <c r="G23" s="14"/>
      <c r="H23" s="202"/>
      <c r="I23" s="159"/>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row>
    <row r="24" spans="2:46" x14ac:dyDescent="0.25">
      <c r="B24" s="14"/>
      <c r="C24" s="14" t="s">
        <v>399</v>
      </c>
      <c r="D24" s="14"/>
      <c r="E24" s="14" t="s">
        <v>400</v>
      </c>
      <c r="F24" s="14" t="s">
        <v>352</v>
      </c>
      <c r="G24" s="14">
        <f>7.5/100</f>
        <v>7.4999999999999997E-2</v>
      </c>
      <c r="H24" s="202"/>
      <c r="I24" s="159"/>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row>
    <row r="25" spans="2:46" x14ac:dyDescent="0.25">
      <c r="B25" s="14"/>
      <c r="C25" s="14" t="s">
        <v>401</v>
      </c>
      <c r="D25" s="14"/>
      <c r="E25" s="14"/>
      <c r="F25" s="14" t="s">
        <v>352</v>
      </c>
      <c r="G25" s="422">
        <f>G24*(1-Data!E87)</f>
        <v>6.9749999999999993E-2</v>
      </c>
      <c r="H25" s="202"/>
      <c r="I25" s="159"/>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row>
    <row r="26" spans="2:46" x14ac:dyDescent="0.25">
      <c r="B26" s="14"/>
      <c r="C26" s="14"/>
      <c r="D26" s="14"/>
      <c r="E26" s="14"/>
      <c r="F26" s="14"/>
      <c r="G26" s="14"/>
      <c r="H26" s="202"/>
      <c r="I26" s="159"/>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row>
    <row r="27" spans="2:46" x14ac:dyDescent="0.25">
      <c r="B27" s="14"/>
      <c r="C27" s="272" t="s">
        <v>402</v>
      </c>
      <c r="D27" s="272" t="s">
        <v>165</v>
      </c>
      <c r="E27" s="272" t="s">
        <v>194</v>
      </c>
      <c r="F27" s="272" t="s">
        <v>403</v>
      </c>
      <c r="G27" s="272"/>
      <c r="H27" s="305"/>
      <c r="I27" s="306" t="s">
        <v>404</v>
      </c>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row>
    <row r="28" spans="2:46" x14ac:dyDescent="0.25">
      <c r="B28" s="14"/>
      <c r="C28" s="14" t="s">
        <v>405</v>
      </c>
      <c r="D28" s="14" t="s">
        <v>313</v>
      </c>
      <c r="E28" s="14" t="s">
        <v>251</v>
      </c>
      <c r="F28" s="340">
        <v>50000</v>
      </c>
      <c r="G28" s="227"/>
      <c r="H28" s="14"/>
      <c r="I28" s="228">
        <f>F28*Data!$E$48</f>
        <v>72340</v>
      </c>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row>
    <row r="29" spans="2:46" x14ac:dyDescent="0.25">
      <c r="B29" s="14"/>
      <c r="C29" s="14" t="s">
        <v>405</v>
      </c>
      <c r="D29" s="14" t="s">
        <v>313</v>
      </c>
      <c r="E29" s="14" t="s">
        <v>314</v>
      </c>
      <c r="F29" s="340"/>
      <c r="G29" s="227"/>
      <c r="H29" s="14"/>
      <c r="I29" s="228">
        <f>(50000+70000)/2</f>
        <v>60000</v>
      </c>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row>
    <row r="30" spans="2:46" x14ac:dyDescent="0.25">
      <c r="B30" s="14"/>
      <c r="C30" s="14" t="s">
        <v>405</v>
      </c>
      <c r="D30" s="14" t="s">
        <v>313</v>
      </c>
      <c r="E30" s="14" t="s">
        <v>406</v>
      </c>
      <c r="F30" s="340"/>
      <c r="G30" s="227"/>
      <c r="H30" s="14"/>
      <c r="I30" s="423">
        <v>33000</v>
      </c>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row>
    <row r="31" spans="2:46" x14ac:dyDescent="0.25">
      <c r="B31" s="14"/>
      <c r="C31" s="40" t="s">
        <v>405</v>
      </c>
      <c r="D31" s="40" t="s">
        <v>313</v>
      </c>
      <c r="E31" s="40" t="s">
        <v>245</v>
      </c>
      <c r="F31" s="424"/>
      <c r="G31" s="425"/>
      <c r="H31" s="40"/>
      <c r="I31" s="426">
        <v>84000</v>
      </c>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row>
    <row r="32" spans="2:46" x14ac:dyDescent="0.25">
      <c r="B32" s="14"/>
      <c r="C32" s="20" t="s">
        <v>407</v>
      </c>
      <c r="D32" s="20" t="s">
        <v>313</v>
      </c>
      <c r="E32" s="20"/>
      <c r="F32" s="383"/>
      <c r="G32" s="384"/>
      <c r="H32" s="20"/>
      <c r="I32" s="385">
        <f>AVERAGE(I28:I31)</f>
        <v>62335</v>
      </c>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row>
    <row r="33" spans="2:46" x14ac:dyDescent="0.25">
      <c r="B33" s="14"/>
      <c r="C33" s="20"/>
      <c r="D33" s="20"/>
      <c r="E33" s="20"/>
      <c r="F33" s="383"/>
      <c r="G33" s="384"/>
      <c r="H33" s="20"/>
      <c r="I33" s="385"/>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row>
    <row r="34" spans="2:46" x14ac:dyDescent="0.25">
      <c r="B34" s="14"/>
      <c r="C34" s="20" t="s">
        <v>408</v>
      </c>
      <c r="D34" s="20"/>
      <c r="E34" s="20"/>
      <c r="F34" s="383"/>
      <c r="G34" s="384"/>
      <c r="H34" s="20"/>
      <c r="I34" s="385"/>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row>
    <row r="35" spans="2:46" x14ac:dyDescent="0.25">
      <c r="B35" s="14"/>
      <c r="C35" s="14" t="s">
        <v>409</v>
      </c>
      <c r="D35" s="14" t="s">
        <v>313</v>
      </c>
      <c r="E35" s="14" t="s">
        <v>251</v>
      </c>
      <c r="F35" s="340">
        <v>17050</v>
      </c>
      <c r="G35" s="227"/>
      <c r="H35" s="14"/>
      <c r="I35" s="228">
        <f>F35*Data!$E$48</f>
        <v>24667.940000000002</v>
      </c>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row>
    <row r="36" spans="2:46" x14ac:dyDescent="0.25">
      <c r="B36" s="14"/>
      <c r="C36" s="14" t="s">
        <v>410</v>
      </c>
      <c r="D36" s="14"/>
      <c r="E36" s="14" t="s">
        <v>245</v>
      </c>
      <c r="F36" s="340"/>
      <c r="G36" s="227"/>
      <c r="H36" s="14"/>
      <c r="I36" s="427">
        <v>80000</v>
      </c>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row>
    <row r="37" spans="2:46" x14ac:dyDescent="0.25">
      <c r="B37" s="14"/>
      <c r="C37" s="14" t="s">
        <v>411</v>
      </c>
      <c r="D37" s="14" t="s">
        <v>313</v>
      </c>
      <c r="E37" s="14" t="s">
        <v>314</v>
      </c>
      <c r="F37" s="340"/>
      <c r="G37" s="227"/>
      <c r="H37" s="14"/>
      <c r="I37" s="228">
        <f>5000000/30-I29</f>
        <v>106666.66666666666</v>
      </c>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row>
    <row r="38" spans="2:46" x14ac:dyDescent="0.25">
      <c r="B38" s="14"/>
      <c r="C38" s="20" t="s">
        <v>412</v>
      </c>
      <c r="D38" s="20" t="s">
        <v>313</v>
      </c>
      <c r="E38" s="20"/>
      <c r="F38" s="383"/>
      <c r="G38" s="384"/>
      <c r="H38" s="20"/>
      <c r="I38" s="385">
        <f>AVERAGE(I35:I37)</f>
        <v>70444.868888888886</v>
      </c>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row>
    <row r="39" spans="2:46" x14ac:dyDescent="0.25">
      <c r="B39" s="14"/>
      <c r="C39" s="14" t="s">
        <v>413</v>
      </c>
      <c r="D39" s="14" t="s">
        <v>414</v>
      </c>
      <c r="E39" s="14" t="s">
        <v>317</v>
      </c>
      <c r="F39" s="340">
        <v>0</v>
      </c>
      <c r="G39" s="227"/>
      <c r="H39" s="14"/>
      <c r="I39" s="228">
        <f>F39*Data!$E$48</f>
        <v>0</v>
      </c>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row>
    <row r="40" spans="2:46" x14ac:dyDescent="0.25">
      <c r="B40" s="14"/>
      <c r="C40" s="14"/>
      <c r="D40" s="14"/>
      <c r="E40" s="14"/>
      <c r="F40" s="340"/>
      <c r="G40" s="227"/>
      <c r="H40" s="14"/>
      <c r="I40" s="228"/>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row>
    <row r="41" spans="2:46" x14ac:dyDescent="0.25">
      <c r="B41" s="14"/>
      <c r="C41" s="20" t="s">
        <v>415</v>
      </c>
      <c r="D41" s="14"/>
      <c r="E41" s="14"/>
      <c r="F41" s="340"/>
      <c r="G41" s="227"/>
      <c r="H41" s="14"/>
      <c r="I41" s="228"/>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row>
    <row r="42" spans="2:46" x14ac:dyDescent="0.25">
      <c r="B42" s="14"/>
      <c r="C42" s="14" t="s">
        <v>416</v>
      </c>
      <c r="D42" s="14" t="s">
        <v>313</v>
      </c>
      <c r="E42" s="14" t="s">
        <v>251</v>
      </c>
      <c r="F42" s="341">
        <v>495636</v>
      </c>
      <c r="G42" s="216"/>
      <c r="H42" s="14"/>
      <c r="I42" s="228">
        <f>F42*Data!$E$48</f>
        <v>717086.16480000003</v>
      </c>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row>
    <row r="43" spans="2:46" x14ac:dyDescent="0.25">
      <c r="B43" s="14"/>
      <c r="C43" s="14" t="s">
        <v>417</v>
      </c>
      <c r="D43" s="14" t="s">
        <v>313</v>
      </c>
      <c r="E43" s="14" t="s">
        <v>245</v>
      </c>
      <c r="F43" s="341"/>
      <c r="G43" s="216"/>
      <c r="H43" s="14"/>
      <c r="I43" s="427">
        <v>132000</v>
      </c>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row>
    <row r="44" spans="2:46" x14ac:dyDescent="0.25">
      <c r="B44" s="14"/>
      <c r="C44" s="14" t="s">
        <v>418</v>
      </c>
      <c r="D44" s="14" t="s">
        <v>313</v>
      </c>
      <c r="E44" s="14" t="s">
        <v>245</v>
      </c>
      <c r="F44" s="341"/>
      <c r="G44" s="216"/>
      <c r="H44" s="14"/>
      <c r="I44" s="427">
        <v>196000</v>
      </c>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row>
    <row r="45" spans="2:46" x14ac:dyDescent="0.25">
      <c r="B45" s="14"/>
      <c r="C45" s="20" t="s">
        <v>419</v>
      </c>
      <c r="D45" s="20" t="s">
        <v>313</v>
      </c>
      <c r="E45" s="20"/>
      <c r="F45" s="428"/>
      <c r="G45" s="429"/>
      <c r="H45" s="20"/>
      <c r="I45" s="430">
        <f>AVERAGE(I43:I44)</f>
        <v>164000</v>
      </c>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row>
    <row r="46" spans="2:46" x14ac:dyDescent="0.25">
      <c r="B46" s="14"/>
      <c r="C46" s="14" t="s">
        <v>409</v>
      </c>
      <c r="D46" s="14" t="s">
        <v>313</v>
      </c>
      <c r="E46" s="14" t="s">
        <v>251</v>
      </c>
      <c r="F46" s="341">
        <v>202811</v>
      </c>
      <c r="G46" s="216"/>
      <c r="H46" s="14"/>
      <c r="I46" s="228">
        <f>F46*Data!$E$48</f>
        <v>293426.95480000001</v>
      </c>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row>
    <row r="47" spans="2:46" x14ac:dyDescent="0.25">
      <c r="B47" s="14"/>
      <c r="C47" s="14"/>
      <c r="D47" s="14" t="s">
        <v>313</v>
      </c>
      <c r="E47" s="14"/>
      <c r="F47" s="63">
        <f>F46/F42</f>
        <v>0.40919344034735167</v>
      </c>
      <c r="G47" s="14" t="s">
        <v>420</v>
      </c>
      <c r="H47" s="14"/>
      <c r="I47" s="228">
        <f>I45*F47</f>
        <v>67107.724216965667</v>
      </c>
      <c r="J47" s="63"/>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row>
    <row r="48" spans="2:46" x14ac:dyDescent="0.25">
      <c r="B48" s="14"/>
      <c r="C48" s="20" t="s">
        <v>421</v>
      </c>
      <c r="D48" s="14" t="s">
        <v>313</v>
      </c>
      <c r="E48" s="20"/>
      <c r="F48" s="428"/>
      <c r="G48" s="429"/>
      <c r="H48" s="20"/>
      <c r="I48" s="385">
        <f>AVERAGE(I46:I47)</f>
        <v>180267.33950848284</v>
      </c>
      <c r="J48" s="63"/>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row>
    <row r="49" spans="2:46" x14ac:dyDescent="0.25">
      <c r="B49" s="14"/>
      <c r="C49" s="14" t="s">
        <v>413</v>
      </c>
      <c r="D49" s="14" t="s">
        <v>414</v>
      </c>
      <c r="E49" s="14" t="s">
        <v>251</v>
      </c>
      <c r="F49" s="340">
        <v>1500</v>
      </c>
      <c r="G49" s="227"/>
      <c r="H49" s="14"/>
      <c r="I49" s="228">
        <f>F49*Data!$E$48</f>
        <v>2170.2000000000003</v>
      </c>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row>
    <row r="50" spans="2:46" x14ac:dyDescent="0.25">
      <c r="B50" s="14"/>
      <c r="C50" s="14"/>
      <c r="D50" s="14"/>
      <c r="E50" s="14"/>
      <c r="F50" s="340"/>
      <c r="G50" s="227"/>
      <c r="H50" s="14"/>
      <c r="I50" s="228"/>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row>
    <row r="51" spans="2:46" x14ac:dyDescent="0.25">
      <c r="B51" s="14"/>
      <c r="C51" s="14"/>
      <c r="D51" s="14"/>
      <c r="E51" s="340"/>
      <c r="F51" s="227"/>
      <c r="G51" s="14"/>
      <c r="H51" s="228"/>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row>
    <row r="52" spans="2:46" x14ac:dyDescent="0.2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row>
    <row r="53" spans="2:46" x14ac:dyDescent="0.25">
      <c r="B53" s="14"/>
      <c r="C53" s="14" t="s">
        <v>422</v>
      </c>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row>
    <row r="54" spans="2:46" x14ac:dyDescent="0.25">
      <c r="B54" s="14"/>
      <c r="C54" s="14" t="s">
        <v>423</v>
      </c>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row>
    <row r="55" spans="2:46" x14ac:dyDescent="0.25">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row>
    <row r="56" spans="2:46" x14ac:dyDescent="0.25">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row>
    <row r="57" spans="2:46" x14ac:dyDescent="0.25">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row>
    <row r="58" spans="2:46" x14ac:dyDescent="0.25">
      <c r="B58" s="14"/>
      <c r="C58" s="37" t="s">
        <v>424</v>
      </c>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14"/>
      <c r="AT58" s="14"/>
    </row>
    <row r="59" spans="2:46" x14ac:dyDescent="0.25">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row>
    <row r="60" spans="2:46" x14ac:dyDescent="0.25">
      <c r="B60" s="14"/>
      <c r="C60" s="272" t="s">
        <v>185</v>
      </c>
      <c r="D60" s="272" t="s">
        <v>165</v>
      </c>
      <c r="E60" s="272" t="s">
        <v>166</v>
      </c>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row>
    <row r="61" spans="2:46" x14ac:dyDescent="0.25">
      <c r="B61" s="14"/>
      <c r="C61" s="14" t="s">
        <v>425</v>
      </c>
      <c r="D61" s="14" t="s">
        <v>426</v>
      </c>
      <c r="E61" s="341">
        <v>100000</v>
      </c>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row>
    <row r="62" spans="2:46" x14ac:dyDescent="0.25">
      <c r="B62" s="14"/>
      <c r="C62" s="14"/>
      <c r="D62" s="14"/>
      <c r="E62" s="216"/>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row>
    <row r="63" spans="2:46" x14ac:dyDescent="0.25">
      <c r="B63" s="14"/>
      <c r="C63" s="272" t="s">
        <v>28</v>
      </c>
      <c r="D63" s="272" t="s">
        <v>165</v>
      </c>
      <c r="E63" s="272" t="s">
        <v>166</v>
      </c>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row>
    <row r="64" spans="2:46" x14ac:dyDescent="0.25">
      <c r="B64" s="14"/>
      <c r="C64" s="14" t="s">
        <v>427</v>
      </c>
      <c r="D64" s="14" t="s">
        <v>426</v>
      </c>
      <c r="E64" s="341">
        <v>147000</v>
      </c>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row>
    <row r="65" spans="2:46" x14ac:dyDescent="0.25">
      <c r="B65" s="14"/>
      <c r="C65" s="14" t="s">
        <v>428</v>
      </c>
      <c r="D65" s="14" t="s">
        <v>426</v>
      </c>
      <c r="E65" s="340">
        <v>47000</v>
      </c>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row>
    <row r="66" spans="2:46" x14ac:dyDescent="0.25">
      <c r="B66" s="14"/>
      <c r="C66" s="14"/>
      <c r="D66" s="14"/>
      <c r="E66" s="229"/>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row>
    <row r="67" spans="2:46" x14ac:dyDescent="0.25">
      <c r="B67" s="14"/>
      <c r="C67" s="14" t="s">
        <v>429</v>
      </c>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row>
    <row r="68" spans="2:46" x14ac:dyDescent="0.2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row>
    <row r="69" spans="2:46" x14ac:dyDescent="0.25">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row>
    <row r="70" spans="2:46" x14ac:dyDescent="0.2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row>
    <row r="71" spans="2:46" x14ac:dyDescent="0.2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row>
    <row r="72" spans="2:46" x14ac:dyDescent="0.25">
      <c r="B72" s="14"/>
      <c r="C72" s="230"/>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row>
    <row r="73" spans="2:46" x14ac:dyDescent="0.25">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row>
    <row r="74" spans="2:46" x14ac:dyDescent="0.25">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row>
    <row r="75" spans="2:46" x14ac:dyDescent="0.25">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row>
    <row r="76" spans="2:46" x14ac:dyDescent="0.25">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row>
    <row r="77" spans="2:46" x14ac:dyDescent="0.25">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row>
    <row r="78" spans="2:46" x14ac:dyDescent="0.25">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row>
    <row r="79" spans="2:46" x14ac:dyDescent="0.25">
      <c r="B79" s="14"/>
      <c r="C79" s="24" t="s">
        <v>168</v>
      </c>
      <c r="D79" s="24"/>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307"/>
      <c r="AS79" s="307"/>
      <c r="AT79" s="307"/>
    </row>
    <row r="80" spans="2:46" x14ac:dyDescent="0.25">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row>
    <row r="81" spans="2:46" x14ac:dyDescent="0.25">
      <c r="B81" s="14"/>
      <c r="C81" s="37" t="s">
        <v>430</v>
      </c>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14"/>
      <c r="AT81" s="14"/>
    </row>
    <row r="82" spans="2:46" x14ac:dyDescent="0.25">
      <c r="B82" s="14"/>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4"/>
      <c r="AT82" s="14"/>
    </row>
    <row r="83" spans="2:46" x14ac:dyDescent="0.25">
      <c r="B83" s="14"/>
      <c r="C83" s="142" t="s">
        <v>431</v>
      </c>
      <c r="D83" s="2"/>
      <c r="E83" s="2"/>
      <c r="F83" s="2"/>
      <c r="G83" s="2"/>
      <c r="H83" s="2"/>
      <c r="I83" s="2"/>
      <c r="J83" s="2"/>
      <c r="K83" s="2"/>
      <c r="L83" s="2"/>
      <c r="M83" s="142" t="s">
        <v>432</v>
      </c>
      <c r="N83" s="2"/>
      <c r="O83" s="2"/>
      <c r="P83" s="2"/>
      <c r="Q83" s="2"/>
      <c r="R83" s="2"/>
      <c r="S83" s="2"/>
      <c r="T83" s="2"/>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row>
    <row r="84" spans="2:46" ht="38.25" x14ac:dyDescent="0.25">
      <c r="B84" s="14"/>
      <c r="C84" s="528"/>
      <c r="D84" s="313" t="s">
        <v>433</v>
      </c>
      <c r="E84" s="314" t="s">
        <v>205</v>
      </c>
      <c r="F84" s="314" t="s">
        <v>434</v>
      </c>
      <c r="G84" s="314" t="s">
        <v>435</v>
      </c>
      <c r="H84" s="314" t="s">
        <v>436</v>
      </c>
      <c r="I84" s="314" t="s">
        <v>437</v>
      </c>
      <c r="J84" s="315" t="s">
        <v>438</v>
      </c>
      <c r="K84" s="316" t="s">
        <v>439</v>
      </c>
      <c r="L84" s="314" t="s">
        <v>440</v>
      </c>
      <c r="M84" s="317" t="str">
        <f t="shared" ref="M84:T84" si="0">E84</f>
        <v>CO</v>
      </c>
      <c r="N84" s="317" t="str">
        <f t="shared" si="0"/>
        <v>CO2-e</v>
      </c>
      <c r="O84" s="317" t="str">
        <f t="shared" si="0"/>
        <v>VOC</v>
      </c>
      <c r="P84" s="317" t="str">
        <f t="shared" si="0"/>
        <v>NOx</v>
      </c>
      <c r="Q84" s="317" t="str">
        <f t="shared" si="0"/>
        <v>NO2</v>
      </c>
      <c r="R84" s="317" t="str">
        <f t="shared" si="0"/>
        <v>PM2.5
Exhaust</v>
      </c>
      <c r="S84" s="317" t="str">
        <f t="shared" si="0"/>
        <v>PM10
Brake &amp; Tyre</v>
      </c>
      <c r="T84" s="317" t="str">
        <f t="shared" si="0"/>
        <v>FC</v>
      </c>
      <c r="U84" s="239"/>
      <c r="V84" s="239"/>
      <c r="W84" s="239"/>
      <c r="X84" s="14"/>
      <c r="Y84" s="14"/>
      <c r="Z84" s="14"/>
      <c r="AA84" s="14"/>
      <c r="AB84" s="14"/>
      <c r="AC84" s="14"/>
      <c r="AD84" s="14"/>
      <c r="AE84" s="239"/>
      <c r="AF84" s="239"/>
      <c r="AG84" s="239"/>
      <c r="AH84" s="239"/>
      <c r="AI84" s="239"/>
      <c r="AJ84" s="239"/>
      <c r="AK84" s="239"/>
      <c r="AL84" s="239"/>
      <c r="AM84" s="239"/>
      <c r="AN84" s="239"/>
      <c r="AO84" s="14"/>
      <c r="AP84" s="14"/>
      <c r="AQ84" s="14"/>
      <c r="AR84" s="14"/>
      <c r="AS84" s="14"/>
      <c r="AT84" s="14"/>
    </row>
    <row r="85" spans="2:46" ht="15" customHeight="1" x14ac:dyDescent="0.25">
      <c r="B85" s="14"/>
      <c r="C85" s="528"/>
      <c r="D85" s="318" t="s">
        <v>128</v>
      </c>
      <c r="E85" s="319" t="s">
        <v>368</v>
      </c>
      <c r="F85" s="319" t="s">
        <v>368</v>
      </c>
      <c r="G85" s="319" t="s">
        <v>368</v>
      </c>
      <c r="H85" s="319" t="s">
        <v>368</v>
      </c>
      <c r="I85" s="319" t="s">
        <v>368</v>
      </c>
      <c r="J85" s="319" t="s">
        <v>368</v>
      </c>
      <c r="K85" s="320" t="s">
        <v>368</v>
      </c>
      <c r="L85" s="319" t="s">
        <v>441</v>
      </c>
      <c r="M85" s="318" t="s">
        <v>128</v>
      </c>
      <c r="N85" s="318" t="s">
        <v>128</v>
      </c>
      <c r="O85" s="318" t="s">
        <v>128</v>
      </c>
      <c r="P85" s="318" t="s">
        <v>128</v>
      </c>
      <c r="Q85" s="318" t="s">
        <v>128</v>
      </c>
      <c r="R85" s="318" t="s">
        <v>128</v>
      </c>
      <c r="S85" s="318" t="s">
        <v>128</v>
      </c>
      <c r="T85" s="318" t="s">
        <v>128</v>
      </c>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row>
    <row r="86" spans="2:46" x14ac:dyDescent="0.25">
      <c r="B86" s="14"/>
      <c r="C86" s="311" t="s">
        <v>442</v>
      </c>
      <c r="D86" s="331">
        <v>0.06</v>
      </c>
      <c r="E86" s="332">
        <v>2.4147531277417236</v>
      </c>
      <c r="F86" s="333">
        <v>1793.9676213213104</v>
      </c>
      <c r="G86" s="332">
        <v>0.16502425067051776</v>
      </c>
      <c r="H86" s="332">
        <v>7.1402398373770595</v>
      </c>
      <c r="I86" s="332">
        <v>0.82268327677444808</v>
      </c>
      <c r="J86" s="332">
        <v>0.22132928521602108</v>
      </c>
      <c r="K86" s="332">
        <v>5.4212567091624524E-2</v>
      </c>
      <c r="L86" s="332">
        <v>67.349716166779203</v>
      </c>
      <c r="M86" s="310"/>
      <c r="N86" s="310"/>
      <c r="O86" s="310"/>
      <c r="P86" s="310"/>
      <c r="Q86" s="310"/>
      <c r="R86" s="310"/>
      <c r="S86" s="310"/>
      <c r="T86" s="310"/>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row>
    <row r="87" spans="2:46" x14ac:dyDescent="0.25">
      <c r="B87" s="14"/>
      <c r="C87" s="448" t="s">
        <v>443</v>
      </c>
      <c r="D87" s="449">
        <v>0.06</v>
      </c>
      <c r="E87" s="450">
        <v>2.2784622285082778</v>
      </c>
      <c r="F87" s="451">
        <v>1449.5306269264597</v>
      </c>
      <c r="G87" s="450">
        <v>0.13066845481729539</v>
      </c>
      <c r="H87" s="450">
        <v>5.0920564903807808</v>
      </c>
      <c r="I87" s="450">
        <v>0.55996854378939265</v>
      </c>
      <c r="J87" s="450">
        <v>0.16921694328064574</v>
      </c>
      <c r="K87" s="450">
        <v>2.9163419999999989E-2</v>
      </c>
      <c r="L87" s="450">
        <v>54.318660181595796</v>
      </c>
      <c r="M87" s="452">
        <f>E87/E$104-1</f>
        <v>1.0498567495616573</v>
      </c>
      <c r="N87" s="452">
        <f t="shared" ref="N87:S87" si="1">F87/F$104-1</f>
        <v>1.8416236756763147</v>
      </c>
      <c r="O87" s="452">
        <f t="shared" si="1"/>
        <v>0.46214503946422369</v>
      </c>
      <c r="P87" s="452">
        <f t="shared" si="1"/>
        <v>0.76447115322824755</v>
      </c>
      <c r="Q87" s="452">
        <f t="shared" si="1"/>
        <v>0.81758635982083372</v>
      </c>
      <c r="R87" s="452">
        <f t="shared" si="1"/>
        <v>0.86481776027193025</v>
      </c>
      <c r="S87" s="452">
        <f t="shared" si="1"/>
        <v>0</v>
      </c>
      <c r="T87" s="452">
        <f>L87/L$104-1</f>
        <v>1.8759561366125772</v>
      </c>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row>
    <row r="88" spans="2:46" x14ac:dyDescent="0.25">
      <c r="B88" s="14"/>
      <c r="C88" s="453" t="s">
        <v>444</v>
      </c>
      <c r="D88" s="454">
        <v>0.06</v>
      </c>
      <c r="E88" s="455">
        <v>2.5517531432754836</v>
      </c>
      <c r="F88" s="456">
        <v>2065.5229578140329</v>
      </c>
      <c r="G88" s="455">
        <v>0.19206057331387916</v>
      </c>
      <c r="H88" s="455">
        <v>8.5601095770396238</v>
      </c>
      <c r="I88" s="455">
        <v>1.0026939359736067</v>
      </c>
      <c r="J88" s="455">
        <v>0.25295807586290259</v>
      </c>
      <c r="K88" s="455">
        <v>7.1078080499999988E-2</v>
      </c>
      <c r="L88" s="455">
        <v>77.595889306707846</v>
      </c>
      <c r="M88" s="457">
        <f>E88/E$105-1</f>
        <v>0.96377748185130963</v>
      </c>
      <c r="N88" s="457">
        <f>F88/F$105-1</f>
        <v>2.1038541953207495</v>
      </c>
      <c r="O88" s="457">
        <f t="shared" ref="O88:S88" si="2">G88/G$105-1</f>
        <v>0.35102312909078326</v>
      </c>
      <c r="P88" s="457">
        <f t="shared" si="2"/>
        <v>1.1894866170462377</v>
      </c>
      <c r="Q88" s="457">
        <f t="shared" si="2"/>
        <v>1.2599639426535036</v>
      </c>
      <c r="R88" s="457">
        <f t="shared" si="2"/>
        <v>0.97594621699206319</v>
      </c>
      <c r="S88" s="457">
        <f t="shared" si="2"/>
        <v>0</v>
      </c>
      <c r="T88" s="457">
        <f>L88/L$105-1</f>
        <v>2.1311056190704241</v>
      </c>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row>
    <row r="89" spans="2:46" x14ac:dyDescent="0.25">
      <c r="B89" s="14"/>
      <c r="C89" s="312" t="s">
        <v>445</v>
      </c>
      <c r="D89" s="334">
        <v>0.06</v>
      </c>
      <c r="E89" s="335">
        <v>2.8333915956649354</v>
      </c>
      <c r="F89" s="336">
        <v>2190.3554531724567</v>
      </c>
      <c r="G89" s="335">
        <v>0.20166023815775913</v>
      </c>
      <c r="H89" s="335">
        <v>9.4908418835038795</v>
      </c>
      <c r="I89" s="335">
        <v>1.111869964363206</v>
      </c>
      <c r="J89" s="335">
        <v>0.30796411884087693</v>
      </c>
      <c r="K89" s="335">
        <v>7.1078080499999974E-2</v>
      </c>
      <c r="L89" s="335">
        <v>82.34026427764114</v>
      </c>
      <c r="M89" s="309"/>
      <c r="N89" s="309"/>
      <c r="O89" s="309"/>
      <c r="P89" s="309"/>
      <c r="Q89" s="309"/>
      <c r="R89" s="309"/>
      <c r="S89" s="309"/>
      <c r="T89" s="309"/>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row>
    <row r="90" spans="2:46" x14ac:dyDescent="0.25">
      <c r="B90" s="14"/>
      <c r="C90" s="312" t="s">
        <v>446</v>
      </c>
      <c r="D90" s="334">
        <v>0.06</v>
      </c>
      <c r="E90" s="335">
        <v>0</v>
      </c>
      <c r="F90" s="336">
        <v>0</v>
      </c>
      <c r="G90" s="335">
        <v>0</v>
      </c>
      <c r="H90" s="335">
        <v>0</v>
      </c>
      <c r="I90" s="335">
        <v>0</v>
      </c>
      <c r="J90" s="335">
        <v>0</v>
      </c>
      <c r="K90" s="335">
        <v>2.9163419999999995E-2</v>
      </c>
      <c r="L90" s="335">
        <v>0</v>
      </c>
      <c r="M90" s="203">
        <f>M87*$T$90</f>
        <v>0.1574785124342486</v>
      </c>
      <c r="N90" s="203">
        <f t="shared" ref="N90:S90" si="3">N87*$T$90</f>
        <v>0.27624355135144718</v>
      </c>
      <c r="O90" s="203">
        <f t="shared" si="3"/>
        <v>6.9321755919633549E-2</v>
      </c>
      <c r="P90" s="203">
        <f t="shared" si="3"/>
        <v>0.11467067298423712</v>
      </c>
      <c r="Q90" s="203">
        <f t="shared" si="3"/>
        <v>0.12263795397312505</v>
      </c>
      <c r="R90" s="203">
        <f t="shared" si="3"/>
        <v>0.12972266404078953</v>
      </c>
      <c r="S90" s="203">
        <f t="shared" si="3"/>
        <v>0</v>
      </c>
      <c r="T90" s="433">
        <f>Data!E88</f>
        <v>0.15</v>
      </c>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row>
    <row r="91" spans="2:46" x14ac:dyDescent="0.25">
      <c r="B91" s="14"/>
      <c r="C91" s="321" t="s">
        <v>394</v>
      </c>
      <c r="D91" s="337">
        <v>0.06</v>
      </c>
      <c r="E91" s="338"/>
      <c r="F91" s="339"/>
      <c r="G91" s="338"/>
      <c r="H91" s="338"/>
      <c r="I91" s="338"/>
      <c r="J91" s="338"/>
      <c r="K91" s="338"/>
      <c r="L91" s="338"/>
      <c r="M91" s="322">
        <f>AVERAGE(M86:M89)</f>
        <v>1.0068171157064834</v>
      </c>
      <c r="N91" s="322">
        <f t="shared" ref="N91:S91" si="4">AVERAGE(N86:N89)</f>
        <v>1.9727389354985321</v>
      </c>
      <c r="O91" s="322">
        <f t="shared" si="4"/>
        <v>0.40658408427750348</v>
      </c>
      <c r="P91" s="322">
        <f t="shared" si="4"/>
        <v>0.97697888513724263</v>
      </c>
      <c r="Q91" s="322">
        <f t="shared" si="4"/>
        <v>1.0387751512371688</v>
      </c>
      <c r="R91" s="322">
        <f t="shared" si="4"/>
        <v>0.92038198863199672</v>
      </c>
      <c r="S91" s="322">
        <f t="shared" si="4"/>
        <v>0</v>
      </c>
      <c r="T91" s="322">
        <f>AVERAGE(T86:T89)</f>
        <v>2.0035308778415004</v>
      </c>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row>
    <row r="92" spans="2:46" hidden="1" x14ac:dyDescent="0.25">
      <c r="B92" s="14"/>
      <c r="C92" s="311" t="s">
        <v>442</v>
      </c>
      <c r="D92" s="331">
        <v>0.04</v>
      </c>
      <c r="E92" s="332">
        <v>2.1697346969455431</v>
      </c>
      <c r="F92" s="333">
        <v>1379.0785093798477</v>
      </c>
      <c r="G92" s="332">
        <v>0.14532681094367328</v>
      </c>
      <c r="H92" s="332">
        <v>5.683262450089912</v>
      </c>
      <c r="I92" s="332">
        <v>0.65544138668716112</v>
      </c>
      <c r="J92" s="332">
        <v>0.19187218745342116</v>
      </c>
      <c r="K92" s="332">
        <v>5.4212567091624524E-2</v>
      </c>
      <c r="L92" s="332">
        <v>51.701050519100683</v>
      </c>
      <c r="M92" s="310"/>
      <c r="N92" s="310"/>
      <c r="O92" s="310"/>
      <c r="P92" s="310"/>
      <c r="Q92" s="310"/>
      <c r="R92" s="310"/>
      <c r="S92" s="310"/>
      <c r="T92" s="310"/>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row>
    <row r="93" spans="2:46" hidden="1" x14ac:dyDescent="0.25">
      <c r="B93" s="14"/>
      <c r="C93" s="312" t="s">
        <v>443</v>
      </c>
      <c r="D93" s="334">
        <v>0.04</v>
      </c>
      <c r="E93" s="335">
        <v>1.9633669309872446</v>
      </c>
      <c r="F93" s="336">
        <v>1118.87607677239</v>
      </c>
      <c r="G93" s="335">
        <v>0.11305372218748963</v>
      </c>
      <c r="H93" s="335">
        <v>4.0401101000621908</v>
      </c>
      <c r="I93" s="335">
        <v>0.4447924291874763</v>
      </c>
      <c r="J93" s="335">
        <v>0.14945179202434766</v>
      </c>
      <c r="K93" s="335">
        <v>2.9163419999999989E-2</v>
      </c>
      <c r="L93" s="335">
        <v>41.849228086753051</v>
      </c>
      <c r="M93" s="309"/>
      <c r="N93" s="309"/>
      <c r="O93" s="309"/>
      <c r="P93" s="309"/>
      <c r="Q93" s="309"/>
      <c r="R93" s="309"/>
      <c r="S93" s="309"/>
      <c r="T93" s="309"/>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row>
    <row r="94" spans="2:46" hidden="1" x14ac:dyDescent="0.25">
      <c r="B94" s="14"/>
      <c r="C94" s="312" t="s">
        <v>444</v>
      </c>
      <c r="D94" s="334">
        <v>0.04</v>
      </c>
      <c r="E94" s="335">
        <v>2.3186270628422898</v>
      </c>
      <c r="F94" s="336">
        <v>1589.8921481305304</v>
      </c>
      <c r="G94" s="335">
        <v>0.17027025812130298</v>
      </c>
      <c r="H94" s="335">
        <v>6.8140568176650618</v>
      </c>
      <c r="I94" s="335">
        <v>0.79894802653970753</v>
      </c>
      <c r="J94" s="335">
        <v>0.21732773340484948</v>
      </c>
      <c r="K94" s="335">
        <v>7.1078080499999988E-2</v>
      </c>
      <c r="L94" s="335">
        <v>59.655342683594078</v>
      </c>
      <c r="M94" s="309">
        <f t="shared" ref="M94:S94" si="5">E94/E$105-1</f>
        <v>0.78436837701944029</v>
      </c>
      <c r="N94" s="309">
        <f t="shared" si="5"/>
        <v>1.3891254248294653</v>
      </c>
      <c r="O94" s="309">
        <f t="shared" si="5"/>
        <v>0.19774221720244345</v>
      </c>
      <c r="P94" s="309">
        <f t="shared" si="5"/>
        <v>0.74288495676359356</v>
      </c>
      <c r="Q94" s="309">
        <f t="shared" si="5"/>
        <v>0.80074264663892514</v>
      </c>
      <c r="R94" s="309">
        <f t="shared" si="5"/>
        <v>0.6976248384396786</v>
      </c>
      <c r="S94" s="309">
        <f t="shared" si="5"/>
        <v>0</v>
      </c>
      <c r="T94" s="309">
        <f>L94/L$105-1</f>
        <v>1.4071787868281591</v>
      </c>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row>
    <row r="95" spans="2:46" hidden="1" x14ac:dyDescent="0.25">
      <c r="B95" s="14"/>
      <c r="C95" s="312" t="s">
        <v>445</v>
      </c>
      <c r="D95" s="334">
        <v>0.04</v>
      </c>
      <c r="E95" s="335">
        <v>2.7064888904524138</v>
      </c>
      <c r="F95" s="336">
        <v>1661.1634140655153</v>
      </c>
      <c r="G95" s="335">
        <v>0.1793969764048334</v>
      </c>
      <c r="H95" s="335">
        <v>7.592180500713912</v>
      </c>
      <c r="I95" s="335">
        <v>0.88969539020811161</v>
      </c>
      <c r="J95" s="335">
        <v>0.26616700963122714</v>
      </c>
      <c r="K95" s="335">
        <v>7.1078080499999974E-2</v>
      </c>
      <c r="L95" s="335">
        <v>62.377129520531035</v>
      </c>
      <c r="M95" s="309"/>
      <c r="N95" s="309"/>
      <c r="O95" s="309"/>
      <c r="P95" s="309"/>
      <c r="Q95" s="309"/>
      <c r="R95" s="309"/>
      <c r="S95" s="309"/>
      <c r="T95" s="309"/>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row>
    <row r="96" spans="2:46" hidden="1" x14ac:dyDescent="0.25">
      <c r="B96" s="14"/>
      <c r="C96" s="312" t="s">
        <v>446</v>
      </c>
      <c r="D96" s="334">
        <v>0.04</v>
      </c>
      <c r="E96" s="335">
        <v>0</v>
      </c>
      <c r="F96" s="336">
        <v>0</v>
      </c>
      <c r="G96" s="335">
        <v>0</v>
      </c>
      <c r="H96" s="335">
        <v>0</v>
      </c>
      <c r="I96" s="335">
        <v>0</v>
      </c>
      <c r="J96" s="335">
        <v>0</v>
      </c>
      <c r="K96" s="335">
        <v>2.9163419999999995E-2</v>
      </c>
      <c r="L96" s="335">
        <v>0</v>
      </c>
      <c r="M96" s="309"/>
      <c r="N96" s="309"/>
      <c r="O96" s="309"/>
      <c r="P96" s="309"/>
      <c r="Q96" s="309"/>
      <c r="R96" s="309"/>
      <c r="S96" s="309"/>
      <c r="T96" s="309"/>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row>
    <row r="97" spans="2:46" x14ac:dyDescent="0.25">
      <c r="B97" s="14"/>
      <c r="C97" s="311" t="s">
        <v>442</v>
      </c>
      <c r="D97" s="331">
        <v>0.02</v>
      </c>
      <c r="E97" s="332">
        <v>1.700635582282735</v>
      </c>
      <c r="F97" s="333">
        <v>966.06618201470519</v>
      </c>
      <c r="G97" s="332">
        <v>0.12971042506265151</v>
      </c>
      <c r="H97" s="332">
        <v>4.2020020884253162</v>
      </c>
      <c r="I97" s="332">
        <v>0.4832539134993854</v>
      </c>
      <c r="J97" s="332">
        <v>0.15480001940303337</v>
      </c>
      <c r="K97" s="332">
        <v>5.4212567091624524E-2</v>
      </c>
      <c r="L97" s="332">
        <v>36.12167134019036</v>
      </c>
      <c r="M97" s="310"/>
      <c r="N97" s="310"/>
      <c r="O97" s="310"/>
      <c r="P97" s="310"/>
      <c r="Q97" s="310"/>
      <c r="R97" s="310"/>
      <c r="S97" s="310"/>
      <c r="T97" s="310"/>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row>
    <row r="98" spans="2:46" x14ac:dyDescent="0.25">
      <c r="B98" s="14"/>
      <c r="C98" s="448" t="s">
        <v>443</v>
      </c>
      <c r="D98" s="449">
        <v>0.02</v>
      </c>
      <c r="E98" s="450">
        <v>1.5167925126217312</v>
      </c>
      <c r="F98" s="451">
        <v>798.57224517300165</v>
      </c>
      <c r="G98" s="450">
        <v>9.8945127861168394E-2</v>
      </c>
      <c r="H98" s="450">
        <v>3.0801352924069461</v>
      </c>
      <c r="I98" s="450">
        <v>0.33794088062998784</v>
      </c>
      <c r="J98" s="450">
        <v>0.12230502993728667</v>
      </c>
      <c r="K98" s="450">
        <v>2.9163419999999989E-2</v>
      </c>
      <c r="L98" s="450">
        <v>29.768615735222717</v>
      </c>
      <c r="M98" s="452">
        <f>E98/E$104-1</f>
        <v>0.36460781784293905</v>
      </c>
      <c r="N98" s="452">
        <f t="shared" ref="N98:S98" si="6">F98/F$104-1</f>
        <v>0.56550110530139186</v>
      </c>
      <c r="O98" s="452">
        <f t="shared" si="6"/>
        <v>0.10716950073103493</v>
      </c>
      <c r="P98" s="452">
        <f t="shared" si="6"/>
        <v>6.7311386226569292E-2</v>
      </c>
      <c r="Q98" s="452">
        <f t="shared" si="6"/>
        <v>9.6912928183916724E-2</v>
      </c>
      <c r="R98" s="452">
        <f t="shared" si="6"/>
        <v>0.34783543288202545</v>
      </c>
      <c r="S98" s="452">
        <f t="shared" si="6"/>
        <v>0</v>
      </c>
      <c r="T98" s="452">
        <f>L98/L$104-1</f>
        <v>0.5761293230716118</v>
      </c>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row>
    <row r="99" spans="2:46" x14ac:dyDescent="0.25">
      <c r="B99" s="14"/>
      <c r="C99" s="453" t="s">
        <v>444</v>
      </c>
      <c r="D99" s="454">
        <v>0.02</v>
      </c>
      <c r="E99" s="455">
        <v>1.8598783645000494</v>
      </c>
      <c r="F99" s="456">
        <v>1103.3876143958078</v>
      </c>
      <c r="G99" s="455">
        <v>0.15416271140206944</v>
      </c>
      <c r="H99" s="455">
        <v>4.9558969656036691</v>
      </c>
      <c r="I99" s="455">
        <v>0.58054519849749664</v>
      </c>
      <c r="J99" s="455">
        <v>0.17454570235761604</v>
      </c>
      <c r="K99" s="455">
        <v>7.1078080499999988E-2</v>
      </c>
      <c r="L99" s="455">
        <v>41.302792926565161</v>
      </c>
      <c r="M99" s="457">
        <f>E99/E$105-1</f>
        <v>0.43132467998035207</v>
      </c>
      <c r="N99" s="457">
        <f t="shared" ref="N99:S99" si="7">F99/F$105-1</f>
        <v>0.6580567468646481</v>
      </c>
      <c r="O99" s="457">
        <f t="shared" si="7"/>
        <v>8.4435942025234745E-2</v>
      </c>
      <c r="P99" s="457">
        <f t="shared" si="7"/>
        <v>0.26760878280741474</v>
      </c>
      <c r="Q99" s="457">
        <f t="shared" si="7"/>
        <v>0.30848623753868876</v>
      </c>
      <c r="R99" s="457">
        <f t="shared" si="7"/>
        <v>0.36343905640979823</v>
      </c>
      <c r="S99" s="457">
        <f t="shared" si="7"/>
        <v>0</v>
      </c>
      <c r="T99" s="457">
        <f>L99/L$105-1</f>
        <v>0.66662703618876962</v>
      </c>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row>
    <row r="100" spans="2:46" x14ac:dyDescent="0.25">
      <c r="B100" s="14"/>
      <c r="C100" s="312" t="s">
        <v>445</v>
      </c>
      <c r="D100" s="334">
        <v>0.02</v>
      </c>
      <c r="E100" s="335">
        <v>2.0206278043628285</v>
      </c>
      <c r="F100" s="336">
        <v>1158.6297654547047</v>
      </c>
      <c r="G100" s="335">
        <v>0.15752479263588359</v>
      </c>
      <c r="H100" s="335">
        <v>5.6496618153603544</v>
      </c>
      <c r="I100" s="335">
        <v>0.65860217883291361</v>
      </c>
      <c r="J100" s="335">
        <v>0.21247017279877786</v>
      </c>
      <c r="K100" s="335">
        <v>7.1078080499999974E-2</v>
      </c>
      <c r="L100" s="335">
        <v>43.419394868741236</v>
      </c>
      <c r="M100" s="309"/>
      <c r="N100" s="309"/>
      <c r="O100" s="309"/>
      <c r="P100" s="309"/>
      <c r="Q100" s="309"/>
      <c r="R100" s="309"/>
      <c r="S100" s="309"/>
      <c r="T100" s="309"/>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row>
    <row r="101" spans="2:46" x14ac:dyDescent="0.25">
      <c r="B101" s="14"/>
      <c r="C101" s="312" t="s">
        <v>446</v>
      </c>
      <c r="D101" s="334">
        <v>0.02</v>
      </c>
      <c r="E101" s="335">
        <v>0</v>
      </c>
      <c r="F101" s="336">
        <v>0</v>
      </c>
      <c r="G101" s="335">
        <v>0</v>
      </c>
      <c r="H101" s="335">
        <v>0</v>
      </c>
      <c r="I101" s="335">
        <v>0</v>
      </c>
      <c r="J101" s="335">
        <v>0</v>
      </c>
      <c r="K101" s="335">
        <v>2.9163419999999995E-2</v>
      </c>
      <c r="L101" s="335">
        <v>0</v>
      </c>
      <c r="M101" s="309">
        <f>M98*$T$101</f>
        <v>2.5522547249005736E-2</v>
      </c>
      <c r="N101" s="309">
        <f t="shared" ref="N101:S101" si="8">N98*$T$101</f>
        <v>3.9585077371097434E-2</v>
      </c>
      <c r="O101" s="309">
        <f t="shared" si="8"/>
        <v>7.5018650511724455E-3</v>
      </c>
      <c r="P101" s="309">
        <f t="shared" si="8"/>
        <v>4.7117970358598509E-3</v>
      </c>
      <c r="Q101" s="309">
        <f t="shared" si="8"/>
        <v>6.7839049728741713E-3</v>
      </c>
      <c r="R101" s="309">
        <f t="shared" si="8"/>
        <v>2.4348480301741783E-2</v>
      </c>
      <c r="S101" s="309">
        <f t="shared" si="8"/>
        <v>0</v>
      </c>
      <c r="T101" s="434">
        <f>Data!E87</f>
        <v>7.0000000000000007E-2</v>
      </c>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row>
    <row r="102" spans="2:46" x14ac:dyDescent="0.25">
      <c r="B102" s="14"/>
      <c r="C102" s="321" t="s">
        <v>394</v>
      </c>
      <c r="D102" s="337">
        <v>0.02</v>
      </c>
      <c r="E102" s="338"/>
      <c r="F102" s="339"/>
      <c r="G102" s="338"/>
      <c r="H102" s="338"/>
      <c r="I102" s="338"/>
      <c r="J102" s="338"/>
      <c r="K102" s="338"/>
      <c r="L102" s="338"/>
      <c r="M102" s="322">
        <f>AVERAGE(M97:M101)</f>
        <v>0.2738183483574323</v>
      </c>
      <c r="N102" s="322">
        <f t="shared" ref="N102:S102" si="9">AVERAGE(N97:N101)</f>
        <v>0.42104764317904581</v>
      </c>
      <c r="O102" s="322">
        <f t="shared" si="9"/>
        <v>6.6369102602480703E-2</v>
      </c>
      <c r="P102" s="322">
        <f t="shared" si="9"/>
        <v>0.11321065535661462</v>
      </c>
      <c r="Q102" s="322">
        <f t="shared" si="9"/>
        <v>0.13739435689849322</v>
      </c>
      <c r="R102" s="322">
        <f t="shared" si="9"/>
        <v>0.24520765653118848</v>
      </c>
      <c r="S102" s="322">
        <f t="shared" si="9"/>
        <v>0</v>
      </c>
      <c r="T102" s="322">
        <f>AVERAGE(T97:T100)</f>
        <v>0.62137817963019071</v>
      </c>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row>
    <row r="103" spans="2:46" x14ac:dyDescent="0.25">
      <c r="B103" s="14"/>
      <c r="C103" s="311" t="s">
        <v>442</v>
      </c>
      <c r="D103" s="331">
        <v>0</v>
      </c>
      <c r="E103" s="332">
        <v>1.210963213948566</v>
      </c>
      <c r="F103" s="333">
        <v>594.90720514478505</v>
      </c>
      <c r="G103" s="332">
        <v>0.11919011536420937</v>
      </c>
      <c r="H103" s="332">
        <v>3.5639127525053658</v>
      </c>
      <c r="I103" s="332">
        <v>0.39576075881852313</v>
      </c>
      <c r="J103" s="332">
        <v>0.11384795582898034</v>
      </c>
      <c r="K103" s="332">
        <v>5.4212567091624524E-2</v>
      </c>
      <c r="L103" s="332">
        <v>22.119784075849761</v>
      </c>
      <c r="M103" s="310"/>
      <c r="N103" s="310"/>
      <c r="O103" s="310"/>
      <c r="P103" s="310"/>
      <c r="Q103" s="310"/>
      <c r="R103" s="310"/>
      <c r="S103" s="310"/>
      <c r="T103" s="310"/>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row>
    <row r="104" spans="2:46" s="463" customFormat="1" x14ac:dyDescent="0.25">
      <c r="B104" s="20"/>
      <c r="C104" s="458" t="s">
        <v>443</v>
      </c>
      <c r="D104" s="459">
        <v>0</v>
      </c>
      <c r="E104" s="460">
        <v>1.1115226607886164</v>
      </c>
      <c r="F104" s="461">
        <v>510.1064716394817</v>
      </c>
      <c r="G104" s="460">
        <v>8.9367642258784699E-2</v>
      </c>
      <c r="H104" s="460">
        <v>2.885882538269009</v>
      </c>
      <c r="I104" s="460">
        <v>0.30808359710874528</v>
      </c>
      <c r="J104" s="460">
        <v>9.074181235595391E-2</v>
      </c>
      <c r="K104" s="460">
        <v>2.9163419999999989E-2</v>
      </c>
      <c r="L104" s="460">
        <v>18.887165729020683</v>
      </c>
      <c r="M104" s="462"/>
      <c r="N104" s="462"/>
      <c r="O104" s="462"/>
      <c r="P104" s="462"/>
      <c r="Q104" s="462"/>
      <c r="R104" s="462"/>
      <c r="S104" s="462"/>
      <c r="T104" s="462"/>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row>
    <row r="105" spans="2:46" x14ac:dyDescent="0.25">
      <c r="B105" s="14"/>
      <c r="C105" s="464" t="s">
        <v>444</v>
      </c>
      <c r="D105" s="465">
        <v>0</v>
      </c>
      <c r="E105" s="466">
        <v>1.2994105324345977</v>
      </c>
      <c r="F105" s="467">
        <v>665.47035647741939</v>
      </c>
      <c r="G105" s="466">
        <v>0.14215935255167159</v>
      </c>
      <c r="H105" s="466">
        <v>3.9096423382517762</v>
      </c>
      <c r="I105" s="466">
        <v>0.4436769618528994</v>
      </c>
      <c r="J105" s="466">
        <v>0.12801870500704962</v>
      </c>
      <c r="K105" s="466">
        <v>7.1078080499999988E-2</v>
      </c>
      <c r="L105" s="466">
        <v>24.782265035743141</v>
      </c>
      <c r="M105" s="468">
        <f t="shared" ref="M105:T105" si="10">E105/E$105-1</f>
        <v>0</v>
      </c>
      <c r="N105" s="468">
        <f t="shared" si="10"/>
        <v>0</v>
      </c>
      <c r="O105" s="468">
        <f t="shared" si="10"/>
        <v>0</v>
      </c>
      <c r="P105" s="468">
        <f t="shared" si="10"/>
        <v>0</v>
      </c>
      <c r="Q105" s="468">
        <f t="shared" si="10"/>
        <v>0</v>
      </c>
      <c r="R105" s="468">
        <f t="shared" si="10"/>
        <v>0</v>
      </c>
      <c r="S105" s="468">
        <f t="shared" si="10"/>
        <v>0</v>
      </c>
      <c r="T105" s="468">
        <f t="shared" si="10"/>
        <v>0</v>
      </c>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row>
    <row r="106" spans="2:46" x14ac:dyDescent="0.25">
      <c r="B106" s="14"/>
      <c r="C106" s="312" t="s">
        <v>445</v>
      </c>
      <c r="D106" s="334">
        <v>0</v>
      </c>
      <c r="E106" s="335">
        <v>1.4396721050539152</v>
      </c>
      <c r="F106" s="336">
        <v>711.82607121841079</v>
      </c>
      <c r="G106" s="335">
        <v>0.14762807343775963</v>
      </c>
      <c r="H106" s="335">
        <v>5.1067701300487949</v>
      </c>
      <c r="I106" s="335">
        <v>0.56792457310642352</v>
      </c>
      <c r="J106" s="335">
        <v>0.15517571710897635</v>
      </c>
      <c r="K106" s="335">
        <v>7.1078080499999974E-2</v>
      </c>
      <c r="L106" s="335">
        <v>26.561938946939229</v>
      </c>
      <c r="M106" s="309"/>
      <c r="N106" s="309"/>
      <c r="O106" s="309"/>
      <c r="P106" s="309"/>
      <c r="Q106" s="309"/>
      <c r="R106" s="309"/>
      <c r="S106" s="309"/>
      <c r="T106" s="309"/>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row>
    <row r="107" spans="2:46" hidden="1" x14ac:dyDescent="0.25">
      <c r="B107" s="14"/>
      <c r="C107" s="312" t="s">
        <v>446</v>
      </c>
      <c r="D107" s="334">
        <v>0</v>
      </c>
      <c r="E107" s="335">
        <v>0</v>
      </c>
      <c r="F107" s="336">
        <v>0</v>
      </c>
      <c r="G107" s="335">
        <v>0</v>
      </c>
      <c r="H107" s="335">
        <v>0</v>
      </c>
      <c r="I107" s="335">
        <v>0</v>
      </c>
      <c r="J107" s="335">
        <v>0</v>
      </c>
      <c r="K107" s="335">
        <v>2.9163419999999995E-2</v>
      </c>
      <c r="L107" s="335">
        <v>0</v>
      </c>
      <c r="M107" s="309"/>
      <c r="N107" s="309"/>
      <c r="O107" s="309"/>
      <c r="P107" s="309"/>
      <c r="Q107" s="309"/>
      <c r="R107" s="309"/>
      <c r="S107" s="309"/>
      <c r="T107" s="309"/>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row>
    <row r="108" spans="2:46" hidden="1" x14ac:dyDescent="0.25">
      <c r="B108" s="14"/>
      <c r="C108" s="311" t="s">
        <v>442</v>
      </c>
      <c r="D108" s="331">
        <v>-0.02</v>
      </c>
      <c r="E108" s="332">
        <v>0.74131938281603704</v>
      </c>
      <c r="F108" s="333">
        <v>291.86893994777046</v>
      </c>
      <c r="G108" s="332">
        <v>9.097542569844505E-2</v>
      </c>
      <c r="H108" s="332">
        <v>2.5337491890406016</v>
      </c>
      <c r="I108" s="332">
        <v>0.27293052740213902</v>
      </c>
      <c r="J108" s="332">
        <v>7.3546237091452249E-2</v>
      </c>
      <c r="K108" s="332">
        <v>5.4212567091624524E-2</v>
      </c>
      <c r="L108" s="332">
        <v>10.692242102123551</v>
      </c>
      <c r="M108" s="310"/>
      <c r="N108" s="310"/>
      <c r="O108" s="310"/>
      <c r="P108" s="310"/>
      <c r="Q108" s="310"/>
      <c r="R108" s="310"/>
      <c r="S108" s="310"/>
      <c r="T108" s="310"/>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row>
    <row r="109" spans="2:46" hidden="1" x14ac:dyDescent="0.25">
      <c r="B109" s="14"/>
      <c r="C109" s="312" t="s">
        <v>443</v>
      </c>
      <c r="D109" s="334">
        <v>-0.02</v>
      </c>
      <c r="E109" s="335">
        <v>0.74351825930127835</v>
      </c>
      <c r="F109" s="336">
        <v>276.32148252156367</v>
      </c>
      <c r="G109" s="335">
        <v>6.9738064026655749E-2</v>
      </c>
      <c r="H109" s="335">
        <v>2.2766070405796492</v>
      </c>
      <c r="I109" s="335">
        <v>0.2382710937229286</v>
      </c>
      <c r="J109" s="335">
        <v>6.113425105248995E-2</v>
      </c>
      <c r="K109" s="335">
        <v>2.9163419999999989E-2</v>
      </c>
      <c r="L109" s="335">
        <v>10.07257880297114</v>
      </c>
      <c r="M109" s="309"/>
      <c r="N109" s="309"/>
      <c r="O109" s="309"/>
      <c r="P109" s="309"/>
      <c r="Q109" s="309"/>
      <c r="R109" s="309"/>
      <c r="S109" s="309"/>
      <c r="T109" s="309"/>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row>
    <row r="110" spans="2:46" ht="15.75" hidden="1" customHeight="1" x14ac:dyDescent="0.25">
      <c r="B110" s="14"/>
      <c r="C110" s="312" t="s">
        <v>444</v>
      </c>
      <c r="D110" s="334">
        <v>-0.02</v>
      </c>
      <c r="E110" s="335">
        <v>0.75987711809607472</v>
      </c>
      <c r="F110" s="336">
        <v>313.15604125471822</v>
      </c>
      <c r="G110" s="335">
        <v>0.1086246504962147</v>
      </c>
      <c r="H110" s="335">
        <v>2.7329167262648815</v>
      </c>
      <c r="I110" s="335">
        <v>0.29929378083607278</v>
      </c>
      <c r="J110" s="335">
        <v>8.0114349941596857E-2</v>
      </c>
      <c r="K110" s="335">
        <v>7.1078080499999988E-2</v>
      </c>
      <c r="L110" s="335">
        <v>11.495586843410999</v>
      </c>
      <c r="M110" s="309">
        <f t="shared" ref="M110:S110" si="11">E110/E$105-1</f>
        <v>-0.41521397654646064</v>
      </c>
      <c r="N110" s="309">
        <f t="shared" si="11"/>
        <v>-0.52942150133873889</v>
      </c>
      <c r="O110" s="309">
        <f t="shared" si="11"/>
        <v>-0.23589515183862286</v>
      </c>
      <c r="P110" s="309">
        <f t="shared" si="11"/>
        <v>-0.3009803736965555</v>
      </c>
      <c r="Q110" s="309">
        <f t="shared" si="11"/>
        <v>-0.32542411130352245</v>
      </c>
      <c r="R110" s="309">
        <f t="shared" si="11"/>
        <v>-0.37419809130872561</v>
      </c>
      <c r="S110" s="309">
        <f t="shared" si="11"/>
        <v>0</v>
      </c>
      <c r="T110" s="309">
        <f>L110/L$105-1</f>
        <v>-0.53613655463570165</v>
      </c>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row>
    <row r="111" spans="2:46" ht="15.75" hidden="1" customHeight="1" x14ac:dyDescent="0.25">
      <c r="B111" s="14"/>
      <c r="C111" s="312" t="s">
        <v>445</v>
      </c>
      <c r="D111" s="334">
        <v>-0.02</v>
      </c>
      <c r="E111" s="335">
        <v>0.82539923868229748</v>
      </c>
      <c r="F111" s="336">
        <v>320.64657330263282</v>
      </c>
      <c r="G111" s="335">
        <v>0.10741680242804424</v>
      </c>
      <c r="H111" s="335">
        <v>3.1101479562228103</v>
      </c>
      <c r="I111" s="335">
        <v>0.33726316052779726</v>
      </c>
      <c r="J111" s="335">
        <v>0.10268397687142529</v>
      </c>
      <c r="K111" s="335">
        <v>7.1078080499999974E-2</v>
      </c>
      <c r="L111" s="335">
        <v>11.809898404700856</v>
      </c>
      <c r="M111" s="309"/>
      <c r="N111" s="309"/>
      <c r="O111" s="309"/>
      <c r="P111" s="309"/>
      <c r="Q111" s="309"/>
      <c r="R111" s="309"/>
      <c r="S111" s="309"/>
      <c r="T111" s="309"/>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row>
    <row r="112" spans="2:46" hidden="1" x14ac:dyDescent="0.25">
      <c r="B112" s="14"/>
      <c r="C112" s="312" t="s">
        <v>446</v>
      </c>
      <c r="D112" s="334">
        <v>-0.02</v>
      </c>
      <c r="E112" s="335">
        <v>0</v>
      </c>
      <c r="F112" s="336">
        <v>0</v>
      </c>
      <c r="G112" s="335">
        <v>0</v>
      </c>
      <c r="H112" s="335">
        <v>0</v>
      </c>
      <c r="I112" s="335">
        <v>0</v>
      </c>
      <c r="J112" s="335">
        <v>0</v>
      </c>
      <c r="K112" s="335">
        <v>2.9163419999999995E-2</v>
      </c>
      <c r="L112" s="335">
        <v>0</v>
      </c>
      <c r="M112" s="309"/>
      <c r="N112" s="309"/>
      <c r="O112" s="309"/>
      <c r="P112" s="309"/>
      <c r="Q112" s="309"/>
      <c r="R112" s="309"/>
      <c r="S112" s="309"/>
      <c r="T112" s="309"/>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row>
    <row r="113" spans="2:46" hidden="1" x14ac:dyDescent="0.25">
      <c r="B113" s="14"/>
      <c r="C113" s="311" t="s">
        <v>442</v>
      </c>
      <c r="D113" s="331">
        <v>-0.04</v>
      </c>
      <c r="E113" s="332">
        <v>0.37334192585898729</v>
      </c>
      <c r="F113" s="333">
        <v>128.91004526977386</v>
      </c>
      <c r="G113" s="332">
        <v>5.9782147345200931E-2</v>
      </c>
      <c r="H113" s="332">
        <v>1.1757546379008181</v>
      </c>
      <c r="I113" s="332">
        <v>0.12722194901429623</v>
      </c>
      <c r="J113" s="332">
        <v>4.5681996595641483E-2</v>
      </c>
      <c r="K113" s="332">
        <v>5.4212567091624524E-2</v>
      </c>
      <c r="L113" s="332">
        <v>4.5514288623614956</v>
      </c>
      <c r="M113" s="310"/>
      <c r="N113" s="310"/>
      <c r="O113" s="310"/>
      <c r="P113" s="310"/>
      <c r="Q113" s="310"/>
      <c r="R113" s="310"/>
      <c r="S113" s="310"/>
      <c r="T113" s="310"/>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row>
    <row r="114" spans="2:46" hidden="1" x14ac:dyDescent="0.25">
      <c r="B114" s="14"/>
      <c r="C114" s="312" t="s">
        <v>443</v>
      </c>
      <c r="D114" s="334">
        <v>-0.04</v>
      </c>
      <c r="E114" s="335">
        <v>0.36376095792342539</v>
      </c>
      <c r="F114" s="336">
        <v>118.01862580882674</v>
      </c>
      <c r="G114" s="335">
        <v>4.2403397879127884E-2</v>
      </c>
      <c r="H114" s="335">
        <v>1.0417394486598104</v>
      </c>
      <c r="I114" s="335">
        <v>0.10933064366101133</v>
      </c>
      <c r="J114" s="335">
        <v>3.5249948831401583E-2</v>
      </c>
      <c r="K114" s="335">
        <v>2.9163419999999989E-2</v>
      </c>
      <c r="L114" s="335">
        <v>4.1085832272407092</v>
      </c>
      <c r="M114" s="309"/>
      <c r="N114" s="309"/>
      <c r="O114" s="309"/>
      <c r="P114" s="309"/>
      <c r="Q114" s="309"/>
      <c r="R114" s="309"/>
      <c r="S114" s="309"/>
      <c r="T114" s="309"/>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row>
    <row r="115" spans="2:46" hidden="1" x14ac:dyDescent="0.25">
      <c r="B115" s="14"/>
      <c r="C115" s="312" t="s">
        <v>444</v>
      </c>
      <c r="D115" s="334">
        <v>-0.04</v>
      </c>
      <c r="E115" s="335">
        <v>0.39115725162144027</v>
      </c>
      <c r="F115" s="336">
        <v>142.16586922241359</v>
      </c>
      <c r="G115" s="335">
        <v>7.4509832888766364E-2</v>
      </c>
      <c r="H115" s="335">
        <v>1.2895309506061359</v>
      </c>
      <c r="I115" s="335">
        <v>0.14205053774497334</v>
      </c>
      <c r="J115" s="335">
        <v>5.1467839492589249E-2</v>
      </c>
      <c r="K115" s="335">
        <v>7.1078080499999988E-2</v>
      </c>
      <c r="L115" s="335">
        <v>5.0513239145105757</v>
      </c>
      <c r="M115" s="309">
        <f t="shared" ref="M115:T115" si="12">E115/E$105-1</f>
        <v>-0.69897330992957141</v>
      </c>
      <c r="N115" s="309">
        <f t="shared" si="12"/>
        <v>-0.78636784067294885</v>
      </c>
      <c r="O115" s="309">
        <f t="shared" si="12"/>
        <v>-0.47587104505358668</v>
      </c>
      <c r="P115" s="309">
        <f t="shared" si="12"/>
        <v>-0.67016651677074934</v>
      </c>
      <c r="Q115" s="309">
        <f t="shared" si="12"/>
        <v>-0.67983341494285199</v>
      </c>
      <c r="R115" s="309">
        <f t="shared" si="12"/>
        <v>-0.59796625430826644</v>
      </c>
      <c r="S115" s="309">
        <f t="shared" si="12"/>
        <v>0</v>
      </c>
      <c r="T115" s="309">
        <f t="shared" si="12"/>
        <v>-0.79617182258259622</v>
      </c>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row>
    <row r="116" spans="2:46" hidden="1" x14ac:dyDescent="0.25">
      <c r="B116" s="14"/>
      <c r="C116" s="312" t="s">
        <v>445</v>
      </c>
      <c r="D116" s="334">
        <v>-0.04</v>
      </c>
      <c r="E116" s="335">
        <v>0.41540883358653807</v>
      </c>
      <c r="F116" s="336">
        <v>138.85620788567272</v>
      </c>
      <c r="G116" s="335">
        <v>6.8827448330011781E-2</v>
      </c>
      <c r="H116" s="335">
        <v>1.4039894426828226</v>
      </c>
      <c r="I116" s="335">
        <v>0.15250570704289471</v>
      </c>
      <c r="J116" s="335">
        <v>6.5514363293688802E-2</v>
      </c>
      <c r="K116" s="335">
        <v>7.1078080499999974E-2</v>
      </c>
      <c r="L116" s="335">
        <v>4.9583912461501543</v>
      </c>
      <c r="M116" s="309"/>
      <c r="N116" s="309"/>
      <c r="O116" s="309"/>
      <c r="P116" s="309"/>
      <c r="Q116" s="309"/>
      <c r="R116" s="309"/>
      <c r="S116" s="309"/>
      <c r="T116" s="309"/>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row>
    <row r="117" spans="2:46" hidden="1" x14ac:dyDescent="0.25">
      <c r="B117" s="14"/>
      <c r="C117" s="312" t="s">
        <v>446</v>
      </c>
      <c r="D117" s="334">
        <v>-0.04</v>
      </c>
      <c r="E117" s="335">
        <v>0</v>
      </c>
      <c r="F117" s="336">
        <v>0</v>
      </c>
      <c r="G117" s="335">
        <v>0</v>
      </c>
      <c r="H117" s="335">
        <v>0</v>
      </c>
      <c r="I117" s="335">
        <v>0</v>
      </c>
      <c r="J117" s="335">
        <v>0</v>
      </c>
      <c r="K117" s="335">
        <v>2.9163419999999995E-2</v>
      </c>
      <c r="L117" s="335">
        <v>0</v>
      </c>
      <c r="M117" s="309"/>
      <c r="N117" s="309"/>
      <c r="O117" s="309"/>
      <c r="P117" s="309"/>
      <c r="Q117" s="309"/>
      <c r="R117" s="309"/>
      <c r="S117" s="309"/>
      <c r="T117" s="309"/>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row>
    <row r="118" spans="2:46" hidden="1" x14ac:dyDescent="0.25">
      <c r="B118" s="14"/>
      <c r="C118" s="311" t="s">
        <v>442</v>
      </c>
      <c r="D118" s="331">
        <v>-0.06</v>
      </c>
      <c r="E118" s="332">
        <v>0.23561989958592827</v>
      </c>
      <c r="F118" s="333">
        <v>70.360255833384457</v>
      </c>
      <c r="G118" s="332">
        <v>4.757714134847299E-2</v>
      </c>
      <c r="H118" s="332">
        <v>0.65297003675855481</v>
      </c>
      <c r="I118" s="332">
        <v>7.1055329131854153E-2</v>
      </c>
      <c r="J118" s="332">
        <v>3.5223178423104733E-2</v>
      </c>
      <c r="K118" s="332">
        <v>5.4212567091624524E-2</v>
      </c>
      <c r="L118" s="332">
        <v>2.3452469867279864</v>
      </c>
      <c r="M118" s="310"/>
      <c r="N118" s="310"/>
      <c r="O118" s="310"/>
      <c r="P118" s="310"/>
      <c r="Q118" s="310"/>
      <c r="R118" s="310"/>
      <c r="S118" s="310"/>
      <c r="T118" s="310"/>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row>
    <row r="119" spans="2:46" hidden="1" x14ac:dyDescent="0.25">
      <c r="B119" s="14"/>
      <c r="C119" s="312" t="s">
        <v>443</v>
      </c>
      <c r="D119" s="334">
        <v>-0.06</v>
      </c>
      <c r="E119" s="335">
        <v>0.22465520290096674</v>
      </c>
      <c r="F119" s="336">
        <v>64.198124093332353</v>
      </c>
      <c r="G119" s="335">
        <v>3.2622826319409028E-2</v>
      </c>
      <c r="H119" s="335">
        <v>0.58333367201275088</v>
      </c>
      <c r="I119" s="335">
        <v>6.1419858320170911E-2</v>
      </c>
      <c r="J119" s="335">
        <v>2.6028277829699735E-2</v>
      </c>
      <c r="K119" s="335">
        <v>2.9163419999999989E-2</v>
      </c>
      <c r="L119" s="335">
        <v>2.0810292562092458</v>
      </c>
      <c r="M119" s="309"/>
      <c r="N119" s="309"/>
      <c r="O119" s="309"/>
      <c r="P119" s="309"/>
      <c r="Q119" s="309"/>
      <c r="R119" s="309"/>
      <c r="S119" s="309"/>
      <c r="T119" s="309"/>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row>
    <row r="120" spans="2:46" hidden="1" x14ac:dyDescent="0.25">
      <c r="B120" s="14"/>
      <c r="C120" s="312" t="s">
        <v>444</v>
      </c>
      <c r="D120" s="334">
        <v>-0.06</v>
      </c>
      <c r="E120" s="335">
        <v>0.24739213140444646</v>
      </c>
      <c r="F120" s="336">
        <v>77.596710624898407</v>
      </c>
      <c r="G120" s="335">
        <v>6.0052137175149151E-2</v>
      </c>
      <c r="H120" s="335">
        <v>0.73317795874422675</v>
      </c>
      <c r="I120" s="335">
        <v>8.1207751352789834E-2</v>
      </c>
      <c r="J120" s="335">
        <v>4.0128645180512283E-2</v>
      </c>
      <c r="K120" s="335">
        <v>7.1078080499999988E-2</v>
      </c>
      <c r="L120" s="335">
        <v>2.6181147146036312</v>
      </c>
      <c r="M120" s="309">
        <f t="shared" ref="M120:T120" si="13">E120/E$105-1</f>
        <v>-0.80961203158717798</v>
      </c>
      <c r="N120" s="309">
        <f t="shared" si="13"/>
        <v>-0.88339569167942134</v>
      </c>
      <c r="O120" s="309">
        <f t="shared" si="13"/>
        <v>-0.5775716750445834</v>
      </c>
      <c r="P120" s="309">
        <f t="shared" si="13"/>
        <v>-0.8124693014573624</v>
      </c>
      <c r="Q120" s="309">
        <f t="shared" si="13"/>
        <v>-0.8169664906339803</v>
      </c>
      <c r="R120" s="309">
        <f t="shared" si="13"/>
        <v>-0.68654076622394733</v>
      </c>
      <c r="S120" s="309">
        <f t="shared" si="13"/>
        <v>0</v>
      </c>
      <c r="T120" s="309">
        <f t="shared" si="13"/>
        <v>-0.89435530970120936</v>
      </c>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row>
    <row r="121" spans="2:46" hidden="1" x14ac:dyDescent="0.25">
      <c r="B121" s="14"/>
      <c r="C121" s="312" t="s">
        <v>445</v>
      </c>
      <c r="D121" s="334">
        <v>-0.06</v>
      </c>
      <c r="E121" s="335">
        <v>0.27551398095932272</v>
      </c>
      <c r="F121" s="336">
        <v>76.467457317087778</v>
      </c>
      <c r="G121" s="335">
        <v>5.5291513516616014E-2</v>
      </c>
      <c r="H121" s="335">
        <v>0.69657988151695227</v>
      </c>
      <c r="I121" s="335">
        <v>7.6572391125577066E-2</v>
      </c>
      <c r="J121" s="335">
        <v>5.235691245166689E-2</v>
      </c>
      <c r="K121" s="335">
        <v>7.1078080499999974E-2</v>
      </c>
      <c r="L121" s="335">
        <v>2.6070749967187505</v>
      </c>
      <c r="M121" s="309"/>
      <c r="N121" s="309"/>
      <c r="O121" s="309"/>
      <c r="P121" s="309"/>
      <c r="Q121" s="309"/>
      <c r="R121" s="309"/>
      <c r="S121" s="309"/>
      <c r="T121" s="309"/>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row>
    <row r="122" spans="2:46" ht="12.75" hidden="1" customHeight="1" x14ac:dyDescent="0.25">
      <c r="B122" s="14"/>
      <c r="C122" s="312" t="s">
        <v>446</v>
      </c>
      <c r="D122" s="334">
        <v>-0.06</v>
      </c>
      <c r="E122" s="335">
        <v>0</v>
      </c>
      <c r="F122" s="336">
        <v>0</v>
      </c>
      <c r="G122" s="335">
        <v>0</v>
      </c>
      <c r="H122" s="335">
        <v>0</v>
      </c>
      <c r="I122" s="335">
        <v>0</v>
      </c>
      <c r="J122" s="335">
        <v>0</v>
      </c>
      <c r="K122" s="335">
        <v>2.9163419999999995E-2</v>
      </c>
      <c r="L122" s="335">
        <v>0</v>
      </c>
      <c r="M122" s="309"/>
      <c r="N122" s="309"/>
      <c r="O122" s="309"/>
      <c r="P122" s="309"/>
      <c r="Q122" s="309"/>
      <c r="R122" s="309"/>
      <c r="S122" s="309"/>
      <c r="T122" s="309"/>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row>
    <row r="123" spans="2:46"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row>
    <row r="124" spans="2:46" ht="14.25" customHeight="1"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row>
    <row r="125" spans="2:46" x14ac:dyDescent="0.25">
      <c r="B125" s="14"/>
      <c r="C125" s="37" t="s">
        <v>447</v>
      </c>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14"/>
      <c r="AT125" s="14"/>
    </row>
    <row r="126" spans="2:46" x14ac:dyDescent="0.25">
      <c r="B126" s="14"/>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4"/>
      <c r="AT126" s="14"/>
    </row>
    <row r="127" spans="2:46" x14ac:dyDescent="0.25">
      <c r="B127" s="14"/>
      <c r="C127" s="529" t="s">
        <v>119</v>
      </c>
      <c r="D127" s="529" t="s">
        <v>448</v>
      </c>
      <c r="E127" s="530" t="s">
        <v>449</v>
      </c>
      <c r="F127" s="330" t="s">
        <v>450</v>
      </c>
      <c r="G127" s="329"/>
      <c r="H127" s="2"/>
      <c r="I127" s="2"/>
      <c r="J127" s="2"/>
      <c r="K127" s="330"/>
      <c r="L127" s="330"/>
      <c r="M127" s="330"/>
      <c r="N127" s="330" t="s">
        <v>451</v>
      </c>
      <c r="O127" s="330"/>
      <c r="P127" s="330"/>
      <c r="Q127" s="330"/>
      <c r="R127" s="2"/>
      <c r="S127" s="330"/>
      <c r="T127" s="330"/>
      <c r="U127" s="330"/>
      <c r="V127" s="330"/>
      <c r="W127" s="14"/>
      <c r="X127" s="14"/>
      <c r="Y127" s="14"/>
      <c r="Z127" s="14"/>
      <c r="AA127" s="14"/>
      <c r="AB127" s="14"/>
      <c r="AC127" s="14"/>
      <c r="AD127" s="14"/>
      <c r="AE127" s="203"/>
      <c r="AF127" s="203"/>
      <c r="AG127" s="14"/>
      <c r="AH127" s="14"/>
      <c r="AI127" s="14"/>
      <c r="AJ127" s="14"/>
      <c r="AK127" s="14"/>
      <c r="AL127" s="14"/>
      <c r="AM127" s="14"/>
      <c r="AN127" s="14"/>
      <c r="AO127" s="14"/>
      <c r="AP127" s="14"/>
      <c r="AQ127" s="14"/>
      <c r="AR127" s="14"/>
      <c r="AS127" s="14"/>
      <c r="AT127" s="14"/>
    </row>
    <row r="128" spans="2:46" ht="60" x14ac:dyDescent="0.25">
      <c r="B128" s="14"/>
      <c r="C128" s="529"/>
      <c r="D128" s="529"/>
      <c r="E128" s="530"/>
      <c r="F128" s="325" t="s">
        <v>176</v>
      </c>
      <c r="G128" s="325" t="s">
        <v>177</v>
      </c>
      <c r="H128" s="325" t="s">
        <v>178</v>
      </c>
      <c r="I128" s="326" t="s">
        <v>179</v>
      </c>
      <c r="J128" s="326" t="s">
        <v>180</v>
      </c>
      <c r="K128" s="326" t="s">
        <v>181</v>
      </c>
      <c r="L128" s="326" t="s">
        <v>182</v>
      </c>
      <c r="M128" s="327" t="s">
        <v>183</v>
      </c>
      <c r="N128" s="325" t="s">
        <v>176</v>
      </c>
      <c r="O128" s="325" t="s">
        <v>177</v>
      </c>
      <c r="P128" s="325" t="s">
        <v>178</v>
      </c>
      <c r="Q128" s="326" t="s">
        <v>179</v>
      </c>
      <c r="R128" s="326" t="s">
        <v>180</v>
      </c>
      <c r="S128" s="326" t="s">
        <v>181</v>
      </c>
      <c r="T128" s="326" t="s">
        <v>182</v>
      </c>
      <c r="U128" s="327" t="s">
        <v>183</v>
      </c>
      <c r="V128" s="353" t="s">
        <v>452</v>
      </c>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row>
    <row r="129" spans="2:46" x14ac:dyDescent="0.25">
      <c r="B129" s="14"/>
      <c r="C129" s="323" t="s">
        <v>185</v>
      </c>
      <c r="D129" s="342">
        <v>10</v>
      </c>
      <c r="E129" s="343" t="s">
        <v>213</v>
      </c>
      <c r="F129" s="344">
        <v>4.0583752780418596</v>
      </c>
      <c r="G129" s="344">
        <v>1017.6439575523251</v>
      </c>
      <c r="H129" s="344">
        <v>0.28470339849987791</v>
      </c>
      <c r="I129" s="344">
        <v>10.339278110248999</v>
      </c>
      <c r="J129" s="344">
        <v>1.0831616103370489</v>
      </c>
      <c r="K129" s="344">
        <v>0.23599733894197369</v>
      </c>
      <c r="L129" s="344">
        <v>1.748642999999999E-2</v>
      </c>
      <c r="M129" s="345">
        <v>38.037124574842174</v>
      </c>
      <c r="N129" s="344">
        <v>4.8380219316252502</v>
      </c>
      <c r="O129" s="344">
        <v>1333.4819168452912</v>
      </c>
      <c r="P129" s="344">
        <v>0.53134071962242557</v>
      </c>
      <c r="Q129" s="344">
        <v>14.015733989913386</v>
      </c>
      <c r="R129" s="344">
        <v>1.5384343003902725</v>
      </c>
      <c r="S129" s="344">
        <v>0.3409546321230606</v>
      </c>
      <c r="T129" s="344">
        <v>4.1005507162499996E-2</v>
      </c>
      <c r="U129" s="345">
        <v>49.987090776978157</v>
      </c>
      <c r="V129" s="354">
        <f>M129/M130-1</f>
        <v>0.51350877438632625</v>
      </c>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row>
    <row r="130" spans="2:46" x14ac:dyDescent="0.25">
      <c r="B130" s="14"/>
      <c r="C130" s="323" t="s">
        <v>185</v>
      </c>
      <c r="D130" s="342">
        <v>25</v>
      </c>
      <c r="E130" s="343" t="s">
        <v>213</v>
      </c>
      <c r="F130" s="344">
        <v>1.8862162570275764</v>
      </c>
      <c r="G130" s="344">
        <v>675.60869399779745</v>
      </c>
      <c r="H130" s="344">
        <v>0.1448795949835843</v>
      </c>
      <c r="I130" s="344">
        <v>5.2151531037989631</v>
      </c>
      <c r="J130" s="344">
        <v>0.55000752557013388</v>
      </c>
      <c r="K130" s="344">
        <v>0.13332670896097557</v>
      </c>
      <c r="L130" s="344">
        <v>1.748642999999999E-2</v>
      </c>
      <c r="M130" s="345">
        <v>25.131750286855699</v>
      </c>
      <c r="N130" s="344">
        <v>2.2363922941410217</v>
      </c>
      <c r="O130" s="344">
        <v>899.79104844501717</v>
      </c>
      <c r="P130" s="344">
        <v>0.26318017106628666</v>
      </c>
      <c r="Q130" s="344">
        <v>7.0890017708230699</v>
      </c>
      <c r="R130" s="344">
        <v>0.7873463197463485</v>
      </c>
      <c r="S130" s="344">
        <v>0.19540273890213647</v>
      </c>
      <c r="T130" s="344">
        <v>4.1005507162499996E-2</v>
      </c>
      <c r="U130" s="345">
        <v>33.623447672397639</v>
      </c>
      <c r="V130" s="355"/>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row>
    <row r="131" spans="2:46" x14ac:dyDescent="0.25">
      <c r="B131" s="14"/>
      <c r="C131" s="323" t="s">
        <v>185</v>
      </c>
      <c r="D131" s="342">
        <v>40</v>
      </c>
      <c r="E131" s="343" t="s">
        <v>213</v>
      </c>
      <c r="F131" s="344">
        <v>1.292018428911814</v>
      </c>
      <c r="G131" s="344">
        <v>549.89853113409731</v>
      </c>
      <c r="H131" s="344">
        <v>0.10238094107596429</v>
      </c>
      <c r="I131" s="344">
        <v>3.4948991839045891</v>
      </c>
      <c r="J131" s="344">
        <v>0.37139450777692434</v>
      </c>
      <c r="K131" s="344">
        <v>0.10066407410213271</v>
      </c>
      <c r="L131" s="344">
        <v>1.7489269199999991E-2</v>
      </c>
      <c r="M131" s="345">
        <v>20.388564783992614</v>
      </c>
      <c r="N131" s="344">
        <v>1.5272970439696698</v>
      </c>
      <c r="O131" s="344">
        <v>728.06716538012245</v>
      </c>
      <c r="P131" s="344">
        <v>0.170862452027881</v>
      </c>
      <c r="Q131" s="344">
        <v>4.7438082040129048</v>
      </c>
      <c r="R131" s="344">
        <v>0.53400528674358727</v>
      </c>
      <c r="S131" s="344">
        <v>0.14525472146882529</v>
      </c>
      <c r="T131" s="344">
        <v>4.1011169602500008E-2</v>
      </c>
      <c r="U131" s="345">
        <v>27.144112874845163</v>
      </c>
      <c r="V131" s="354">
        <f>M131/M130-1</f>
        <v>-0.1887327961134424</v>
      </c>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row>
    <row r="132" spans="2:46" x14ac:dyDescent="0.25">
      <c r="B132" s="14"/>
      <c r="C132" s="323" t="s">
        <v>453</v>
      </c>
      <c r="D132" s="342">
        <v>10</v>
      </c>
      <c r="E132" s="343" t="s">
        <v>213</v>
      </c>
      <c r="F132" s="273">
        <v>0</v>
      </c>
      <c r="G132" s="273">
        <v>0.15968215015849699</v>
      </c>
      <c r="H132" s="273">
        <v>0</v>
      </c>
      <c r="I132" s="273">
        <v>0</v>
      </c>
      <c r="J132" s="273">
        <v>0</v>
      </c>
      <c r="K132" s="273">
        <v>0</v>
      </c>
      <c r="L132" s="273">
        <v>3.3242819999999999E-2</v>
      </c>
      <c r="M132" s="328">
        <v>0</v>
      </c>
      <c r="N132" s="273">
        <v>0</v>
      </c>
      <c r="O132" s="273">
        <v>0.15968215015849713</v>
      </c>
      <c r="P132" s="273">
        <v>0</v>
      </c>
      <c r="Q132" s="273">
        <v>0</v>
      </c>
      <c r="R132" s="273">
        <v>0</v>
      </c>
      <c r="S132" s="273">
        <v>0</v>
      </c>
      <c r="T132" s="273">
        <v>3.3242819999999999E-2</v>
      </c>
      <c r="U132" s="328">
        <v>0</v>
      </c>
      <c r="V132" s="355"/>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row>
    <row r="133" spans="2:46" x14ac:dyDescent="0.25">
      <c r="B133" s="14"/>
      <c r="C133" s="323" t="s">
        <v>453</v>
      </c>
      <c r="D133" s="342">
        <v>25</v>
      </c>
      <c r="E133" s="343" t="s">
        <v>213</v>
      </c>
      <c r="F133" s="273">
        <v>0</v>
      </c>
      <c r="G133" s="273">
        <v>0.106012174614416</v>
      </c>
      <c r="H133" s="273">
        <v>0</v>
      </c>
      <c r="I133" s="273">
        <v>0</v>
      </c>
      <c r="J133" s="273">
        <v>0</v>
      </c>
      <c r="K133" s="273">
        <v>0</v>
      </c>
      <c r="L133" s="273">
        <v>3.3242819999999999E-2</v>
      </c>
      <c r="M133" s="328">
        <v>0</v>
      </c>
      <c r="N133" s="273">
        <v>0</v>
      </c>
      <c r="O133" s="273">
        <v>0.106012174614416</v>
      </c>
      <c r="P133" s="273">
        <v>0</v>
      </c>
      <c r="Q133" s="273">
        <v>0</v>
      </c>
      <c r="R133" s="273">
        <v>0</v>
      </c>
      <c r="S133" s="273">
        <v>0</v>
      </c>
      <c r="T133" s="273">
        <v>3.3242819999999999E-2</v>
      </c>
      <c r="U133" s="328">
        <v>0</v>
      </c>
      <c r="V133" s="355"/>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row>
    <row r="134" spans="2:46" x14ac:dyDescent="0.25">
      <c r="B134" s="14"/>
      <c r="C134" s="323" t="s">
        <v>453</v>
      </c>
      <c r="D134" s="342">
        <v>40</v>
      </c>
      <c r="E134" s="343" t="s">
        <v>213</v>
      </c>
      <c r="F134" s="273">
        <v>0</v>
      </c>
      <c r="G134" s="273">
        <v>8.628654370600633E-2</v>
      </c>
      <c r="H134" s="273">
        <v>0</v>
      </c>
      <c r="I134" s="273">
        <v>0</v>
      </c>
      <c r="J134" s="273">
        <v>0</v>
      </c>
      <c r="K134" s="273">
        <v>0</v>
      </c>
      <c r="L134" s="273">
        <v>3.3242819999999999E-2</v>
      </c>
      <c r="M134" s="328">
        <v>0</v>
      </c>
      <c r="N134" s="273">
        <v>0</v>
      </c>
      <c r="O134" s="273">
        <v>8.628654370600633E-2</v>
      </c>
      <c r="P134" s="273">
        <v>0</v>
      </c>
      <c r="Q134" s="273">
        <v>0</v>
      </c>
      <c r="R134" s="273">
        <v>0</v>
      </c>
      <c r="S134" s="273">
        <v>0</v>
      </c>
      <c r="T134" s="273">
        <v>3.3242819999999999E-2</v>
      </c>
      <c r="U134" s="328">
        <v>0</v>
      </c>
      <c r="V134" s="355"/>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row>
    <row r="135" spans="2:46"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row>
    <row r="136" spans="2:46" x14ac:dyDescent="0.25">
      <c r="B136" s="14"/>
      <c r="C136" s="37" t="s">
        <v>454</v>
      </c>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14"/>
      <c r="AT136" s="14"/>
    </row>
    <row r="137" spans="2:46" x14ac:dyDescent="0.25">
      <c r="B137" s="14"/>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4"/>
      <c r="AT137" s="14"/>
    </row>
    <row r="138" spans="2:46" x14ac:dyDescent="0.25">
      <c r="B138" s="14"/>
      <c r="C138" s="20" t="s">
        <v>455</v>
      </c>
      <c r="D138" s="14"/>
      <c r="E138" s="14"/>
      <c r="F138" s="14"/>
      <c r="G138" s="14"/>
      <c r="H138" s="14"/>
      <c r="I138" s="14"/>
      <c r="J138" s="14"/>
      <c r="K138" s="14"/>
      <c r="L138" s="14"/>
      <c r="M138" s="68"/>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row>
    <row r="139" spans="2:46" x14ac:dyDescent="0.25">
      <c r="B139" s="14"/>
      <c r="C139" s="142"/>
      <c r="D139" s="142"/>
      <c r="E139" s="532" t="s">
        <v>456</v>
      </c>
      <c r="F139" s="531"/>
      <c r="G139" s="531"/>
      <c r="H139" s="531"/>
      <c r="I139" s="531"/>
      <c r="J139" s="531"/>
      <c r="K139" s="531"/>
      <c r="L139" s="533"/>
      <c r="M139" s="532" t="s">
        <v>457</v>
      </c>
      <c r="N139" s="531"/>
      <c r="O139" s="531"/>
      <c r="P139" s="531"/>
      <c r="Q139" s="531"/>
      <c r="R139" s="531"/>
      <c r="S139" s="531"/>
      <c r="T139" s="533"/>
      <c r="U139" s="435" t="s">
        <v>458</v>
      </c>
      <c r="V139" s="330"/>
      <c r="W139" s="330"/>
      <c r="X139" s="330"/>
      <c r="Y139" s="330"/>
      <c r="Z139" s="330"/>
      <c r="AA139" s="330"/>
      <c r="AB139" s="330"/>
      <c r="AC139" s="14"/>
      <c r="AD139" s="14"/>
      <c r="AE139" s="14"/>
      <c r="AF139" s="14"/>
      <c r="AG139" s="14"/>
      <c r="AH139" s="14"/>
      <c r="AI139" s="14"/>
      <c r="AJ139" s="14"/>
      <c r="AK139" s="14"/>
      <c r="AL139" s="14"/>
      <c r="AM139" s="14"/>
      <c r="AN139" s="14"/>
      <c r="AO139" s="14"/>
      <c r="AP139" s="14"/>
      <c r="AQ139" s="14"/>
      <c r="AR139" s="14"/>
      <c r="AS139" s="14"/>
      <c r="AT139" s="14"/>
    </row>
    <row r="140" spans="2:46" ht="30" x14ac:dyDescent="0.25">
      <c r="B140" s="14"/>
      <c r="C140" s="142" t="s">
        <v>186</v>
      </c>
      <c r="D140" s="142" t="s">
        <v>187</v>
      </c>
      <c r="E140" s="436" t="s">
        <v>176</v>
      </c>
      <c r="F140" s="325" t="s">
        <v>177</v>
      </c>
      <c r="G140" s="325" t="s">
        <v>178</v>
      </c>
      <c r="H140" s="326" t="s">
        <v>179</v>
      </c>
      <c r="I140" s="326" t="s">
        <v>180</v>
      </c>
      <c r="J140" s="326" t="s">
        <v>181</v>
      </c>
      <c r="K140" s="326" t="s">
        <v>182</v>
      </c>
      <c r="L140" s="327" t="s">
        <v>183</v>
      </c>
      <c r="M140" s="436" t="s">
        <v>176</v>
      </c>
      <c r="N140" s="325" t="s">
        <v>177</v>
      </c>
      <c r="O140" s="325" t="s">
        <v>178</v>
      </c>
      <c r="P140" s="326" t="s">
        <v>179</v>
      </c>
      <c r="Q140" s="326" t="s">
        <v>180</v>
      </c>
      <c r="R140" s="326" t="s">
        <v>181</v>
      </c>
      <c r="S140" s="326" t="s">
        <v>182</v>
      </c>
      <c r="T140" s="327" t="s">
        <v>183</v>
      </c>
      <c r="U140" s="436" t="s">
        <v>176</v>
      </c>
      <c r="V140" s="325" t="s">
        <v>177</v>
      </c>
      <c r="W140" s="325" t="s">
        <v>178</v>
      </c>
      <c r="X140" s="326" t="s">
        <v>179</v>
      </c>
      <c r="Y140" s="326" t="s">
        <v>180</v>
      </c>
      <c r="Z140" s="326" t="s">
        <v>181</v>
      </c>
      <c r="AA140" s="326" t="s">
        <v>182</v>
      </c>
      <c r="AB140" s="326" t="s">
        <v>183</v>
      </c>
      <c r="AC140" s="14"/>
      <c r="AD140" s="14"/>
      <c r="AE140" s="14"/>
      <c r="AF140" s="14"/>
      <c r="AG140" s="14"/>
      <c r="AH140" s="14"/>
      <c r="AI140" s="14"/>
      <c r="AJ140" s="14"/>
      <c r="AK140" s="14"/>
      <c r="AL140" s="14"/>
      <c r="AM140" s="14"/>
      <c r="AN140" s="14"/>
      <c r="AO140" s="14"/>
      <c r="AP140" s="14"/>
      <c r="AQ140" s="14"/>
      <c r="AR140" s="14"/>
      <c r="AS140" s="14"/>
      <c r="AT140" s="14"/>
    </row>
    <row r="141" spans="2:46" x14ac:dyDescent="0.25">
      <c r="B141" s="14"/>
      <c r="C141" s="14">
        <v>10</v>
      </c>
      <c r="D141" s="287" t="str">
        <f>Data!$B$83</f>
        <v>Hilly (Gradient  6%)</v>
      </c>
      <c r="E141" s="441">
        <f>F129*(1+M88)</f>
        <v>7.9697459839206513</v>
      </c>
      <c r="F141" s="202">
        <f t="shared" ref="F141:L141" si="14">G129*(1+N88)</f>
        <v>3158.6184669915951</v>
      </c>
      <c r="G141" s="202">
        <f t="shared" si="14"/>
        <v>0.38464087630408528</v>
      </c>
      <c r="H141" s="202">
        <f t="shared" si="14"/>
        <v>22.637711052309299</v>
      </c>
      <c r="I141" s="202">
        <f t="shared" si="14"/>
        <v>2.447906183428235</v>
      </c>
      <c r="J141" s="202">
        <f t="shared" si="14"/>
        <v>0.46631804910258662</v>
      </c>
      <c r="K141" s="202">
        <f t="shared" si="14"/>
        <v>1.748642999999999E-2</v>
      </c>
      <c r="L141" s="442">
        <f t="shared" si="14"/>
        <v>119.09825448957005</v>
      </c>
      <c r="M141" s="441">
        <f>N129*(1+M88)</f>
        <v>9.5007985260284435</v>
      </c>
      <c r="N141" s="202">
        <f t="shared" ref="N141:T141" si="15">O129*(1+N88)</f>
        <v>4138.9334419846118</v>
      </c>
      <c r="O141" s="202">
        <f t="shared" si="15"/>
        <v>0.71785360163763789</v>
      </c>
      <c r="P141" s="202">
        <f t="shared" si="15"/>
        <v>30.687261998995428</v>
      </c>
      <c r="Q141" s="202">
        <f t="shared" si="15"/>
        <v>3.476806047023385</v>
      </c>
      <c r="R141" s="202">
        <f t="shared" si="15"/>
        <v>0.67370801550948212</v>
      </c>
      <c r="S141" s="202">
        <f t="shared" si="15"/>
        <v>4.1005507162499996E-2</v>
      </c>
      <c r="T141" s="442">
        <f t="shared" si="15"/>
        <v>156.51486081277969</v>
      </c>
      <c r="U141" s="437">
        <f t="shared" ref="U141:U149" si="16">M141/E141-1</f>
        <v>0.19210807285411158</v>
      </c>
      <c r="V141" s="346">
        <f t="shared" ref="V141:V149" si="17">N141/F141-1</f>
        <v>0.31036194628682434</v>
      </c>
      <c r="W141" s="346">
        <f t="shared" ref="W141:W149" si="18">O141/G141-1</f>
        <v>0.86629566918448075</v>
      </c>
      <c r="X141" s="346">
        <f t="shared" ref="X141:X149" si="19">P141/H141-1</f>
        <v>0.35558148648889065</v>
      </c>
      <c r="Y141" s="346">
        <f t="shared" ref="Y141:Y149" si="20">Q141/I141-1</f>
        <v>0.42031834004120205</v>
      </c>
      <c r="Z141" s="346">
        <f t="shared" ref="Z141:Z149" si="21">R141/J141-1</f>
        <v>0.44473930787369365</v>
      </c>
      <c r="AA141" s="346">
        <f t="shared" ref="AA141:AA149" si="22">S141/K141-1</f>
        <v>1.3449902102659044</v>
      </c>
      <c r="AB141" s="346">
        <f t="shared" ref="AB141:AB149" si="23">T141/L141-1</f>
        <v>0.31416586652398304</v>
      </c>
      <c r="AC141" s="14"/>
      <c r="AD141" s="14"/>
      <c r="AE141" s="14"/>
      <c r="AF141" s="14"/>
      <c r="AG141" s="14"/>
      <c r="AH141" s="14"/>
      <c r="AI141" s="14"/>
      <c r="AJ141" s="14"/>
      <c r="AK141" s="14"/>
      <c r="AL141" s="14"/>
      <c r="AM141" s="14"/>
      <c r="AN141" s="14"/>
      <c r="AO141" s="14"/>
      <c r="AP141" s="14"/>
      <c r="AQ141" s="14"/>
      <c r="AR141" s="14"/>
      <c r="AS141" s="14"/>
      <c r="AT141" s="14"/>
    </row>
    <row r="142" spans="2:46" x14ac:dyDescent="0.25">
      <c r="B142" s="14"/>
      <c r="C142" s="14">
        <v>10</v>
      </c>
      <c r="D142" s="287" t="str">
        <f>Data!$B$81</f>
        <v>Flat (Gradient  0%)</v>
      </c>
      <c r="E142" s="441">
        <f>F129*(1+M105)</f>
        <v>4.0583752780418596</v>
      </c>
      <c r="F142" s="202">
        <f t="shared" ref="F142:L142" si="24">G129*(1+N105)</f>
        <v>1017.6439575523251</v>
      </c>
      <c r="G142" s="202">
        <f t="shared" si="24"/>
        <v>0.28470339849987791</v>
      </c>
      <c r="H142" s="202">
        <f t="shared" si="24"/>
        <v>10.339278110248999</v>
      </c>
      <c r="I142" s="202">
        <f t="shared" si="24"/>
        <v>1.0831616103370489</v>
      </c>
      <c r="J142" s="202">
        <f t="shared" si="24"/>
        <v>0.23599733894197369</v>
      </c>
      <c r="K142" s="202">
        <f t="shared" si="24"/>
        <v>1.748642999999999E-2</v>
      </c>
      <c r="L142" s="442">
        <f t="shared" si="24"/>
        <v>38.037124574842174</v>
      </c>
      <c r="M142" s="441">
        <f t="shared" ref="M142:T142" si="25">N129*(1+M105)</f>
        <v>4.8380219316252502</v>
      </c>
      <c r="N142" s="202">
        <f t="shared" si="25"/>
        <v>1333.4819168452912</v>
      </c>
      <c r="O142" s="202">
        <f t="shared" si="25"/>
        <v>0.53134071962242557</v>
      </c>
      <c r="P142" s="202">
        <f t="shared" si="25"/>
        <v>14.015733989913386</v>
      </c>
      <c r="Q142" s="202">
        <f t="shared" si="25"/>
        <v>1.5384343003902725</v>
      </c>
      <c r="R142" s="202">
        <f t="shared" si="25"/>
        <v>0.3409546321230606</v>
      </c>
      <c r="S142" s="202">
        <f t="shared" si="25"/>
        <v>4.1005507162499996E-2</v>
      </c>
      <c r="T142" s="442">
        <f t="shared" si="25"/>
        <v>49.987090776978157</v>
      </c>
      <c r="U142" s="437">
        <f t="shared" si="16"/>
        <v>0.19210807285411158</v>
      </c>
      <c r="V142" s="346">
        <f t="shared" si="17"/>
        <v>0.31036194628682434</v>
      </c>
      <c r="W142" s="346">
        <f t="shared" si="18"/>
        <v>0.86629566918448075</v>
      </c>
      <c r="X142" s="346">
        <f t="shared" si="19"/>
        <v>0.35558148648889065</v>
      </c>
      <c r="Y142" s="346">
        <f t="shared" si="20"/>
        <v>0.42031834004120183</v>
      </c>
      <c r="Z142" s="346">
        <f t="shared" si="21"/>
        <v>0.44473930787369387</v>
      </c>
      <c r="AA142" s="346">
        <f t="shared" si="22"/>
        <v>1.3449902102659044</v>
      </c>
      <c r="AB142" s="346">
        <f t="shared" si="23"/>
        <v>0.31416586652398304</v>
      </c>
      <c r="AC142" s="14"/>
      <c r="AD142" s="14"/>
      <c r="AE142" s="14"/>
      <c r="AF142" s="14"/>
      <c r="AG142" s="14"/>
      <c r="AH142" s="14"/>
      <c r="AI142" s="14"/>
      <c r="AJ142" s="14"/>
      <c r="AK142" s="14"/>
      <c r="AL142" s="14"/>
      <c r="AM142" s="14"/>
      <c r="AN142" s="14"/>
      <c r="AO142" s="14"/>
      <c r="AP142" s="14"/>
      <c r="AQ142" s="14"/>
      <c r="AR142" s="14"/>
      <c r="AS142" s="14"/>
      <c r="AT142" s="14"/>
    </row>
    <row r="143" spans="2:46" x14ac:dyDescent="0.25">
      <c r="B143" s="14"/>
      <c r="C143" s="40">
        <v>10</v>
      </c>
      <c r="D143" s="277" t="str">
        <f>Data!$B$82</f>
        <v>Undulating (Gradient  2%)</v>
      </c>
      <c r="E143" s="443">
        <f>F129*(1+M99)</f>
        <v>5.808852696083437</v>
      </c>
      <c r="F143" s="246">
        <f t="shared" ref="F143:L143" si="26">G129*(1+N99)</f>
        <v>1687.3114297256743</v>
      </c>
      <c r="G143" s="246">
        <f t="shared" si="26"/>
        <v>0.30874259815000094</v>
      </c>
      <c r="H143" s="246">
        <f t="shared" si="26"/>
        <v>13.106159740440081</v>
      </c>
      <c r="I143" s="246">
        <f t="shared" si="26"/>
        <v>1.4173020601562725</v>
      </c>
      <c r="J143" s="246">
        <f t="shared" si="26"/>
        <v>0.32176798912226795</v>
      </c>
      <c r="K143" s="246">
        <f t="shared" si="26"/>
        <v>1.748642999999999E-2</v>
      </c>
      <c r="L143" s="444">
        <f t="shared" si="26"/>
        <v>63.393700195312228</v>
      </c>
      <c r="M143" s="443">
        <f t="shared" ref="M143:T143" si="27">N129*(1+M99)</f>
        <v>6.9247801930214363</v>
      </c>
      <c r="N143" s="246">
        <f t="shared" si="27"/>
        <v>2210.9886890473385</v>
      </c>
      <c r="O143" s="246">
        <f t="shared" si="27"/>
        <v>0.57620497382011115</v>
      </c>
      <c r="P143" s="246">
        <f t="shared" si="27"/>
        <v>17.766467503106618</v>
      </c>
      <c r="Q143" s="246">
        <f t="shared" si="27"/>
        <v>2.0130201094181324</v>
      </c>
      <c r="R143" s="246">
        <f t="shared" si="27"/>
        <v>0.4648708619004156</v>
      </c>
      <c r="S143" s="246">
        <f t="shared" si="27"/>
        <v>4.1005507162499996E-2</v>
      </c>
      <c r="T143" s="444">
        <f t="shared" si="27"/>
        <v>83.309836949334084</v>
      </c>
      <c r="U143" s="438">
        <f t="shared" si="16"/>
        <v>0.19210807285411158</v>
      </c>
      <c r="V143" s="348">
        <f t="shared" si="17"/>
        <v>0.31036194628682412</v>
      </c>
      <c r="W143" s="348">
        <f t="shared" si="18"/>
        <v>0.86629566918448053</v>
      </c>
      <c r="X143" s="348">
        <f t="shared" si="19"/>
        <v>0.35558148648889065</v>
      </c>
      <c r="Y143" s="348">
        <f t="shared" si="20"/>
        <v>0.42031834004120183</v>
      </c>
      <c r="Z143" s="348">
        <f t="shared" si="21"/>
        <v>0.44473930787369365</v>
      </c>
      <c r="AA143" s="348">
        <f t="shared" si="22"/>
        <v>1.3449902102659044</v>
      </c>
      <c r="AB143" s="348">
        <f t="shared" si="23"/>
        <v>0.31416586652398304</v>
      </c>
      <c r="AC143" s="14"/>
      <c r="AD143" s="14"/>
      <c r="AE143" s="14"/>
      <c r="AF143" s="14"/>
      <c r="AG143" s="14"/>
      <c r="AH143" s="14"/>
      <c r="AI143" s="14"/>
      <c r="AJ143" s="14"/>
      <c r="AK143" s="14"/>
      <c r="AL143" s="14"/>
      <c r="AM143" s="14"/>
      <c r="AN143" s="14"/>
      <c r="AO143" s="14"/>
      <c r="AP143" s="14"/>
      <c r="AQ143" s="14"/>
      <c r="AR143" s="14"/>
      <c r="AS143" s="14"/>
      <c r="AT143" s="14"/>
    </row>
    <row r="144" spans="2:46" x14ac:dyDescent="0.25">
      <c r="B144" s="14"/>
      <c r="C144" s="247">
        <v>25</v>
      </c>
      <c r="D144" s="349" t="str">
        <f>Data!$B$83</f>
        <v>Hilly (Gradient  6%)</v>
      </c>
      <c r="E144" s="445">
        <f t="shared" ref="E144:L144" si="28">F130*(1+M88)</f>
        <v>3.7041090114526165</v>
      </c>
      <c r="F144" s="248">
        <f t="shared" si="28"/>
        <v>2096.9908792602359</v>
      </c>
      <c r="G144" s="248">
        <f t="shared" si="28"/>
        <v>0.1957356837561274</v>
      </c>
      <c r="H144" s="248">
        <f t="shared" si="28"/>
        <v>11.418507926614978</v>
      </c>
      <c r="I144" s="248">
        <f t="shared" si="28"/>
        <v>1.2429971759765774</v>
      </c>
      <c r="J144" s="248">
        <f t="shared" si="28"/>
        <v>0.26344640619544146</v>
      </c>
      <c r="K144" s="248">
        <f t="shared" si="28"/>
        <v>1.748642999999999E-2</v>
      </c>
      <c r="L144" s="446">
        <f t="shared" si="28"/>
        <v>78.690164540248617</v>
      </c>
      <c r="M144" s="445">
        <f t="shared" ref="M144:T144" si="29">N130*(1+M88)</f>
        <v>4.3917768278199292</v>
      </c>
      <c r="N144" s="248">
        <f t="shared" si="29"/>
        <v>2792.8202206281221</v>
      </c>
      <c r="O144" s="248">
        <f t="shared" si="29"/>
        <v>0.35556249822862224</v>
      </c>
      <c r="P144" s="248">
        <f t="shared" si="29"/>
        <v>15.521274505434192</v>
      </c>
      <c r="Q144" s="248">
        <f t="shared" si="29"/>
        <v>1.7793742930076839</v>
      </c>
      <c r="R144" s="248">
        <f t="shared" si="29"/>
        <v>0.38610530272356441</v>
      </c>
      <c r="S144" s="248">
        <f t="shared" si="29"/>
        <v>4.1005507162499996E-2</v>
      </c>
      <c r="T144" s="446">
        <f t="shared" si="29"/>
        <v>105.27856593956461</v>
      </c>
      <c r="U144" s="439">
        <f t="shared" si="16"/>
        <v>0.18564999416624461</v>
      </c>
      <c r="V144" s="350">
        <f t="shared" si="17"/>
        <v>0.33182277913071179</v>
      </c>
      <c r="W144" s="350">
        <f t="shared" si="18"/>
        <v>0.81654408335491624</v>
      </c>
      <c r="X144" s="350">
        <f t="shared" si="19"/>
        <v>0.35930846702450725</v>
      </c>
      <c r="Y144" s="350">
        <f t="shared" si="20"/>
        <v>0.43151917590616784</v>
      </c>
      <c r="Z144" s="350">
        <f t="shared" si="21"/>
        <v>0.46559335653691436</v>
      </c>
      <c r="AA144" s="350">
        <f t="shared" si="22"/>
        <v>1.3449902102659044</v>
      </c>
      <c r="AB144" s="350">
        <f t="shared" si="23"/>
        <v>0.33788722586437725</v>
      </c>
      <c r="AC144" s="14"/>
      <c r="AD144" s="14"/>
      <c r="AE144" s="14"/>
      <c r="AF144" s="14"/>
      <c r="AG144" s="14"/>
      <c r="AH144" s="14"/>
      <c r="AI144" s="14"/>
      <c r="AJ144" s="14"/>
      <c r="AK144" s="14"/>
      <c r="AL144" s="14"/>
      <c r="AM144" s="14"/>
      <c r="AN144" s="14"/>
      <c r="AO144" s="14"/>
      <c r="AP144" s="14"/>
      <c r="AQ144" s="14"/>
      <c r="AR144" s="14"/>
      <c r="AS144" s="14"/>
      <c r="AT144" s="14"/>
    </row>
    <row r="145" spans="2:46" x14ac:dyDescent="0.25">
      <c r="B145" s="14"/>
      <c r="C145" s="14">
        <v>25</v>
      </c>
      <c r="D145" s="287" t="str">
        <f>Data!$B$81</f>
        <v>Flat (Gradient  0%)</v>
      </c>
      <c r="E145" s="441">
        <f t="shared" ref="E145:L145" si="30">F130*(1+M105)</f>
        <v>1.8862162570275764</v>
      </c>
      <c r="F145" s="202">
        <f t="shared" si="30"/>
        <v>675.60869399779745</v>
      </c>
      <c r="G145" s="202">
        <f t="shared" si="30"/>
        <v>0.1448795949835843</v>
      </c>
      <c r="H145" s="202">
        <f t="shared" si="30"/>
        <v>5.2151531037989631</v>
      </c>
      <c r="I145" s="202">
        <f t="shared" si="30"/>
        <v>0.55000752557013388</v>
      </c>
      <c r="J145" s="202">
        <f t="shared" si="30"/>
        <v>0.13332670896097557</v>
      </c>
      <c r="K145" s="202">
        <f t="shared" si="30"/>
        <v>1.748642999999999E-2</v>
      </c>
      <c r="L145" s="442">
        <f t="shared" si="30"/>
        <v>25.131750286855699</v>
      </c>
      <c r="M145" s="441">
        <f t="shared" ref="M145:T145" si="31">N130*(1+M105)</f>
        <v>2.2363922941410217</v>
      </c>
      <c r="N145" s="202">
        <f t="shared" si="31"/>
        <v>899.79104844501717</v>
      </c>
      <c r="O145" s="202">
        <f t="shared" si="31"/>
        <v>0.26318017106628666</v>
      </c>
      <c r="P145" s="202">
        <f t="shared" si="31"/>
        <v>7.0890017708230699</v>
      </c>
      <c r="Q145" s="202">
        <f t="shared" si="31"/>
        <v>0.7873463197463485</v>
      </c>
      <c r="R145" s="202">
        <f t="shared" si="31"/>
        <v>0.19540273890213647</v>
      </c>
      <c r="S145" s="202">
        <f t="shared" si="31"/>
        <v>4.1005507162499996E-2</v>
      </c>
      <c r="T145" s="442">
        <f t="shared" si="31"/>
        <v>33.623447672397639</v>
      </c>
      <c r="U145" s="437">
        <f t="shared" si="16"/>
        <v>0.18564999416624461</v>
      </c>
      <c r="V145" s="346">
        <f t="shared" si="17"/>
        <v>0.33182277913071179</v>
      </c>
      <c r="W145" s="346">
        <f t="shared" si="18"/>
        <v>0.81654408335491624</v>
      </c>
      <c r="X145" s="346">
        <f t="shared" si="19"/>
        <v>0.35930846702450725</v>
      </c>
      <c r="Y145" s="346">
        <f t="shared" si="20"/>
        <v>0.43151917590616762</v>
      </c>
      <c r="Z145" s="346">
        <f t="shared" si="21"/>
        <v>0.46559335653691436</v>
      </c>
      <c r="AA145" s="346">
        <f t="shared" si="22"/>
        <v>1.3449902102659044</v>
      </c>
      <c r="AB145" s="346">
        <f t="shared" si="23"/>
        <v>0.33788722586437725</v>
      </c>
      <c r="AC145" s="14"/>
      <c r="AD145" s="14"/>
      <c r="AE145" s="14"/>
      <c r="AF145" s="14"/>
      <c r="AG145" s="14"/>
      <c r="AH145" s="14"/>
      <c r="AI145" s="14"/>
      <c r="AJ145" s="14"/>
      <c r="AK145" s="14"/>
      <c r="AL145" s="14"/>
      <c r="AM145" s="14"/>
      <c r="AN145" s="14"/>
      <c r="AO145" s="14"/>
      <c r="AP145" s="14"/>
      <c r="AQ145" s="14"/>
      <c r="AR145" s="14"/>
      <c r="AS145" s="14"/>
      <c r="AT145" s="14"/>
    </row>
    <row r="146" spans="2:46" x14ac:dyDescent="0.25">
      <c r="B146" s="14"/>
      <c r="C146" s="40">
        <v>25</v>
      </c>
      <c r="D146" s="277" t="str">
        <f>Data!$B$82</f>
        <v>Undulating (Gradient  2%)</v>
      </c>
      <c r="E146" s="443">
        <f t="shared" ref="E146:L146" si="32">F130*(1+M99)</f>
        <v>2.6997878804637332</v>
      </c>
      <c r="F146" s="246">
        <f t="shared" si="32"/>
        <v>1120.1975533234615</v>
      </c>
      <c r="G146" s="246">
        <f t="shared" si="32"/>
        <v>0.15711264006625772</v>
      </c>
      <c r="H146" s="246">
        <f t="shared" si="32"/>
        <v>6.6107738780609147</v>
      </c>
      <c r="I146" s="246">
        <f t="shared" si="32"/>
        <v>0.71967727775122858</v>
      </c>
      <c r="J146" s="246">
        <f t="shared" si="32"/>
        <v>0.18178284225997632</v>
      </c>
      <c r="K146" s="246">
        <f t="shared" si="32"/>
        <v>1.748642999999999E-2</v>
      </c>
      <c r="L146" s="444">
        <f t="shared" si="32"/>
        <v>41.885254494818575</v>
      </c>
      <c r="M146" s="443">
        <f t="shared" ref="M146:T146" si="33">N130*(1+M99)</f>
        <v>3.2010034847219231</v>
      </c>
      <c r="N146" s="246">
        <f t="shared" si="33"/>
        <v>1491.904618642676</v>
      </c>
      <c r="O146" s="246">
        <f t="shared" si="33"/>
        <v>0.28540203673263098</v>
      </c>
      <c r="P146" s="246">
        <f t="shared" si="33"/>
        <v>8.9860809060326385</v>
      </c>
      <c r="Q146" s="246">
        <f t="shared" si="33"/>
        <v>1.0302318235648329</v>
      </c>
      <c r="R146" s="246">
        <f t="shared" si="33"/>
        <v>0.26641972594861912</v>
      </c>
      <c r="S146" s="246">
        <f t="shared" si="33"/>
        <v>4.1005507162499996E-2</v>
      </c>
      <c r="T146" s="444">
        <f t="shared" si="33"/>
        <v>56.037746940696259</v>
      </c>
      <c r="U146" s="438">
        <f t="shared" si="16"/>
        <v>0.18564999416624461</v>
      </c>
      <c r="V146" s="348">
        <f t="shared" si="17"/>
        <v>0.33182277913071156</v>
      </c>
      <c r="W146" s="348">
        <f t="shared" si="18"/>
        <v>0.81654408335491602</v>
      </c>
      <c r="X146" s="348">
        <f t="shared" si="19"/>
        <v>0.35930846702450725</v>
      </c>
      <c r="Y146" s="348">
        <f t="shared" si="20"/>
        <v>0.43151917590616762</v>
      </c>
      <c r="Z146" s="348">
        <f t="shared" si="21"/>
        <v>0.46559335653691436</v>
      </c>
      <c r="AA146" s="348">
        <f t="shared" si="22"/>
        <v>1.3449902102659044</v>
      </c>
      <c r="AB146" s="348">
        <f t="shared" si="23"/>
        <v>0.33788722586437725</v>
      </c>
      <c r="AC146" s="14"/>
      <c r="AD146" s="14"/>
      <c r="AE146" s="14"/>
      <c r="AF146" s="14"/>
      <c r="AG146" s="14"/>
      <c r="AH146" s="14"/>
      <c r="AI146" s="14"/>
      <c r="AJ146" s="14"/>
      <c r="AK146" s="14"/>
      <c r="AL146" s="14"/>
      <c r="AM146" s="14"/>
      <c r="AN146" s="14"/>
      <c r="AO146" s="14"/>
      <c r="AP146" s="14"/>
      <c r="AQ146" s="14"/>
      <c r="AR146" s="14"/>
      <c r="AS146" s="14"/>
      <c r="AT146" s="14"/>
    </row>
    <row r="147" spans="2:46" x14ac:dyDescent="0.25">
      <c r="B147" s="14"/>
      <c r="C147" s="14">
        <v>40</v>
      </c>
      <c r="D147" s="287" t="str">
        <f>Data!$B$83</f>
        <v>Hilly (Gradient  6%)</v>
      </c>
      <c r="E147" s="441">
        <f t="shared" ref="E147:L147" si="34">F131*(1+M88)</f>
        <v>2.5372366968339275</v>
      </c>
      <c r="F147" s="202">
        <f t="shared" si="34"/>
        <v>1706.8048628612858</v>
      </c>
      <c r="G147" s="202">
        <f t="shared" si="34"/>
        <v>0.13831901937170837</v>
      </c>
      <c r="H147" s="202">
        <f t="shared" si="34"/>
        <v>7.6520349910849159</v>
      </c>
      <c r="I147" s="202">
        <f t="shared" si="34"/>
        <v>0.83933819607539528</v>
      </c>
      <c r="J147" s="202">
        <f t="shared" si="34"/>
        <v>0.19890679640911785</v>
      </c>
      <c r="K147" s="202">
        <f t="shared" si="34"/>
        <v>1.7489269199999991E-2</v>
      </c>
      <c r="L147" s="442">
        <f t="shared" si="34"/>
        <v>63.83874975994064</v>
      </c>
      <c r="M147" s="441">
        <f t="shared" ref="M147:T147" si="35">N131*(1+M88)</f>
        <v>2.9992715430457073</v>
      </c>
      <c r="N147" s="202">
        <f t="shared" si="35"/>
        <v>2259.814325740379</v>
      </c>
      <c r="O147" s="202">
        <f t="shared" si="35"/>
        <v>0.23083912458283162</v>
      </c>
      <c r="P147" s="202">
        <f t="shared" si="35"/>
        <v>10.386504576520403</v>
      </c>
      <c r="Q147" s="202">
        <f t="shared" si="35"/>
        <v>1.2068326932268523</v>
      </c>
      <c r="R147" s="202">
        <f t="shared" si="35"/>
        <v>0.28701551738656117</v>
      </c>
      <c r="S147" s="202">
        <f t="shared" si="35"/>
        <v>4.1011169602500008E-2</v>
      </c>
      <c r="T147" s="442">
        <f t="shared" si="35"/>
        <v>84.991084347109535</v>
      </c>
      <c r="U147" s="437">
        <f t="shared" si="16"/>
        <v>0.18210159374895007</v>
      </c>
      <c r="V147" s="346">
        <f t="shared" si="17"/>
        <v>0.32400274624952075</v>
      </c>
      <c r="W147" s="346">
        <f t="shared" si="18"/>
        <v>0.66888925059894699</v>
      </c>
      <c r="X147" s="346">
        <f t="shared" si="19"/>
        <v>0.35735194475996379</v>
      </c>
      <c r="Y147" s="346">
        <f t="shared" si="20"/>
        <v>0.43783840515039074</v>
      </c>
      <c r="Z147" s="346">
        <f t="shared" si="21"/>
        <v>0.44296485875836278</v>
      </c>
      <c r="AA147" s="346">
        <f t="shared" si="22"/>
        <v>1.3449332921526551</v>
      </c>
      <c r="AB147" s="346">
        <f t="shared" si="23"/>
        <v>0.33134005077966244</v>
      </c>
      <c r="AC147" s="14"/>
      <c r="AD147" s="14"/>
      <c r="AE147" s="14"/>
      <c r="AF147" s="14"/>
      <c r="AG147" s="14"/>
      <c r="AH147" s="14"/>
      <c r="AI147" s="14"/>
      <c r="AJ147" s="14"/>
      <c r="AK147" s="14"/>
      <c r="AL147" s="14"/>
      <c r="AM147" s="14"/>
      <c r="AN147" s="14"/>
      <c r="AO147" s="14"/>
      <c r="AP147" s="14"/>
      <c r="AQ147" s="14"/>
      <c r="AR147" s="14"/>
      <c r="AS147" s="14"/>
      <c r="AT147" s="14"/>
    </row>
    <row r="148" spans="2:46" x14ac:dyDescent="0.25">
      <c r="B148" s="14"/>
      <c r="C148" s="14">
        <v>40</v>
      </c>
      <c r="D148" s="287" t="str">
        <f>Data!$B$81</f>
        <v>Flat (Gradient  0%)</v>
      </c>
      <c r="E148" s="441">
        <f t="shared" ref="E148:L148" si="36">F131*(1+M105)</f>
        <v>1.292018428911814</v>
      </c>
      <c r="F148" s="202">
        <f t="shared" si="36"/>
        <v>549.89853113409731</v>
      </c>
      <c r="G148" s="202">
        <f t="shared" si="36"/>
        <v>0.10238094107596429</v>
      </c>
      <c r="H148" s="202">
        <f t="shared" si="36"/>
        <v>3.4948991839045891</v>
      </c>
      <c r="I148" s="202">
        <f t="shared" si="36"/>
        <v>0.37139450777692434</v>
      </c>
      <c r="J148" s="202">
        <f t="shared" si="36"/>
        <v>0.10066407410213271</v>
      </c>
      <c r="K148" s="202">
        <f t="shared" si="36"/>
        <v>1.7489269199999991E-2</v>
      </c>
      <c r="L148" s="442">
        <f t="shared" si="36"/>
        <v>20.388564783992614</v>
      </c>
      <c r="M148" s="441">
        <f t="shared" ref="M148:T148" si="37">N131*(1+M105)</f>
        <v>1.5272970439696698</v>
      </c>
      <c r="N148" s="202">
        <f t="shared" si="37"/>
        <v>728.06716538012245</v>
      </c>
      <c r="O148" s="202">
        <f t="shared" si="37"/>
        <v>0.170862452027881</v>
      </c>
      <c r="P148" s="202">
        <f t="shared" si="37"/>
        <v>4.7438082040129048</v>
      </c>
      <c r="Q148" s="202">
        <f t="shared" si="37"/>
        <v>0.53400528674358727</v>
      </c>
      <c r="R148" s="202">
        <f t="shared" si="37"/>
        <v>0.14525472146882529</v>
      </c>
      <c r="S148" s="202">
        <f t="shared" si="37"/>
        <v>4.1011169602500008E-2</v>
      </c>
      <c r="T148" s="442">
        <f t="shared" si="37"/>
        <v>27.144112874845163</v>
      </c>
      <c r="U148" s="437">
        <f t="shared" si="16"/>
        <v>0.18210159374895007</v>
      </c>
      <c r="V148" s="346">
        <f t="shared" si="17"/>
        <v>0.32400274624952075</v>
      </c>
      <c r="W148" s="346">
        <f t="shared" si="18"/>
        <v>0.66888925059894699</v>
      </c>
      <c r="X148" s="346">
        <f t="shared" si="19"/>
        <v>0.35735194475996401</v>
      </c>
      <c r="Y148" s="346">
        <f t="shared" si="20"/>
        <v>0.43783840515039074</v>
      </c>
      <c r="Z148" s="346">
        <f t="shared" si="21"/>
        <v>0.44296485875836278</v>
      </c>
      <c r="AA148" s="346">
        <f t="shared" si="22"/>
        <v>1.3449332921526551</v>
      </c>
      <c r="AB148" s="346">
        <f>T148/L148-1</f>
        <v>0.33134005077966244</v>
      </c>
      <c r="AC148" s="14"/>
      <c r="AD148" s="14"/>
      <c r="AE148" s="14"/>
      <c r="AF148" s="14"/>
      <c r="AG148" s="14"/>
      <c r="AH148" s="14"/>
      <c r="AI148" s="14"/>
      <c r="AJ148" s="14"/>
      <c r="AK148" s="14"/>
      <c r="AL148" s="14"/>
      <c r="AM148" s="14"/>
      <c r="AN148" s="14"/>
      <c r="AO148" s="14"/>
      <c r="AP148" s="14"/>
      <c r="AQ148" s="14"/>
      <c r="AR148" s="14"/>
      <c r="AS148" s="14"/>
      <c r="AT148" s="14"/>
    </row>
    <row r="149" spans="2:46" x14ac:dyDescent="0.25">
      <c r="B149" s="14"/>
      <c r="C149" s="14">
        <v>40</v>
      </c>
      <c r="D149" s="287" t="str">
        <f>Data!$B$82</f>
        <v>Undulating (Gradient  2%)</v>
      </c>
      <c r="E149" s="441">
        <f t="shared" ref="E149:L149" si="38">F131*(1+M99)</f>
        <v>1.8492978642909195</v>
      </c>
      <c r="F149" s="202">
        <f t="shared" si="38"/>
        <v>911.76296963784978</v>
      </c>
      <c r="G149" s="202">
        <f t="shared" si="38"/>
        <v>0.11102557228114339</v>
      </c>
      <c r="H149" s="202">
        <f t="shared" si="38"/>
        <v>4.4301649005439234</v>
      </c>
      <c r="I149" s="202">
        <f t="shared" si="38"/>
        <v>0.48596460212356102</v>
      </c>
      <c r="J149" s="202">
        <f t="shared" si="38"/>
        <v>0.13724933020817784</v>
      </c>
      <c r="K149" s="202">
        <f t="shared" si="38"/>
        <v>1.7489269199999991E-2</v>
      </c>
      <c r="L149" s="442">
        <f t="shared" si="38"/>
        <v>33.980133298088333</v>
      </c>
      <c r="M149" s="441">
        <f t="shared" ref="M149:T149" si="39">N131*(1+M99)</f>
        <v>2.1860579526948252</v>
      </c>
      <c r="N149" s="202">
        <f t="shared" si="39"/>
        <v>1207.1766757291316</v>
      </c>
      <c r="O149" s="202">
        <f t="shared" si="39"/>
        <v>0.18528938412159662</v>
      </c>
      <c r="P149" s="202">
        <f t="shared" si="39"/>
        <v>6.0132929433606268</v>
      </c>
      <c r="Q149" s="202">
        <f t="shared" si="39"/>
        <v>0.69873856847688509</v>
      </c>
      <c r="R149" s="202">
        <f t="shared" si="39"/>
        <v>0.19804596037852321</v>
      </c>
      <c r="S149" s="202">
        <f t="shared" si="39"/>
        <v>4.1011169602500008E-2</v>
      </c>
      <c r="T149" s="442">
        <f t="shared" si="39"/>
        <v>45.239112390576615</v>
      </c>
      <c r="U149" s="437">
        <f t="shared" si="16"/>
        <v>0.18210159374894985</v>
      </c>
      <c r="V149" s="346">
        <f t="shared" si="17"/>
        <v>0.32400274624952075</v>
      </c>
      <c r="W149" s="346">
        <f t="shared" si="18"/>
        <v>0.66888925059894699</v>
      </c>
      <c r="X149" s="346">
        <f t="shared" si="19"/>
        <v>0.35735194475996401</v>
      </c>
      <c r="Y149" s="346">
        <f t="shared" si="20"/>
        <v>0.43783840515039052</v>
      </c>
      <c r="Z149" s="346">
        <f t="shared" si="21"/>
        <v>0.44296485875836256</v>
      </c>
      <c r="AA149" s="346">
        <f t="shared" si="22"/>
        <v>1.3449332921526551</v>
      </c>
      <c r="AB149" s="346">
        <f t="shared" si="23"/>
        <v>0.33134005077966222</v>
      </c>
      <c r="AC149" s="14"/>
      <c r="AD149" s="14"/>
      <c r="AE149" s="14"/>
      <c r="AF149" s="14"/>
      <c r="AG149" s="14"/>
      <c r="AH149" s="14"/>
      <c r="AI149" s="14"/>
      <c r="AJ149" s="14"/>
      <c r="AK149" s="14"/>
      <c r="AL149" s="14"/>
      <c r="AM149" s="14"/>
      <c r="AN149" s="14"/>
      <c r="AO149" s="14"/>
      <c r="AP149" s="14"/>
      <c r="AQ149" s="14"/>
      <c r="AR149" s="14"/>
      <c r="AS149" s="14"/>
      <c r="AT149" s="14"/>
    </row>
    <row r="150" spans="2:46" x14ac:dyDescent="0.25">
      <c r="B150" s="14"/>
      <c r="C150" s="2"/>
      <c r="D150" s="142" t="s">
        <v>459</v>
      </c>
      <c r="E150" s="447"/>
      <c r="F150" s="2"/>
      <c r="G150" s="2"/>
      <c r="H150" s="2"/>
      <c r="I150" s="2"/>
      <c r="J150" s="2"/>
      <c r="K150" s="2"/>
      <c r="L150" s="5"/>
      <c r="M150" s="447"/>
      <c r="N150" s="2"/>
      <c r="O150" s="2"/>
      <c r="P150" s="2"/>
      <c r="Q150" s="2"/>
      <c r="R150" s="2"/>
      <c r="S150" s="2"/>
      <c r="T150" s="5"/>
      <c r="U150" s="440">
        <f>AVERAGE(U141:U149)</f>
        <v>0.18661988692310205</v>
      </c>
      <c r="V150" s="347">
        <f t="shared" ref="V150:AB150" si="40">AVERAGE(V141:V149)</f>
        <v>0.32206249055568559</v>
      </c>
      <c r="W150" s="347">
        <f t="shared" si="40"/>
        <v>0.78390966771278126</v>
      </c>
      <c r="X150" s="347">
        <f t="shared" si="40"/>
        <v>0.35741396609112058</v>
      </c>
      <c r="Y150" s="347">
        <f t="shared" si="40"/>
        <v>0.42989197369925347</v>
      </c>
      <c r="Z150" s="347">
        <f t="shared" si="40"/>
        <v>0.45109917438965691</v>
      </c>
      <c r="AA150" s="347">
        <f t="shared" si="40"/>
        <v>1.344971237561488</v>
      </c>
      <c r="AB150" s="347">
        <f t="shared" si="40"/>
        <v>0.32779771438934091</v>
      </c>
      <c r="AC150" s="14"/>
      <c r="AD150" s="14"/>
      <c r="AE150" s="14"/>
      <c r="AF150" s="14"/>
      <c r="AG150" s="14"/>
      <c r="AH150" s="14"/>
      <c r="AI150" s="14"/>
      <c r="AJ150" s="14"/>
      <c r="AK150" s="14"/>
      <c r="AL150" s="14"/>
      <c r="AM150" s="14"/>
      <c r="AN150" s="14"/>
      <c r="AO150" s="14"/>
      <c r="AP150" s="14"/>
      <c r="AQ150" s="14"/>
      <c r="AR150" s="14"/>
      <c r="AS150" s="14"/>
      <c r="AT150" s="14"/>
    </row>
    <row r="151" spans="2:46" x14ac:dyDescent="0.25">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row>
    <row r="152" spans="2:46" x14ac:dyDescent="0.25">
      <c r="B152" s="14"/>
      <c r="C152" s="20" t="s">
        <v>460</v>
      </c>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row>
    <row r="153" spans="2:46" x14ac:dyDescent="0.25">
      <c r="B153" s="14"/>
      <c r="C153" s="142"/>
      <c r="D153" s="142"/>
      <c r="E153" s="531" t="s">
        <v>460</v>
      </c>
      <c r="F153" s="531"/>
      <c r="G153" s="531"/>
      <c r="H153" s="531"/>
      <c r="I153" s="531"/>
      <c r="J153" s="531"/>
      <c r="K153" s="531"/>
      <c r="L153" s="531"/>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row>
    <row r="154" spans="2:46" ht="30" x14ac:dyDescent="0.25">
      <c r="B154" s="14"/>
      <c r="C154" s="142" t="s">
        <v>186</v>
      </c>
      <c r="D154" s="142" t="s">
        <v>187</v>
      </c>
      <c r="E154" s="325" t="s">
        <v>176</v>
      </c>
      <c r="F154" s="326" t="s">
        <v>189</v>
      </c>
      <c r="G154" s="325" t="s">
        <v>178</v>
      </c>
      <c r="H154" s="326" t="s">
        <v>179</v>
      </c>
      <c r="I154" s="326" t="s">
        <v>180</v>
      </c>
      <c r="J154" s="326" t="s">
        <v>181</v>
      </c>
      <c r="K154" s="326" t="s">
        <v>182</v>
      </c>
      <c r="L154" s="326" t="s">
        <v>183</v>
      </c>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row>
    <row r="155" spans="2:46" x14ac:dyDescent="0.25">
      <c r="B155" s="14"/>
      <c r="C155" s="14">
        <v>10</v>
      </c>
      <c r="D155" s="287" t="str">
        <f>Data!$B$83</f>
        <v>Hilly (Gradient  6%)</v>
      </c>
      <c r="E155" s="202">
        <f>F132*(1+M$90)</f>
        <v>0</v>
      </c>
      <c r="F155" s="202">
        <f t="shared" ref="F155:L155" si="41">G132*(1+N$90)</f>
        <v>0.20379331440571524</v>
      </c>
      <c r="G155" s="202">
        <f t="shared" si="41"/>
        <v>0</v>
      </c>
      <c r="H155" s="202">
        <f t="shared" si="41"/>
        <v>0</v>
      </c>
      <c r="I155" s="202">
        <f t="shared" si="41"/>
        <v>0</v>
      </c>
      <c r="J155" s="202">
        <f t="shared" si="41"/>
        <v>0</v>
      </c>
      <c r="K155" s="202">
        <f t="shared" si="41"/>
        <v>3.3242819999999999E-2</v>
      </c>
      <c r="L155" s="202">
        <f t="shared" si="41"/>
        <v>0</v>
      </c>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row>
    <row r="156" spans="2:46" x14ac:dyDescent="0.25">
      <c r="B156" s="14"/>
      <c r="C156" s="14">
        <v>10</v>
      </c>
      <c r="D156" s="287" t="str">
        <f>Data!$B$81</f>
        <v>Flat (Gradient  0%)</v>
      </c>
      <c r="E156" s="202">
        <f>F132</f>
        <v>0</v>
      </c>
      <c r="F156" s="202">
        <f t="shared" ref="F156:L156" si="42">G132</f>
        <v>0.15968215015849699</v>
      </c>
      <c r="G156" s="202">
        <f t="shared" si="42"/>
        <v>0</v>
      </c>
      <c r="H156" s="202">
        <f t="shared" si="42"/>
        <v>0</v>
      </c>
      <c r="I156" s="202">
        <f t="shared" si="42"/>
        <v>0</v>
      </c>
      <c r="J156" s="202">
        <f t="shared" si="42"/>
        <v>0</v>
      </c>
      <c r="K156" s="202">
        <f t="shared" si="42"/>
        <v>3.3242819999999999E-2</v>
      </c>
      <c r="L156" s="202">
        <f t="shared" si="42"/>
        <v>0</v>
      </c>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row>
    <row r="157" spans="2:46" x14ac:dyDescent="0.25">
      <c r="B157" s="14"/>
      <c r="C157" s="40">
        <v>10</v>
      </c>
      <c r="D157" s="277" t="str">
        <f>Data!$B$82</f>
        <v>Undulating (Gradient  2%)</v>
      </c>
      <c r="E157" s="246">
        <f>F132*(1+M$101)</f>
        <v>0</v>
      </c>
      <c r="F157" s="246">
        <f t="shared" ref="F157:L157" si="43">G132*(1+N$101)</f>
        <v>0.1660031804273043</v>
      </c>
      <c r="G157" s="246">
        <f t="shared" si="43"/>
        <v>0</v>
      </c>
      <c r="H157" s="246">
        <f t="shared" si="43"/>
        <v>0</v>
      </c>
      <c r="I157" s="246">
        <f t="shared" si="43"/>
        <v>0</v>
      </c>
      <c r="J157" s="246">
        <f t="shared" si="43"/>
        <v>0</v>
      </c>
      <c r="K157" s="246">
        <f t="shared" si="43"/>
        <v>3.3242819999999999E-2</v>
      </c>
      <c r="L157" s="246">
        <f t="shared" si="43"/>
        <v>0</v>
      </c>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row>
    <row r="158" spans="2:46" x14ac:dyDescent="0.25">
      <c r="B158" s="14"/>
      <c r="C158" s="247">
        <v>25</v>
      </c>
      <c r="D158" s="287" t="str">
        <f>Data!$B$83</f>
        <v>Hilly (Gradient  6%)</v>
      </c>
      <c r="E158" s="248">
        <f>F133*(1+M$90)</f>
        <v>0</v>
      </c>
      <c r="F158" s="248">
        <f t="shared" ref="F158:L158" si="44">G133*(1+N$90)</f>
        <v>0.13529735421639202</v>
      </c>
      <c r="G158" s="248">
        <f t="shared" si="44"/>
        <v>0</v>
      </c>
      <c r="H158" s="248">
        <f t="shared" si="44"/>
        <v>0</v>
      </c>
      <c r="I158" s="248">
        <f t="shared" si="44"/>
        <v>0</v>
      </c>
      <c r="J158" s="248">
        <f t="shared" si="44"/>
        <v>0</v>
      </c>
      <c r="K158" s="248">
        <f t="shared" si="44"/>
        <v>3.3242819999999999E-2</v>
      </c>
      <c r="L158" s="248">
        <f t="shared" si="44"/>
        <v>0</v>
      </c>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row>
    <row r="159" spans="2:46" x14ac:dyDescent="0.25">
      <c r="B159" s="14"/>
      <c r="C159" s="14">
        <v>25</v>
      </c>
      <c r="D159" s="287" t="str">
        <f>Data!$B$81</f>
        <v>Flat (Gradient  0%)</v>
      </c>
      <c r="E159" s="202">
        <f t="shared" ref="E159" si="45">F133</f>
        <v>0</v>
      </c>
      <c r="F159" s="202">
        <f>G133</f>
        <v>0.106012174614416</v>
      </c>
      <c r="G159" s="202">
        <f t="shared" ref="G159" si="46">H133</f>
        <v>0</v>
      </c>
      <c r="H159" s="202">
        <f t="shared" ref="H159" si="47">I133</f>
        <v>0</v>
      </c>
      <c r="I159" s="202">
        <f t="shared" ref="I159" si="48">J133</f>
        <v>0</v>
      </c>
      <c r="J159" s="202">
        <f t="shared" ref="J159" si="49">K133</f>
        <v>0</v>
      </c>
      <c r="K159" s="202">
        <f t="shared" ref="K159" si="50">L133</f>
        <v>3.3242819999999999E-2</v>
      </c>
      <c r="L159" s="202">
        <f t="shared" ref="L159" si="51">M133</f>
        <v>0</v>
      </c>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row>
    <row r="160" spans="2:46" x14ac:dyDescent="0.25">
      <c r="B160" s="14"/>
      <c r="C160" s="40">
        <v>25</v>
      </c>
      <c r="D160" s="277" t="str">
        <f>Data!$B$82</f>
        <v>Undulating (Gradient  2%)</v>
      </c>
      <c r="E160" s="246">
        <f>F133*(1+M$101)</f>
        <v>0</v>
      </c>
      <c r="F160" s="246">
        <f>G133*(1+N$101)</f>
        <v>0.11020867474880597</v>
      </c>
      <c r="G160" s="246">
        <f t="shared" ref="G160:L160" si="52">H133*(1+O$101)</f>
        <v>0</v>
      </c>
      <c r="H160" s="246">
        <f t="shared" si="52"/>
        <v>0</v>
      </c>
      <c r="I160" s="246">
        <f t="shared" si="52"/>
        <v>0</v>
      </c>
      <c r="J160" s="246">
        <f t="shared" si="52"/>
        <v>0</v>
      </c>
      <c r="K160" s="246">
        <f t="shared" si="52"/>
        <v>3.3242819999999999E-2</v>
      </c>
      <c r="L160" s="246">
        <f t="shared" si="52"/>
        <v>0</v>
      </c>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row>
    <row r="161" spans="2:46" x14ac:dyDescent="0.25">
      <c r="B161" s="14"/>
      <c r="C161" s="247">
        <v>40</v>
      </c>
      <c r="D161" s="287" t="str">
        <f>Data!$B$83</f>
        <v>Hilly (Gradient  6%)</v>
      </c>
      <c r="E161" s="248">
        <f>F134*(1+M$90)</f>
        <v>0</v>
      </c>
      <c r="F161" s="248">
        <f t="shared" ref="F161:L161" si="53">G134*(1+N$90)</f>
        <v>0.11012264497319538</v>
      </c>
      <c r="G161" s="248">
        <f t="shared" si="53"/>
        <v>0</v>
      </c>
      <c r="H161" s="248">
        <f t="shared" si="53"/>
        <v>0</v>
      </c>
      <c r="I161" s="248">
        <f t="shared" si="53"/>
        <v>0</v>
      </c>
      <c r="J161" s="248">
        <f t="shared" si="53"/>
        <v>0</v>
      </c>
      <c r="K161" s="248">
        <f t="shared" si="53"/>
        <v>3.3242819999999999E-2</v>
      </c>
      <c r="L161" s="248">
        <f t="shared" si="53"/>
        <v>0</v>
      </c>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row>
    <row r="162" spans="2:46" x14ac:dyDescent="0.25">
      <c r="B162" s="14"/>
      <c r="C162" s="14">
        <v>40</v>
      </c>
      <c r="D162" s="287" t="str">
        <f>Data!$B$81</f>
        <v>Flat (Gradient  0%)</v>
      </c>
      <c r="E162" s="202">
        <f t="shared" ref="E162" si="54">F134</f>
        <v>0</v>
      </c>
      <c r="F162" s="202">
        <f t="shared" ref="F162" si="55">G134</f>
        <v>8.628654370600633E-2</v>
      </c>
      <c r="G162" s="202">
        <f t="shared" ref="G162" si="56">H134</f>
        <v>0</v>
      </c>
      <c r="H162" s="202">
        <f t="shared" ref="H162" si="57">I134</f>
        <v>0</v>
      </c>
      <c r="I162" s="202">
        <f t="shared" ref="I162" si="58">J134</f>
        <v>0</v>
      </c>
      <c r="J162" s="202">
        <f t="shared" ref="J162" si="59">K134</f>
        <v>0</v>
      </c>
      <c r="K162" s="202">
        <f t="shared" ref="K162" si="60">L134</f>
        <v>3.3242819999999999E-2</v>
      </c>
      <c r="L162" s="202">
        <f t="shared" ref="L162" si="61">M134</f>
        <v>0</v>
      </c>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row>
    <row r="163" spans="2:46" x14ac:dyDescent="0.25">
      <c r="B163" s="14"/>
      <c r="C163" s="40">
        <v>40</v>
      </c>
      <c r="D163" s="277" t="str">
        <f>Data!$B$82</f>
        <v>Undulating (Gradient  2%)</v>
      </c>
      <c r="E163" s="246">
        <f>F134*(1+M$101)</f>
        <v>0</v>
      </c>
      <c r="F163" s="246">
        <f t="shared" ref="F163:L163" si="62">G134*(1+N$101)</f>
        <v>8.9702203214693174E-2</v>
      </c>
      <c r="G163" s="246">
        <f t="shared" si="62"/>
        <v>0</v>
      </c>
      <c r="H163" s="246">
        <f t="shared" si="62"/>
        <v>0</v>
      </c>
      <c r="I163" s="246">
        <f t="shared" si="62"/>
        <v>0</v>
      </c>
      <c r="J163" s="246">
        <f t="shared" si="62"/>
        <v>0</v>
      </c>
      <c r="K163" s="246">
        <f t="shared" si="62"/>
        <v>3.3242819999999999E-2</v>
      </c>
      <c r="L163" s="246">
        <f t="shared" si="62"/>
        <v>0</v>
      </c>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row>
    <row r="164" spans="2:46" x14ac:dyDescent="0.25">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row>
    <row r="165" spans="2:46" x14ac:dyDescent="0.25">
      <c r="B165" s="14"/>
      <c r="C165" s="142" t="s">
        <v>461</v>
      </c>
      <c r="D165" s="2"/>
      <c r="E165" s="2"/>
      <c r="F165" s="2"/>
      <c r="G165" s="2"/>
      <c r="H165" s="2"/>
      <c r="I165" s="2"/>
      <c r="J165" s="2"/>
      <c r="K165" s="2"/>
      <c r="L165" s="2"/>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row>
    <row r="166" spans="2:46" x14ac:dyDescent="0.25">
      <c r="B166" s="14"/>
      <c r="C166" s="142"/>
      <c r="D166" s="142"/>
      <c r="E166" s="531" t="s">
        <v>460</v>
      </c>
      <c r="F166" s="531"/>
      <c r="G166" s="531"/>
      <c r="H166" s="531"/>
      <c r="I166" s="531"/>
      <c r="J166" s="531"/>
      <c r="K166" s="531"/>
      <c r="L166" s="531"/>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row>
    <row r="167" spans="2:46" ht="30" x14ac:dyDescent="0.25">
      <c r="B167" s="14"/>
      <c r="C167" s="142" t="s">
        <v>186</v>
      </c>
      <c r="D167" s="142" t="s">
        <v>187</v>
      </c>
      <c r="E167" s="324" t="s">
        <v>176</v>
      </c>
      <c r="F167" s="324" t="s">
        <v>177</v>
      </c>
      <c r="G167" s="324" t="s">
        <v>178</v>
      </c>
      <c r="H167" s="351" t="s">
        <v>179</v>
      </c>
      <c r="I167" s="351" t="s">
        <v>180</v>
      </c>
      <c r="J167" s="326" t="s">
        <v>181</v>
      </c>
      <c r="K167" s="326" t="s">
        <v>182</v>
      </c>
      <c r="L167" s="351" t="s">
        <v>183</v>
      </c>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row>
    <row r="168" spans="2:46" x14ac:dyDescent="0.25">
      <c r="B168" s="14"/>
      <c r="C168" s="40">
        <v>15</v>
      </c>
      <c r="D168" s="277" t="str">
        <f>Data!$B$81</f>
        <v>Flat (Gradient  0%)</v>
      </c>
      <c r="E168" s="352">
        <v>2.6375202808244103</v>
      </c>
      <c r="F168" s="352">
        <v>231.63813786582531</v>
      </c>
      <c r="G168" s="352">
        <v>0.17166394537127891</v>
      </c>
      <c r="H168" s="352">
        <v>0.43699871270386714</v>
      </c>
      <c r="I168" s="352">
        <v>0.12794648495232455</v>
      </c>
      <c r="J168" s="352">
        <v>2.5684219374862288E-2</v>
      </c>
      <c r="K168" s="352">
        <v>1.2998502134374784E-2</v>
      </c>
      <c r="L168" s="352">
        <v>9.3006447489134096</v>
      </c>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row>
    <row r="169" spans="2:46" x14ac:dyDescent="0.25">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row>
    <row r="170" spans="2:46" x14ac:dyDescent="0.25">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row>
    <row r="171" spans="2:46" x14ac:dyDescent="0.25">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row>
    <row r="172" spans="2:46" x14ac:dyDescent="0.25">
      <c r="B172" s="14"/>
      <c r="C172" s="14" t="s">
        <v>462</v>
      </c>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row>
    <row r="173" spans="2:46" x14ac:dyDescent="0.25">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row>
    <row r="174" spans="2:46" x14ac:dyDescent="0.25">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row>
  </sheetData>
  <mergeCells count="8">
    <mergeCell ref="C84:C85"/>
    <mergeCell ref="D127:D128"/>
    <mergeCell ref="E127:E128"/>
    <mergeCell ref="E166:L166"/>
    <mergeCell ref="M139:T139"/>
    <mergeCell ref="E139:L139"/>
    <mergeCell ref="E153:L153"/>
    <mergeCell ref="C127:C128"/>
  </mergeCells>
  <phoneticPr fontId="30" type="noConversion"/>
  <hyperlinks>
    <hyperlink ref="D2" location="Cover!A1" display="Go to Results" xr:uid="{EC09A997-C472-489A-9CC1-904BF50489AC}"/>
  </hyperlink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Title page</vt:lpstr>
      <vt:lpstr>Cover</vt:lpstr>
      <vt:lpstr>Documentation</vt:lpstr>
      <vt:lpstr>Version log</vt:lpstr>
      <vt:lpstr>Dashboard</vt:lpstr>
      <vt:lpstr>Control panel</vt:lpstr>
      <vt:lpstr>Inpt&gt;</vt:lpstr>
      <vt:lpstr>Data</vt:lpstr>
      <vt:lpstr>Bus research</vt:lpstr>
      <vt:lpstr>Clcul.&gt;</vt:lpstr>
      <vt:lpstr>Route</vt:lpstr>
      <vt:lpstr>Diesel (BAU)</vt:lpstr>
      <vt:lpstr>RE Diesel</vt:lpstr>
      <vt:lpstr>H2 Blending</vt:lpstr>
      <vt:lpstr>Repowered</vt:lpstr>
      <vt:lpstr>BEB</vt:lpstr>
      <vt:lpstr>HFCB</vt:lpstr>
      <vt:lpstr>Otpt&gt;</vt:lpstr>
      <vt:lpstr>Results</vt:lpstr>
      <vt:lpstr>Sensitivity</vt:lpstr>
      <vt:lpstr>Graphs</vt:lpstr>
      <vt:lpstr>chart_proj_years</vt:lpstr>
      <vt:lpstr>chart_start_proj</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2024-04-16T03:57:04Z</dcterms:created>
  <dcterms:modified xsi:type="dcterms:W3CDTF">2024-04-16T03:57:11Z</dcterms:modified>
  <cp:category/>
  <cp:contentStatus/>
</cp:coreProperties>
</file>