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hc\Projects\1001 to 1200\1051 to 1075\1070 NZTA cycle facility design guide\04 Reports ViaStrada\Stage 2\Interim note\"/>
    </mc:Choice>
  </mc:AlternateContent>
  <workbookProtection workbookPassword="D35C" lockStructure="1"/>
  <bookViews>
    <workbookView xWindow="288" yWindow="612" windowWidth="16608" windowHeight="9432" tabRatio="624" activeTab="1"/>
  </bookViews>
  <sheets>
    <sheet name="Notes" sheetId="12" r:id="rId1"/>
    <sheet name="Conflict evaluation" sheetId="11" r:id="rId2"/>
    <sheet name="Actual crash prediction" sheetId="8" r:id="rId3"/>
  </sheets>
  <definedNames>
    <definedName name="a_hv0" localSheetId="1">'Conflict evaluation'!$D$16</definedName>
    <definedName name="a_hv0" localSheetId="0">Notes!#REF!</definedName>
    <definedName name="a_hv0">#REF!</definedName>
    <definedName name="a_hv100" localSheetId="1">'Conflict evaluation'!$F$16</definedName>
    <definedName name="a_hv100" localSheetId="0">Notes!#REF!</definedName>
    <definedName name="a_hv100">#REF!</definedName>
    <definedName name="a_hvcont0" localSheetId="1">'Conflict evaluation'!$C$16</definedName>
    <definedName name="a_hvcont0" localSheetId="0">Notes!#REF!</definedName>
    <definedName name="a_hvcont0">#REF!</definedName>
    <definedName name="a_hvcont100" localSheetId="1">'Conflict evaluation'!$E$16</definedName>
    <definedName name="a_hvcont100" localSheetId="0">Notes!#REF!</definedName>
    <definedName name="a_hvcont100">#REF!</definedName>
    <definedName name="a_hvsig0" localSheetId="1">'Conflict evaluation'!$D$20</definedName>
    <definedName name="a_hvsig0" localSheetId="0">Notes!#REF!</definedName>
    <definedName name="a_hvsig0">#REF!</definedName>
    <definedName name="a_hvsigcont0" localSheetId="1">'Conflict evaluation'!$C$20</definedName>
    <definedName name="a_hvsigcont0" localSheetId="0">Notes!#REF!</definedName>
    <definedName name="a_hvsigcont0">#REF!</definedName>
    <definedName name="a_hvss0" localSheetId="1">'Conflict evaluation'!$D$18</definedName>
    <definedName name="a_hvss0" localSheetId="0">Notes!#REF!</definedName>
    <definedName name="a_hvss0">#REF!</definedName>
    <definedName name="a_hvss100" localSheetId="1">'Conflict evaluation'!$F$18</definedName>
    <definedName name="a_hvss100" localSheetId="0">Notes!#REF!</definedName>
    <definedName name="a_hvss100">#REF!</definedName>
    <definedName name="a_hvsscont0" localSheetId="1">'Conflict evaluation'!$C$18</definedName>
    <definedName name="a_hvsscont0" localSheetId="0">Notes!#REF!</definedName>
    <definedName name="a_hvsscont0">#REF!</definedName>
    <definedName name="a_hvsscont100" localSheetId="1">'Conflict evaluation'!$E$18</definedName>
    <definedName name="a_hvsscont100" localSheetId="0">Notes!#REF!</definedName>
    <definedName name="a_hvsscont100">#REF!</definedName>
    <definedName name="a_lv0" localSheetId="1">'Conflict evaluation'!$D$15</definedName>
    <definedName name="a_lv0" localSheetId="0">Notes!#REF!</definedName>
    <definedName name="a_lv0">#REF!</definedName>
    <definedName name="a_lv100" localSheetId="1">'Conflict evaluation'!$F$15</definedName>
    <definedName name="a_lv100" localSheetId="0">Notes!#REF!</definedName>
    <definedName name="a_lv100">#REF!</definedName>
    <definedName name="a_lvcont0" localSheetId="1">'Conflict evaluation'!$C$15</definedName>
    <definedName name="a_lvcont0" localSheetId="0">Notes!#REF!</definedName>
    <definedName name="a_lvcont0">#REF!</definedName>
    <definedName name="a_lvcont100" localSheetId="1">'Conflict evaluation'!$E$15</definedName>
    <definedName name="a_lvcont100" localSheetId="0">Notes!#REF!</definedName>
    <definedName name="a_lvcont100">#REF!</definedName>
    <definedName name="a_res0" localSheetId="1">'Conflict evaluation'!$D$14</definedName>
    <definedName name="a_res0" localSheetId="0">Notes!#REF!</definedName>
    <definedName name="a_res0">#REF!</definedName>
    <definedName name="a_res100" localSheetId="1">'Conflict evaluation'!$F$14</definedName>
    <definedName name="a_res100" localSheetId="0">Notes!#REF!</definedName>
    <definedName name="a_res100">#REF!</definedName>
    <definedName name="a_rescont0" localSheetId="1">'Conflict evaluation'!$C$14</definedName>
    <definedName name="a_rescont0" localSheetId="0">Notes!#REF!</definedName>
    <definedName name="a_rescont0">#REF!</definedName>
    <definedName name="a_rescont100" localSheetId="1">'Conflict evaluation'!$E$14</definedName>
    <definedName name="a_rescont100" localSheetId="0">Notes!#REF!</definedName>
    <definedName name="a_rescont100">#REF!</definedName>
    <definedName name="a_sig0" localSheetId="1">'Conflict evaluation'!$D$19</definedName>
    <definedName name="a_sig0" localSheetId="0">Notes!#REF!</definedName>
    <definedName name="a_sig0">#REF!</definedName>
    <definedName name="a_sigcont0" localSheetId="1">'Conflict evaluation'!$C$19</definedName>
    <definedName name="a_sigcont0" localSheetId="0">Notes!#REF!</definedName>
    <definedName name="a_sigcont0">#REF!</definedName>
    <definedName name="a_ss0" localSheetId="1">'Conflict evaluation'!$D$17</definedName>
    <definedName name="a_ss0" localSheetId="0">Notes!#REF!</definedName>
    <definedName name="a_ss0">#REF!</definedName>
    <definedName name="a_ss100" localSheetId="1">'Conflict evaluation'!$F$17</definedName>
    <definedName name="a_ss100" localSheetId="0">Notes!#REF!</definedName>
    <definedName name="a_ss100">#REF!</definedName>
    <definedName name="a_sscont0" localSheetId="1">'Conflict evaluation'!$C$17</definedName>
    <definedName name="a_sscont0" localSheetId="0">Notes!#REF!</definedName>
    <definedName name="a_sscont0">#REF!</definedName>
    <definedName name="a_sscont100" localSheetId="1">'Conflict evaluation'!$E$17</definedName>
    <definedName name="a_sscont100" localSheetId="0">Notes!#REF!</definedName>
    <definedName name="a_sscont100">#REF!</definedName>
    <definedName name="expcyc" localSheetId="1">'Conflict evaluation'!$B$23</definedName>
    <definedName name="expcyc" localSheetId="0">Notes!#REF!</definedName>
    <definedName name="expcyc">#REF!</definedName>
    <definedName name="expmv" localSheetId="1">'Conflict evaluation'!$B$22</definedName>
    <definedName name="expmv" localSheetId="0">Notes!#REF!</definedName>
    <definedName name="expmv">#REF!</definedName>
  </definedNames>
  <calcPr calcId="152511"/>
</workbook>
</file>

<file path=xl/calcChain.xml><?xml version="1.0" encoding="utf-8"?>
<calcChain xmlns="http://schemas.openxmlformats.org/spreadsheetml/2006/main">
  <c r="J54" i="11" l="1"/>
  <c r="J55" i="11"/>
  <c r="J56" i="11"/>
  <c r="J57" i="11"/>
  <c r="J58" i="11"/>
  <c r="J59" i="11"/>
  <c r="J60" i="11"/>
  <c r="J61" i="11"/>
  <c r="J62" i="11"/>
  <c r="J63" i="11"/>
  <c r="E54" i="11"/>
  <c r="E55" i="11"/>
  <c r="E56" i="11"/>
  <c r="E57" i="11"/>
  <c r="E58" i="11"/>
  <c r="E59" i="11"/>
  <c r="E60" i="11"/>
  <c r="E61" i="11"/>
  <c r="E62" i="11"/>
  <c r="E63" i="11"/>
  <c r="F126" i="11" l="1"/>
  <c r="E126" i="11"/>
  <c r="F125" i="11"/>
  <c r="E125" i="11"/>
  <c r="G125" i="11" s="1"/>
  <c r="F124" i="11"/>
  <c r="E124" i="11"/>
  <c r="F123" i="11"/>
  <c r="E123" i="11"/>
  <c r="G123" i="11" s="1"/>
  <c r="F122" i="11"/>
  <c r="E122" i="11"/>
  <c r="F121" i="11"/>
  <c r="E121" i="11"/>
  <c r="F120" i="11"/>
  <c r="E120" i="11"/>
  <c r="F119" i="11"/>
  <c r="E119" i="11"/>
  <c r="G119" i="11" s="1"/>
  <c r="F118" i="11"/>
  <c r="E118" i="11"/>
  <c r="F117" i="11"/>
  <c r="E117" i="11"/>
  <c r="P65" i="11"/>
  <c r="P66" i="11" s="1"/>
  <c r="J65" i="11"/>
  <c r="E65" i="11"/>
  <c r="J64" i="11"/>
  <c r="E64" i="11"/>
  <c r="J53" i="11"/>
  <c r="E53" i="11"/>
  <c r="J52" i="11"/>
  <c r="E52" i="11"/>
  <c r="J51" i="11"/>
  <c r="E51" i="11"/>
  <c r="J50" i="11"/>
  <c r="E50" i="11"/>
  <c r="J49" i="11"/>
  <c r="E49" i="11"/>
  <c r="J48" i="11"/>
  <c r="E48" i="11"/>
  <c r="J47" i="11"/>
  <c r="E47" i="11"/>
  <c r="J46" i="11"/>
  <c r="E46" i="11"/>
  <c r="F17" i="11"/>
  <c r="E17" i="11"/>
  <c r="C17" i="11"/>
  <c r="D15" i="11"/>
  <c r="D19" i="11" s="1"/>
  <c r="G120" i="11" l="1"/>
  <c r="J66" i="11"/>
  <c r="C176" i="11" s="1"/>
  <c r="E66" i="11"/>
  <c r="B176" i="11" s="1"/>
  <c r="G122" i="11"/>
  <c r="G124" i="11"/>
  <c r="G126" i="11"/>
  <c r="G121" i="11"/>
  <c r="G118" i="11"/>
  <c r="E127" i="11"/>
  <c r="E176" i="11" s="1"/>
  <c r="F127" i="11"/>
  <c r="F176" i="11" s="1"/>
  <c r="D16" i="11"/>
  <c r="E15" i="11"/>
  <c r="F15" i="11"/>
  <c r="G117" i="11"/>
  <c r="C15" i="11"/>
  <c r="C19" i="11" s="1"/>
  <c r="C14" i="8"/>
  <c r="B26" i="8"/>
  <c r="B37" i="8" s="1"/>
  <c r="G176" i="11" l="1"/>
  <c r="D176" i="11"/>
  <c r="G127" i="11"/>
  <c r="D18" i="11"/>
  <c r="C16" i="11"/>
  <c r="F16" i="11"/>
  <c r="F18" i="11" s="1"/>
  <c r="E107" i="11"/>
  <c r="E105" i="11"/>
  <c r="E103" i="11"/>
  <c r="E101" i="11"/>
  <c r="E106" i="11"/>
  <c r="E104" i="11"/>
  <c r="E102" i="11"/>
  <c r="E100" i="11"/>
  <c r="D20" i="11"/>
  <c r="E99" i="11"/>
  <c r="H176" i="11" l="1"/>
  <c r="E74" i="11"/>
  <c r="E135" i="11"/>
  <c r="E76" i="11"/>
  <c r="E139" i="11"/>
  <c r="J75" i="11"/>
  <c r="E138" i="11"/>
  <c r="E79" i="11"/>
  <c r="J79" i="11"/>
  <c r="J77" i="11"/>
  <c r="J70" i="11"/>
  <c r="E137" i="11"/>
  <c r="E71" i="11"/>
  <c r="J74" i="11"/>
  <c r="E132" i="11"/>
  <c r="E73" i="11"/>
  <c r="E70" i="11"/>
  <c r="E78" i="11"/>
  <c r="E75" i="11"/>
  <c r="J76" i="11"/>
  <c r="E136" i="11"/>
  <c r="E131" i="11"/>
  <c r="E77" i="11"/>
  <c r="J71" i="11"/>
  <c r="E72" i="11"/>
  <c r="E134" i="11"/>
  <c r="J73" i="11"/>
  <c r="J78" i="11"/>
  <c r="E166" i="11"/>
  <c r="E162" i="11"/>
  <c r="E167" i="11"/>
  <c r="E163" i="11"/>
  <c r="E159" i="11"/>
  <c r="J106" i="11"/>
  <c r="J104" i="11"/>
  <c r="J102" i="11"/>
  <c r="J100" i="11"/>
  <c r="J98" i="11"/>
  <c r="J107" i="11"/>
  <c r="J105" i="11"/>
  <c r="J103" i="11"/>
  <c r="J101" i="11"/>
  <c r="J99" i="11"/>
  <c r="E168" i="11"/>
  <c r="E164" i="11"/>
  <c r="E160" i="11"/>
  <c r="E98" i="11"/>
  <c r="E108" i="11" s="1"/>
  <c r="B179" i="11" s="1"/>
  <c r="E165" i="11"/>
  <c r="E161" i="11"/>
  <c r="C18" i="11"/>
  <c r="E16" i="11"/>
  <c r="E18" i="11" s="1"/>
  <c r="C20" i="11"/>
  <c r="E151" i="11"/>
  <c r="E147" i="11"/>
  <c r="E152" i="11"/>
  <c r="E148" i="11"/>
  <c r="J93" i="11"/>
  <c r="J91" i="11"/>
  <c r="J89" i="11"/>
  <c r="J87" i="11"/>
  <c r="J85" i="11"/>
  <c r="J90" i="11"/>
  <c r="J88" i="11"/>
  <c r="J84" i="11"/>
  <c r="E84" i="11"/>
  <c r="E153" i="11"/>
  <c r="E149" i="11"/>
  <c r="E145" i="11"/>
  <c r="E93" i="11"/>
  <c r="E91" i="11"/>
  <c r="E89" i="11"/>
  <c r="E87" i="11"/>
  <c r="E85" i="11"/>
  <c r="J92" i="11"/>
  <c r="J86" i="11"/>
  <c r="E92" i="11"/>
  <c r="E90" i="11"/>
  <c r="E88" i="11"/>
  <c r="E86" i="11"/>
  <c r="E154" i="11"/>
  <c r="E150" i="11"/>
  <c r="E146" i="11"/>
  <c r="J72" i="11"/>
  <c r="E133" i="11"/>
  <c r="E140" i="11"/>
  <c r="F139" i="11" l="1"/>
  <c r="G139" i="11" s="1"/>
  <c r="F140" i="11"/>
  <c r="G140" i="11" s="1"/>
  <c r="F138" i="11"/>
  <c r="G138" i="11" s="1"/>
  <c r="F132" i="11"/>
  <c r="G132" i="11" s="1"/>
  <c r="F135" i="11"/>
  <c r="G135" i="11" s="1"/>
  <c r="F133" i="11"/>
  <c r="G133" i="11" s="1"/>
  <c r="E80" i="11"/>
  <c r="B177" i="11" s="1"/>
  <c r="J80" i="11"/>
  <c r="C177" i="11" s="1"/>
  <c r="F136" i="11"/>
  <c r="G136" i="11" s="1"/>
  <c r="F131" i="11"/>
  <c r="G131" i="11" s="1"/>
  <c r="F134" i="11"/>
  <c r="G134" i="11" s="1"/>
  <c r="E141" i="11"/>
  <c r="E177" i="11" s="1"/>
  <c r="F167" i="11"/>
  <c r="G167" i="11" s="1"/>
  <c r="F163" i="11"/>
  <c r="G163" i="11" s="1"/>
  <c r="F159" i="11"/>
  <c r="G159" i="11" s="1"/>
  <c r="F168" i="11"/>
  <c r="G168" i="11" s="1"/>
  <c r="F164" i="11"/>
  <c r="G164" i="11" s="1"/>
  <c r="F160" i="11"/>
  <c r="G160" i="11" s="1"/>
  <c r="F165" i="11"/>
  <c r="G165" i="11" s="1"/>
  <c r="F161" i="11"/>
  <c r="G161" i="11" s="1"/>
  <c r="F166" i="11"/>
  <c r="G166" i="11" s="1"/>
  <c r="F162" i="11"/>
  <c r="G162" i="11" s="1"/>
  <c r="E155" i="11"/>
  <c r="E178" i="11" s="1"/>
  <c r="J94" i="11"/>
  <c r="C178" i="11" s="1"/>
  <c r="F152" i="11"/>
  <c r="G152" i="11" s="1"/>
  <c r="F148" i="11"/>
  <c r="G148" i="11" s="1"/>
  <c r="F153" i="11"/>
  <c r="G153" i="11" s="1"/>
  <c r="F149" i="11"/>
  <c r="G149" i="11" s="1"/>
  <c r="F145" i="11"/>
  <c r="G145" i="11" s="1"/>
  <c r="F154" i="11"/>
  <c r="G154" i="11" s="1"/>
  <c r="F150" i="11"/>
  <c r="G150" i="11" s="1"/>
  <c r="F146" i="11"/>
  <c r="G146" i="11" s="1"/>
  <c r="F151" i="11"/>
  <c r="G151" i="11" s="1"/>
  <c r="F147" i="11"/>
  <c r="G147" i="11" s="1"/>
  <c r="F137" i="11"/>
  <c r="G137" i="11" s="1"/>
  <c r="J108" i="11"/>
  <c r="C179" i="11" s="1"/>
  <c r="D179" i="11" s="1"/>
  <c r="E94" i="11"/>
  <c r="B178" i="11" s="1"/>
  <c r="E169" i="11"/>
  <c r="E179" i="11" s="1"/>
  <c r="N19" i="8"/>
  <c r="I19" i="8"/>
  <c r="H19" i="8"/>
  <c r="G19" i="8"/>
  <c r="F19" i="8"/>
  <c r="E19" i="8"/>
  <c r="D19" i="8"/>
  <c r="C19" i="8"/>
  <c r="N18" i="8"/>
  <c r="I18" i="8"/>
  <c r="H18" i="8"/>
  <c r="G18" i="8"/>
  <c r="F18" i="8"/>
  <c r="E18" i="8"/>
  <c r="D18" i="8"/>
  <c r="C18" i="8"/>
  <c r="N17" i="8"/>
  <c r="I17" i="8"/>
  <c r="H17" i="8"/>
  <c r="G17" i="8"/>
  <c r="F17" i="8"/>
  <c r="E17" i="8"/>
  <c r="D17" i="8"/>
  <c r="C17" i="8"/>
  <c r="N16" i="8"/>
  <c r="I16" i="8"/>
  <c r="H16" i="8"/>
  <c r="G16" i="8"/>
  <c r="F16" i="8"/>
  <c r="E16" i="8"/>
  <c r="D16" i="8"/>
  <c r="C16" i="8"/>
  <c r="N15" i="8"/>
  <c r="I15" i="8"/>
  <c r="H15" i="8"/>
  <c r="G15" i="8"/>
  <c r="F15" i="8"/>
  <c r="E15" i="8"/>
  <c r="D15" i="8"/>
  <c r="C15" i="8"/>
  <c r="I14" i="8"/>
  <c r="H14" i="8"/>
  <c r="G14" i="8"/>
  <c r="F14" i="8"/>
  <c r="E14" i="8"/>
  <c r="D14" i="8"/>
  <c r="N14" i="8"/>
  <c r="L14" i="8" l="1"/>
  <c r="J15" i="8"/>
  <c r="J16" i="8"/>
  <c r="M17" i="8"/>
  <c r="J19" i="8"/>
  <c r="L15" i="8"/>
  <c r="L16" i="8"/>
  <c r="D178" i="11"/>
  <c r="D180" i="11" s="1"/>
  <c r="D182" i="11" s="1"/>
  <c r="D177" i="11"/>
  <c r="C180" i="11"/>
  <c r="G141" i="11"/>
  <c r="E180" i="11"/>
  <c r="G169" i="11"/>
  <c r="F141" i="11"/>
  <c r="F177" i="11" s="1"/>
  <c r="B180" i="11"/>
  <c r="G155" i="11"/>
  <c r="F155" i="11"/>
  <c r="F178" i="11" s="1"/>
  <c r="G178" i="11" s="1"/>
  <c r="F169" i="11"/>
  <c r="F179" i="11" s="1"/>
  <c r="G179" i="11" s="1"/>
  <c r="H179" i="11" s="1"/>
  <c r="L19" i="8"/>
  <c r="M18" i="8"/>
  <c r="M14" i="8"/>
  <c r="J14" i="8"/>
  <c r="M16" i="8"/>
  <c r="L18" i="8"/>
  <c r="J17" i="8"/>
  <c r="M15" i="8"/>
  <c r="B28" i="8" s="1"/>
  <c r="C30" i="8" s="1"/>
  <c r="C33" i="8" s="1"/>
  <c r="C35" i="8" s="1"/>
  <c r="B40" i="8" s="1"/>
  <c r="L17" i="8"/>
  <c r="J18" i="8"/>
  <c r="M19" i="8"/>
  <c r="K15" i="8"/>
  <c r="K16" i="8"/>
  <c r="K17" i="8"/>
  <c r="K18" i="8"/>
  <c r="K19" i="8"/>
  <c r="K14" i="8"/>
  <c r="H178" i="11" l="1"/>
  <c r="F180" i="11"/>
  <c r="G177" i="11"/>
  <c r="H177" i="11" l="1"/>
  <c r="G180" i="11"/>
  <c r="G182" i="11" s="1"/>
  <c r="G184" i="11" s="1"/>
  <c r="G181" i="11" l="1"/>
  <c r="G186" i="11"/>
  <c r="H180" i="11"/>
  <c r="D181" i="11"/>
</calcChain>
</file>

<file path=xl/sharedStrings.xml><?xml version="1.0" encoding="utf-8"?>
<sst xmlns="http://schemas.openxmlformats.org/spreadsheetml/2006/main" count="264" uniqueCount="159">
  <si>
    <t>Side streets (priority)</t>
  </si>
  <si>
    <t>Signalised intersections</t>
  </si>
  <si>
    <t>Relevant flow</t>
  </si>
  <si>
    <t>Base case.  If this is changed, other factors need to be changed in proportion</t>
  </si>
  <si>
    <t>(1) Function of parking occupancy - linear between no parking and 100%</t>
  </si>
  <si>
    <t>N/A</t>
  </si>
  <si>
    <t>Notes:</t>
  </si>
  <si>
    <t>Cycling type within facility</t>
  </si>
  <si>
    <t>Adjacent parking at 100% occupancy (1)</t>
  </si>
  <si>
    <t>Residential driveways (light vehicles) (2)</t>
  </si>
  <si>
    <t>Conflict point type</t>
  </si>
  <si>
    <t>Side 1</t>
  </si>
  <si>
    <t>Side 2</t>
  </si>
  <si>
    <t>Adjacent parking occupancy (%)</t>
  </si>
  <si>
    <t>Residential driveways:</t>
  </si>
  <si>
    <t>Total traffic movements</t>
  </si>
  <si>
    <t>% HV</t>
  </si>
  <si>
    <t>Non-residential driveways (individual)</t>
  </si>
  <si>
    <t>Risk</t>
  </si>
  <si>
    <t>cyclists / day on side 1</t>
  </si>
  <si>
    <t>cyclists / day on side 2</t>
  </si>
  <si>
    <t>Total traffic movements (per day)</t>
  </si>
  <si>
    <t>(3) Use movements per residence per day from user input values below</t>
  </si>
  <si>
    <t>(2) Assumes proportion of heavy vehicles at residential driveways negligible</t>
  </si>
  <si>
    <t>No adjacent parking provision</t>
  </si>
  <si>
    <t>Total</t>
  </si>
  <si>
    <t>Side streets</t>
  </si>
  <si>
    <t>Total traffic movements turning across cycleway (per day)</t>
  </si>
  <si>
    <t>cyclists / day</t>
  </si>
  <si>
    <t>a_rescont0</t>
  </si>
  <si>
    <t>a_res0</t>
  </si>
  <si>
    <t>a_rescont100</t>
  </si>
  <si>
    <t>a_res100</t>
  </si>
  <si>
    <t>a_lvcont0</t>
  </si>
  <si>
    <t>a_lv0</t>
  </si>
  <si>
    <t>a_lvcont100</t>
  </si>
  <si>
    <t>a_lv100</t>
  </si>
  <si>
    <t>a_hvcont0</t>
  </si>
  <si>
    <t>a_hv0</t>
  </si>
  <si>
    <t>a_hvcont100</t>
  </si>
  <si>
    <t>a_hv100</t>
  </si>
  <si>
    <t>a_sscont0</t>
  </si>
  <si>
    <t>a_ss0</t>
  </si>
  <si>
    <t>a_sscont100</t>
  </si>
  <si>
    <t>a_ss100</t>
  </si>
  <si>
    <t>Risk - total</t>
  </si>
  <si>
    <t>Summary</t>
  </si>
  <si>
    <t>Residential driveways</t>
  </si>
  <si>
    <t>Non-residential driveways</t>
  </si>
  <si>
    <t>Contraflow cycling</t>
  </si>
  <si>
    <t>Unsignalised side streets</t>
  </si>
  <si>
    <t>Relevant vehicle and flow</t>
  </si>
  <si>
    <t>Light vehicle movements per residence per day (3)</t>
  </si>
  <si>
    <t>Heavy vehicle flow in and out per day</t>
  </si>
  <si>
    <t>Light vehicle flow in and out per day</t>
  </si>
  <si>
    <t>Non-residential vehicle access (e.g. carparks)</t>
  </si>
  <si>
    <t>Light vehicle movements crossing cycleway per day</t>
  </si>
  <si>
    <t>Heavy vehicle movments crossing cycleway per day</t>
  </si>
  <si>
    <t>a_sig0</t>
  </si>
  <si>
    <t>a_hvsscont0</t>
  </si>
  <si>
    <t>a_hvss0</t>
  </si>
  <si>
    <t>a_hvsscont100</t>
  </si>
  <si>
    <t>a_hvss100</t>
  </si>
  <si>
    <t>a_hvsigcont0</t>
  </si>
  <si>
    <t>a_sigcont0</t>
  </si>
  <si>
    <t>a_hvsig0</t>
  </si>
  <si>
    <t>Driveway movements</t>
  </si>
  <si>
    <t>Factor linked directly to base</t>
  </si>
  <si>
    <t>Secondary factor</t>
  </si>
  <si>
    <t>Definition and quantification of underlying factors (no user-input required):</t>
  </si>
  <si>
    <t>Colour key:</t>
  </si>
  <si>
    <t>Underlying factors</t>
  </si>
  <si>
    <t>User-defined factors</t>
  </si>
  <si>
    <t>Output</t>
  </si>
  <si>
    <t>Intermediate result</t>
  </si>
  <si>
    <t>Key result</t>
  </si>
  <si>
    <t>Safety in numbers motor vehicle exponent (expmv)</t>
  </si>
  <si>
    <t>Safety in numbers cyclist exponent (expcyc)</t>
  </si>
  <si>
    <t>Site description and evaluation sections:</t>
  </si>
  <si>
    <t>Number of houses serviced by an individual driveway</t>
  </si>
  <si>
    <t>Number of corresponding driveways</t>
  </si>
  <si>
    <t>Site name (location of non-residential driveway on side 1)</t>
  </si>
  <si>
    <t>Site name (location of non-residential driveway on side 2)</t>
  </si>
  <si>
    <t>Non-residential driveways (individual):</t>
  </si>
  <si>
    <t>Site name (location of non-residential driveway crossing bi-directional facility)</t>
  </si>
  <si>
    <t>Name of street intersecting cycleway where form of control is priority</t>
  </si>
  <si>
    <t xml:space="preserve">Name of street intersecting cycleway on side 1 where form of control is priority </t>
  </si>
  <si>
    <t xml:space="preserve">Name of street intersecting cycleway on side 2 where form of control is priority </t>
  </si>
  <si>
    <t>Name of signalised intersection (affecting cycleway on side 1)</t>
  </si>
  <si>
    <t>Name of signalised intersection (affecting cycleway on side 2)</t>
  </si>
  <si>
    <t>With-flow cycling</t>
  </si>
  <si>
    <t>Risk - with-flow cycling</t>
  </si>
  <si>
    <t>Risk - contraflow cycling</t>
  </si>
  <si>
    <t>driveway movements per residence per day (default value given, users could justify changing it)</t>
  </si>
  <si>
    <t>General information / values (user input)</t>
  </si>
  <si>
    <t>Name of evaluator</t>
  </si>
  <si>
    <t>Site name</t>
  </si>
  <si>
    <t>Date</t>
  </si>
  <si>
    <t>Additional description</t>
  </si>
  <si>
    <t>#User name</t>
  </si>
  <si>
    <t>#Site name</t>
  </si>
  <si>
    <t>#Date</t>
  </si>
  <si>
    <t>#Description</t>
  </si>
  <si>
    <t>Cycle volume</t>
  </si>
  <si>
    <t>Location</t>
  </si>
  <si>
    <t>Volume of cyclists in "with-flow" direction:</t>
  </si>
  <si>
    <t>Volume of cyclists in contraflow direction:</t>
  </si>
  <si>
    <t>Side of road:</t>
  </si>
  <si>
    <t xml:space="preserve">Turner T intersection model for all vehicles with underlying midblock rate subtracted. </t>
  </si>
  <si>
    <t>annual inj crashes  = 4.7072 * 10^-6 * Qstem^0.3787 * Q main ^0.922</t>
  </si>
  <si>
    <t xml:space="preserve">injury crashes per year </t>
  </si>
  <si>
    <t xml:space="preserve">Calculating order of risk: </t>
  </si>
  <si>
    <t>Qmain = cyclist</t>
  </si>
  <si>
    <t>Qstem = driveway traffic</t>
  </si>
  <si>
    <t>Proportion of cycling injury crashes (from crash data)</t>
  </si>
  <si>
    <t>Crash risk for cyclists</t>
  </si>
  <si>
    <t>Proportion of cycle crashes where cyclist was on footpath (crash data)</t>
  </si>
  <si>
    <t>Proportion of cyclists not using footpath</t>
  </si>
  <si>
    <t>Crash risk for cyclists (excluding footpath cyclers)</t>
  </si>
  <si>
    <t xml:space="preserve"> (for 5000 veh / day and 10 dw mvmts / day)</t>
  </si>
  <si>
    <r>
      <t xml:space="preserve">Turner model - crash risk for </t>
    </r>
    <r>
      <rPr>
        <b/>
        <sz val="11"/>
        <color theme="1"/>
        <rFont val="Calibri"/>
        <family val="2"/>
        <scheme val="minor"/>
      </rPr>
      <t>all vehicles</t>
    </r>
  </si>
  <si>
    <t>On-road risk compared with off-road risk</t>
  </si>
  <si>
    <t>veh/day</t>
  </si>
  <si>
    <t>driveway movements / day</t>
  </si>
  <si>
    <t>cycle mode share</t>
  </si>
  <si>
    <t>cycles / day</t>
  </si>
  <si>
    <t>cyclists in each direction / day</t>
  </si>
  <si>
    <t>Relative Risk Analysis</t>
  </si>
  <si>
    <t>Predicted Crashes / year</t>
  </si>
  <si>
    <t xml:space="preserve">Separated cycleway selection tool </t>
  </si>
  <si>
    <t>interim guidance to inform decision on direction and placement of 1-way vs 2-way separated cycleways</t>
  </si>
  <si>
    <t>Developed by: Megan Fowler &amp; Axel Wilke (ViaStrada), Tim Hughes (NZTA), with input from Shane Turner (MWH)</t>
  </si>
  <si>
    <t>Separated cycleway options tool (SCOT)</t>
  </si>
  <si>
    <t>General notes on development and application of tool</t>
  </si>
  <si>
    <t>Notes on process used to derive actual crash rate predictions from risk scores</t>
  </si>
  <si>
    <t>this section has been developed primarily by Tim Hughes (NZTA) with review and documentation by Megan Fowler (ViaStrada)</t>
  </si>
  <si>
    <t>Base case:</t>
  </si>
  <si>
    <t>relative score for residential driveway with 175 cyclists / day and 10 veh movements (from risk evaluation in SCOT)</t>
  </si>
  <si>
    <t>2x one-way cycleways (cyclists travelling in "with-flow" direction):</t>
  </si>
  <si>
    <t>2x one-way cycleways</t>
  </si>
  <si>
    <t>1x two-way cycleways</t>
  </si>
  <si>
    <t>1x two-way cycleway:</t>
  </si>
  <si>
    <t>N/S/E/W side of route</t>
  </si>
  <si>
    <t>#Cycle volume side 1</t>
  </si>
  <si>
    <t>#Cycle volume side 2</t>
  </si>
  <si>
    <t>#Cycle volume with-flow</t>
  </si>
  <si>
    <t>#Cycle volume contra-flow</t>
  </si>
  <si>
    <t xml:space="preserve">Collecctive cycling risk - on road cyclist crash rate at residential driveway is about 0.003 inj crashes per year. </t>
  </si>
  <si>
    <t>Naming convention for parameter cells:</t>
  </si>
  <si>
    <t>injury crashes per 10 years</t>
  </si>
  <si>
    <t xml:space="preserve">Difference over ten years: </t>
  </si>
  <si>
    <t>Difference in actual crashes:</t>
  </si>
  <si>
    <t>Requires user input (only modifiable cells in worksheet)</t>
  </si>
  <si>
    <t>conversion factor between relative risk score and actual crash risk prediction - used at end of conflict calcs</t>
  </si>
  <si>
    <t>Ratio (1*two-way/ 2*one-way)</t>
  </si>
  <si>
    <t>wording change:</t>
  </si>
  <si>
    <t>and the spreadsheet was subsequently revised further</t>
  </si>
  <si>
    <t>plus a couple of spelling mistakes</t>
  </si>
  <si>
    <t>Version 01 from March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</si>
</sst>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_)"/>
    <numFmt numFmtId="166" formatCode="0.000_)"/>
    <numFmt numFmtId="167" formatCode="0.0000_)"/>
    <numFmt numFmtId="168" formatCode="0.0000"/>
  </numFmts>
  <fonts count="14"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name val="Calibri"/>
      <family val="2"/>
      <scheme val="minor"/>
    </font>
    <font>
      <b/>
      <sz val="11"/>
      <color rgb="FFFF0000"/>
      <name val="Calibri"/>
      <family val="2"/>
      <scheme val="minor"/>
    </font>
    <font>
      <sz val="11"/>
      <color indexed="8"/>
      <name val="Calibri"/>
      <family val="2"/>
      <scheme val="minor"/>
    </font>
    <font>
      <b/>
      <sz val="11"/>
      <color indexed="8"/>
      <name val="Calibri"/>
      <family val="2"/>
      <scheme val="minor"/>
    </font>
    <font>
      <sz val="11"/>
      <color theme="0"/>
      <name val="Calibri"/>
      <family val="2"/>
      <scheme val="minor"/>
    </font>
    <font>
      <b/>
      <sz val="16"/>
      <color theme="0"/>
      <name val="Calibri"/>
      <family val="2"/>
      <scheme val="minor"/>
    </font>
    <font>
      <b/>
      <i/>
      <sz val="12"/>
      <color theme="0"/>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FF0000"/>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7030A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3" fillId="0" borderId="0" applyFont="0" applyFill="0" applyBorder="0" applyAlignment="0" applyProtection="0"/>
  </cellStyleXfs>
  <cellXfs count="203">
    <xf numFmtId="0" fontId="0" fillId="0" borderId="0" xfId="0"/>
    <xf numFmtId="0" fontId="0" fillId="0" borderId="0" xfId="0" applyFill="1"/>
    <xf numFmtId="0" fontId="0" fillId="0" borderId="0" xfId="0" applyAlignment="1">
      <alignment wrapText="1"/>
    </xf>
    <xf numFmtId="0" fontId="0" fillId="0" borderId="0" xfId="0" applyFill="1" applyAlignment="1">
      <alignment wrapText="1"/>
    </xf>
    <xf numFmtId="0" fontId="0" fillId="0" borderId="0" xfId="0" applyAlignment="1">
      <alignment vertical="top" wrapText="1"/>
    </xf>
    <xf numFmtId="0" fontId="1" fillId="0" borderId="0" xfId="0" applyFont="1" applyAlignment="1">
      <alignment vertical="top" wrapText="1"/>
    </xf>
    <xf numFmtId="0" fontId="0" fillId="0" borderId="0" xfId="0" applyFill="1" applyAlignment="1">
      <alignment vertical="top" wrapText="1"/>
    </xf>
    <xf numFmtId="0" fontId="1" fillId="0" borderId="0" xfId="0" applyFont="1" applyFill="1" applyAlignment="1">
      <alignment vertical="top" wrapText="1"/>
    </xf>
    <xf numFmtId="0" fontId="1" fillId="0" borderId="0" xfId="0" applyFont="1"/>
    <xf numFmtId="0" fontId="1" fillId="3" borderId="0" xfId="0" applyFont="1" applyFill="1"/>
    <xf numFmtId="0" fontId="0" fillId="3" borderId="0" xfId="0" applyFill="1"/>
    <xf numFmtId="2" fontId="0" fillId="0" borderId="0" xfId="0" applyNumberFormat="1"/>
    <xf numFmtId="0" fontId="0" fillId="5" borderId="0" xfId="0" applyFill="1" applyAlignment="1">
      <alignment vertical="top" wrapText="1"/>
    </xf>
    <xf numFmtId="0" fontId="0" fillId="0" borderId="0" xfId="0" applyFill="1" applyAlignment="1">
      <alignment horizontal="center" vertical="top" wrapText="1"/>
    </xf>
    <xf numFmtId="0" fontId="0" fillId="0" borderId="0" xfId="0" applyAlignment="1">
      <alignment vertical="top"/>
    </xf>
    <xf numFmtId="0" fontId="1" fillId="0" borderId="0" xfId="0" applyFont="1" applyFill="1" applyAlignment="1">
      <alignment horizontal="center" vertical="center" wrapText="1"/>
    </xf>
    <xf numFmtId="0" fontId="0" fillId="0" borderId="0" xfId="0" applyFill="1" applyAlignment="1">
      <alignment vertical="top"/>
    </xf>
    <xf numFmtId="0" fontId="0" fillId="0" borderId="0" xfId="0" applyFill="1" applyAlignment="1"/>
    <xf numFmtId="0" fontId="0" fillId="0" borderId="0" xfId="0" applyFill="1" applyAlignment="1">
      <alignment horizontal="left" wrapText="1"/>
    </xf>
    <xf numFmtId="0" fontId="4" fillId="0" borderId="0" xfId="0" applyFont="1" applyFill="1"/>
    <xf numFmtId="0" fontId="2" fillId="0" borderId="0" xfId="0" applyFont="1" applyFill="1" applyAlignment="1">
      <alignment vertical="top"/>
    </xf>
    <xf numFmtId="9" fontId="2" fillId="0" borderId="0" xfId="0" applyNumberFormat="1" applyFont="1" applyFill="1" applyAlignment="1">
      <alignment vertical="top"/>
    </xf>
    <xf numFmtId="164" fontId="0" fillId="0" borderId="0" xfId="0" applyNumberFormat="1" applyFill="1" applyAlignment="1">
      <alignment vertical="top"/>
    </xf>
    <xf numFmtId="9" fontId="2" fillId="0" borderId="0" xfId="1" applyFont="1" applyFill="1" applyAlignment="1">
      <alignment vertical="top"/>
    </xf>
    <xf numFmtId="0" fontId="0" fillId="10" borderId="0" xfId="0" applyFill="1" applyAlignment="1">
      <alignment vertical="top"/>
    </xf>
    <xf numFmtId="0" fontId="2" fillId="10" borderId="0" xfId="0" applyFont="1" applyFill="1" applyAlignment="1">
      <alignment vertical="top"/>
    </xf>
    <xf numFmtId="9" fontId="2" fillId="10" borderId="0" xfId="0" applyNumberFormat="1" applyFont="1" applyFill="1" applyAlignment="1">
      <alignment vertical="top"/>
    </xf>
    <xf numFmtId="9" fontId="2" fillId="10" borderId="0" xfId="1" applyFont="1" applyFill="1" applyAlignment="1">
      <alignment vertical="top"/>
    </xf>
    <xf numFmtId="0" fontId="1" fillId="10" borderId="0" xfId="0" applyFont="1" applyFill="1" applyAlignment="1">
      <alignment vertical="top"/>
    </xf>
    <xf numFmtId="9" fontId="2" fillId="0" borderId="0" xfId="1" quotePrefix="1" applyFont="1" applyFill="1" applyAlignment="1">
      <alignment vertical="top"/>
    </xf>
    <xf numFmtId="0" fontId="0" fillId="11" borderId="0" xfId="0" applyFill="1"/>
    <xf numFmtId="0" fontId="1" fillId="9" borderId="0" xfId="0" applyFont="1" applyFill="1" applyAlignment="1">
      <alignment vertical="top" wrapText="1"/>
    </xf>
    <xf numFmtId="0" fontId="1" fillId="9" borderId="0" xfId="0" applyFont="1" applyFill="1" applyAlignment="1">
      <alignment wrapText="1"/>
    </xf>
    <xf numFmtId="0" fontId="1" fillId="0" borderId="0" xfId="0" applyFont="1" applyFill="1"/>
    <xf numFmtId="164" fontId="1" fillId="0" borderId="0" xfId="0" applyNumberFormat="1" applyFont="1" applyFill="1" applyAlignment="1">
      <alignment vertical="top"/>
    </xf>
    <xf numFmtId="0" fontId="1" fillId="0" borderId="0" xfId="0" applyFont="1" applyFill="1" applyAlignment="1">
      <alignment vertical="top"/>
    </xf>
    <xf numFmtId="0" fontId="1" fillId="0" borderId="0" xfId="0" applyFont="1" applyFill="1" applyAlignment="1">
      <alignment wrapText="1"/>
    </xf>
    <xf numFmtId="164" fontId="1" fillId="0" borderId="0" xfId="0" applyNumberFormat="1" applyFont="1" applyFill="1"/>
    <xf numFmtId="0" fontId="0" fillId="5" borderId="1" xfId="0" applyFill="1" applyBorder="1" applyAlignment="1">
      <alignment horizontal="center" vertical="center" wrapText="1"/>
    </xf>
    <xf numFmtId="0" fontId="2" fillId="6"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8" borderId="4" xfId="0" applyFill="1" applyBorder="1" applyAlignment="1">
      <alignment vertical="top" wrapText="1"/>
    </xf>
    <xf numFmtId="0" fontId="0" fillId="8" borderId="4" xfId="0" applyFont="1" applyFill="1" applyBorder="1" applyAlignment="1">
      <alignment vertical="top"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1" fillId="8" borderId="5" xfId="0" applyFont="1" applyFill="1" applyBorder="1" applyAlignment="1">
      <alignment vertical="top" wrapText="1"/>
    </xf>
    <xf numFmtId="0" fontId="1" fillId="8" borderId="15" xfId="0" applyFont="1" applyFill="1" applyBorder="1" applyAlignment="1">
      <alignment vertical="top" wrapText="1"/>
    </xf>
    <xf numFmtId="0" fontId="1" fillId="8" borderId="6" xfId="0" applyFont="1" applyFill="1" applyBorder="1" applyAlignment="1">
      <alignment vertical="top" wrapText="1"/>
    </xf>
    <xf numFmtId="0" fontId="0" fillId="8" borderId="8" xfId="0" applyFill="1" applyBorder="1" applyAlignment="1">
      <alignment vertical="top" wrapText="1"/>
    </xf>
    <xf numFmtId="0" fontId="0" fillId="8" borderId="17" xfId="0" applyFont="1" applyFill="1" applyBorder="1" applyAlignment="1">
      <alignment vertical="top" wrapText="1"/>
    </xf>
    <xf numFmtId="0" fontId="1" fillId="5" borderId="1" xfId="0" applyFont="1" applyFill="1" applyBorder="1" applyAlignment="1">
      <alignment horizontal="center" vertical="center" wrapText="1"/>
    </xf>
    <xf numFmtId="0" fontId="0" fillId="0" borderId="0" xfId="0" applyFill="1" applyBorder="1" applyAlignment="1">
      <alignment vertical="top" wrapText="1"/>
    </xf>
    <xf numFmtId="0" fontId="0" fillId="4" borderId="18" xfId="0" applyFont="1" applyFill="1" applyBorder="1" applyAlignment="1">
      <alignment horizontal="center" vertical="center" wrapText="1"/>
    </xf>
    <xf numFmtId="0" fontId="1" fillId="5" borderId="11" xfId="0" applyFont="1" applyFill="1" applyBorder="1" applyAlignment="1">
      <alignment horizontal="center" vertical="center" wrapText="1"/>
    </xf>
    <xf numFmtId="9" fontId="4" fillId="0" borderId="0" xfId="1" quotePrefix="1" applyFont="1" applyFill="1" applyAlignment="1">
      <alignment vertical="top"/>
    </xf>
    <xf numFmtId="0" fontId="4" fillId="4" borderId="0" xfId="0" applyFont="1" applyFill="1" applyAlignment="1">
      <alignment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15" xfId="0" applyFont="1" applyFill="1" applyBorder="1" applyAlignment="1">
      <alignment vertical="top" wrapText="1"/>
    </xf>
    <xf numFmtId="0" fontId="0" fillId="3" borderId="8" xfId="0" applyFill="1" applyBorder="1" applyAlignment="1">
      <alignment vertical="top" wrapText="1"/>
    </xf>
    <xf numFmtId="0" fontId="0" fillId="3" borderId="4" xfId="0" applyFill="1" applyBorder="1" applyAlignment="1">
      <alignment vertical="top" wrapText="1"/>
    </xf>
    <xf numFmtId="0" fontId="0" fillId="3" borderId="4" xfId="0" applyFont="1" applyFill="1" applyBorder="1" applyAlignment="1">
      <alignment vertical="top" wrapText="1"/>
    </xf>
    <xf numFmtId="0" fontId="0" fillId="3" borderId="17" xfId="0" applyFont="1" applyFill="1" applyBorder="1" applyAlignment="1">
      <alignment vertical="top" wrapText="1"/>
    </xf>
    <xf numFmtId="0" fontId="0" fillId="3" borderId="5" xfId="0" applyFill="1" applyBorder="1" applyAlignment="1">
      <alignment vertical="top" wrapText="1"/>
    </xf>
    <xf numFmtId="0" fontId="0" fillId="3" borderId="10" xfId="0" applyFill="1" applyBorder="1" applyAlignment="1">
      <alignment vertical="top" wrapText="1"/>
    </xf>
    <xf numFmtId="0" fontId="1" fillId="12" borderId="0" xfId="0" applyFont="1" applyFill="1"/>
    <xf numFmtId="164" fontId="0" fillId="12" borderId="0" xfId="0" applyNumberFormat="1" applyFill="1" applyAlignment="1">
      <alignment vertical="top"/>
    </xf>
    <xf numFmtId="164" fontId="2" fillId="13" borderId="0" xfId="0" applyNumberFormat="1" applyFont="1" applyFill="1" applyAlignment="1">
      <alignment vertical="top"/>
    </xf>
    <xf numFmtId="164" fontId="1" fillId="12" borderId="0" xfId="0" applyNumberFormat="1" applyFont="1" applyFill="1"/>
    <xf numFmtId="164" fontId="1" fillId="12" borderId="0" xfId="0" applyNumberFormat="1" applyFont="1" applyFill="1" applyAlignment="1">
      <alignment wrapText="1"/>
    </xf>
    <xf numFmtId="164" fontId="0" fillId="12" borderId="0" xfId="0" applyNumberFormat="1" applyFill="1"/>
    <xf numFmtId="0" fontId="0" fillId="0" borderId="1" xfId="0" applyFill="1" applyBorder="1"/>
    <xf numFmtId="1" fontId="0" fillId="0" borderId="1" xfId="0" applyNumberFormat="1" applyFill="1" applyBorder="1"/>
    <xf numFmtId="1" fontId="0" fillId="0" borderId="20" xfId="0" applyNumberFormat="1" applyFill="1" applyBorder="1"/>
    <xf numFmtId="1" fontId="1" fillId="12" borderId="3" xfId="0" applyNumberFormat="1" applyFont="1" applyFill="1" applyBorder="1"/>
    <xf numFmtId="0" fontId="0" fillId="0" borderId="8" xfId="0" applyFill="1" applyBorder="1"/>
    <xf numFmtId="0" fontId="1" fillId="0" borderId="9" xfId="0" applyFont="1" applyFill="1" applyBorder="1"/>
    <xf numFmtId="1" fontId="0" fillId="0" borderId="8" xfId="0" applyNumberFormat="1" applyFill="1" applyBorder="1"/>
    <xf numFmtId="1" fontId="1" fillId="12" borderId="9" xfId="0" applyNumberFormat="1" applyFont="1" applyFill="1" applyBorder="1"/>
    <xf numFmtId="1" fontId="0" fillId="0" borderId="11" xfId="0" applyNumberFormat="1" applyFill="1" applyBorder="1"/>
    <xf numFmtId="1" fontId="1" fillId="12" borderId="12" xfId="0" applyNumberFormat="1" applyFont="1" applyFill="1" applyBorder="1"/>
    <xf numFmtId="1" fontId="1" fillId="12" borderId="10" xfId="0" applyNumberFormat="1" applyFont="1" applyFill="1" applyBorder="1"/>
    <xf numFmtId="1" fontId="1" fillId="12" borderId="11" xfId="0" applyNumberFormat="1" applyFont="1" applyFill="1" applyBorder="1"/>
    <xf numFmtId="0" fontId="0" fillId="0" borderId="0" xfId="0" applyBorder="1"/>
    <xf numFmtId="1" fontId="0" fillId="0" borderId="21" xfId="0" applyNumberFormat="1" applyFill="1" applyBorder="1"/>
    <xf numFmtId="1" fontId="1" fillId="12" borderId="22" xfId="0" applyNumberFormat="1" applyFont="1" applyFill="1" applyBorder="1"/>
    <xf numFmtId="0" fontId="0" fillId="0" borderId="23" xfId="0" applyBorder="1"/>
    <xf numFmtId="0" fontId="0" fillId="0" borderId="18" xfId="0" applyBorder="1"/>
    <xf numFmtId="1" fontId="2" fillId="13" borderId="24" xfId="0" applyNumberFormat="1" applyFont="1" applyFill="1" applyBorder="1" applyAlignment="1">
      <alignment vertical="top"/>
    </xf>
    <xf numFmtId="0" fontId="0" fillId="0" borderId="19" xfId="0" applyFill="1" applyBorder="1" applyAlignment="1">
      <alignment vertical="top" wrapText="1"/>
    </xf>
    <xf numFmtId="0" fontId="0" fillId="0" borderId="19" xfId="0" applyFill="1" applyBorder="1" applyAlignment="1">
      <alignment wrapText="1"/>
    </xf>
    <xf numFmtId="164" fontId="1" fillId="0" borderId="0" xfId="0" applyNumberFormat="1" applyFont="1" applyFill="1" applyAlignment="1">
      <alignment wrapText="1"/>
    </xf>
    <xf numFmtId="0" fontId="2" fillId="0" borderId="0" xfId="0" applyFont="1" applyFill="1" applyAlignment="1">
      <alignment vertical="top" wrapText="1"/>
    </xf>
    <xf numFmtId="9" fontId="2" fillId="0" borderId="0" xfId="1" applyFont="1" applyFill="1" applyAlignment="1">
      <alignment vertical="top" wrapText="1"/>
    </xf>
    <xf numFmtId="0" fontId="0" fillId="0" borderId="0" xfId="0" applyFill="1" applyAlignment="1">
      <alignment horizontal="right"/>
    </xf>
    <xf numFmtId="1" fontId="0" fillId="0" borderId="0" xfId="0" applyNumberFormat="1" applyFill="1"/>
    <xf numFmtId="2" fontId="0" fillId="0" borderId="0" xfId="0" applyNumberFormat="1" applyFill="1"/>
    <xf numFmtId="0" fontId="1" fillId="0" borderId="0" xfId="0" applyFont="1" applyFill="1" applyBorder="1" applyAlignment="1">
      <alignment vertical="top" wrapText="1"/>
    </xf>
    <xf numFmtId="164" fontId="0" fillId="0" borderId="0" xfId="0" applyNumberFormat="1" applyFill="1" applyAlignment="1">
      <alignment horizontal="left" vertical="top"/>
    </xf>
    <xf numFmtId="0" fontId="1" fillId="9" borderId="0" xfId="0" applyFont="1" applyFill="1" applyAlignment="1"/>
    <xf numFmtId="0" fontId="0" fillId="0" borderId="0" xfId="0" applyFont="1" applyFill="1" applyAlignment="1">
      <alignment horizontal="center" vertical="top" wrapText="1"/>
    </xf>
    <xf numFmtId="0" fontId="1" fillId="0" borderId="0" xfId="0" applyFont="1" applyFill="1" applyAlignment="1">
      <alignment horizontal="right"/>
    </xf>
    <xf numFmtId="0" fontId="0" fillId="0" borderId="0" xfId="0" applyAlignment="1">
      <alignment horizontal="right"/>
    </xf>
    <xf numFmtId="0" fontId="1" fillId="0" borderId="0" xfId="0" applyFont="1" applyFill="1" applyAlignment="1">
      <alignment horizontal="right" vertical="top" wrapText="1"/>
    </xf>
    <xf numFmtId="0" fontId="1" fillId="0" borderId="0" xfId="0" applyFont="1" applyAlignment="1">
      <alignment horizontal="right"/>
    </xf>
    <xf numFmtId="0" fontId="1" fillId="0" borderId="0" xfId="0" applyFont="1" applyFill="1" applyAlignment="1">
      <alignment horizontal="left" vertical="top" wrapText="1"/>
    </xf>
    <xf numFmtId="0" fontId="2" fillId="0" borderId="0" xfId="0" applyFont="1" applyFill="1"/>
    <xf numFmtId="0" fontId="0" fillId="0" borderId="0" xfId="0" applyFont="1" applyBorder="1" applyAlignment="1">
      <alignment horizontal="right"/>
    </xf>
    <xf numFmtId="165" fontId="6" fillId="0" borderId="0" xfId="0" applyNumberFormat="1" applyFont="1" applyFill="1" applyBorder="1" applyAlignment="1" applyProtection="1">
      <alignment horizontal="right"/>
    </xf>
    <xf numFmtId="166" fontId="6" fillId="0" borderId="0" xfId="0" applyNumberFormat="1" applyFont="1" applyFill="1" applyBorder="1" applyAlignment="1" applyProtection="1">
      <alignment horizontal="right"/>
    </xf>
    <xf numFmtId="0" fontId="7" fillId="0" borderId="0" xfId="0" applyFont="1" applyFill="1" applyBorder="1" applyAlignment="1" applyProtection="1">
      <alignment horizontal="right"/>
    </xf>
    <xf numFmtId="0" fontId="1" fillId="0" borderId="0" xfId="0" applyFont="1" applyBorder="1" applyAlignment="1">
      <alignment horizontal="right"/>
    </xf>
    <xf numFmtId="10" fontId="0" fillId="0" borderId="0" xfId="0" applyNumberFormat="1"/>
    <xf numFmtId="2" fontId="1" fillId="0" borderId="0" xfId="0" applyNumberFormat="1" applyFont="1" applyFill="1" applyAlignment="1">
      <alignment wrapText="1"/>
    </xf>
    <xf numFmtId="0" fontId="1" fillId="0" borderId="0" xfId="0" applyFont="1" applyFill="1" applyBorder="1" applyAlignment="1">
      <alignment horizontal="right"/>
    </xf>
    <xf numFmtId="167" fontId="6" fillId="0" borderId="0" xfId="0" applyNumberFormat="1" applyFont="1" applyFill="1" applyBorder="1" applyAlignment="1" applyProtection="1">
      <alignment horizontal="right"/>
    </xf>
    <xf numFmtId="0" fontId="1" fillId="0" borderId="0" xfId="0" applyFont="1" applyFill="1" applyAlignment="1">
      <alignment horizontal="center" vertical="top" wrapText="1"/>
    </xf>
    <xf numFmtId="0" fontId="0" fillId="0" borderId="0" xfId="0" applyFill="1" applyAlignment="1">
      <alignment horizontal="left" vertical="top" wrapText="1"/>
    </xf>
    <xf numFmtId="9" fontId="1" fillId="0" borderId="0" xfId="0" applyNumberFormat="1" applyFont="1"/>
    <xf numFmtId="9" fontId="1" fillId="0" borderId="0" xfId="1" applyFont="1"/>
    <xf numFmtId="0" fontId="8" fillId="14" borderId="0" xfId="0" applyFont="1" applyFill="1"/>
    <xf numFmtId="0" fontId="0" fillId="12" borderId="0" xfId="0" applyFill="1"/>
    <xf numFmtId="0" fontId="9" fillId="14" borderId="0" xfId="0" applyFont="1" applyFill="1"/>
    <xf numFmtId="0" fontId="10" fillId="14" borderId="0" xfId="0" applyFont="1" applyFill="1"/>
    <xf numFmtId="0" fontId="11" fillId="3" borderId="0" xfId="0" applyFont="1" applyFill="1"/>
    <xf numFmtId="0" fontId="12" fillId="3" borderId="0" xfId="0" applyFont="1" applyFill="1"/>
    <xf numFmtId="166" fontId="0" fillId="0" borderId="0" xfId="0" applyNumberFormat="1"/>
    <xf numFmtId="168" fontId="0" fillId="0" borderId="0" xfId="0" applyNumberFormat="1"/>
    <xf numFmtId="166" fontId="6" fillId="2" borderId="0" xfId="0" applyNumberFormat="1" applyFont="1" applyFill="1" applyBorder="1" applyAlignment="1" applyProtection="1">
      <alignment horizontal="right"/>
    </xf>
    <xf numFmtId="0" fontId="2" fillId="7" borderId="0" xfId="0" applyFont="1" applyFill="1" applyProtection="1">
      <protection locked="0"/>
    </xf>
    <xf numFmtId="0" fontId="2" fillId="7" borderId="0" xfId="0" applyFont="1" applyFill="1" applyAlignment="1" applyProtection="1">
      <alignment vertical="top"/>
      <protection locked="0"/>
    </xf>
    <xf numFmtId="9" fontId="2" fillId="7" borderId="0" xfId="0" applyNumberFormat="1" applyFont="1" applyFill="1" applyAlignment="1" applyProtection="1">
      <alignment vertical="top"/>
      <protection locked="0"/>
    </xf>
    <xf numFmtId="9" fontId="2" fillId="7" borderId="0" xfId="1" applyFont="1" applyFill="1" applyAlignment="1" applyProtection="1">
      <alignment vertical="top"/>
      <protection locked="0"/>
    </xf>
    <xf numFmtId="0" fontId="2" fillId="7" borderId="0" xfId="0" applyFont="1" applyFill="1" applyAlignment="1" applyProtection="1">
      <alignment vertical="top" wrapText="1"/>
      <protection locked="0"/>
    </xf>
    <xf numFmtId="9" fontId="2" fillId="7" borderId="0" xfId="1" quotePrefix="1" applyFont="1" applyFill="1" applyAlignment="1" applyProtection="1">
      <alignment vertical="top"/>
      <protection locked="0"/>
    </xf>
    <xf numFmtId="9" fontId="2" fillId="7" borderId="0" xfId="1" applyFont="1" applyFill="1" applyAlignment="1" applyProtection="1">
      <alignment vertical="top" wrapText="1"/>
      <protection locked="0"/>
    </xf>
    <xf numFmtId="1" fontId="2" fillId="7" borderId="0" xfId="0" applyNumberFormat="1" applyFont="1" applyFill="1" applyAlignment="1" applyProtection="1">
      <alignment vertical="top" wrapText="1"/>
      <protection locked="0"/>
    </xf>
    <xf numFmtId="0" fontId="2" fillId="7" borderId="0" xfId="0" quotePrefix="1" applyFont="1" applyFill="1" applyAlignment="1" applyProtection="1">
      <alignment vertical="top" wrapText="1"/>
      <protection locked="0"/>
    </xf>
    <xf numFmtId="9" fontId="2" fillId="7" borderId="0" xfId="1" quotePrefix="1" applyFont="1" applyFill="1" applyAlignment="1" applyProtection="1">
      <alignment vertical="top" wrapText="1"/>
      <protection locked="0"/>
    </xf>
    <xf numFmtId="0" fontId="1" fillId="11" borderId="0" xfId="0" applyFont="1" applyFill="1"/>
    <xf numFmtId="0" fontId="1" fillId="0" borderId="0" xfId="0" applyFont="1" applyAlignment="1">
      <alignment vertical="top"/>
    </xf>
    <xf numFmtId="1" fontId="1" fillId="0" borderId="0" xfId="0" applyNumberFormat="1" applyFont="1"/>
    <xf numFmtId="0" fontId="5" fillId="0" borderId="25" xfId="0" applyFont="1" applyBorder="1" applyAlignment="1">
      <alignment horizontal="right"/>
    </xf>
    <xf numFmtId="1" fontId="1" fillId="12" borderId="26" xfId="0" applyNumberFormat="1" applyFont="1" applyFill="1" applyBorder="1"/>
    <xf numFmtId="1" fontId="1" fillId="12" borderId="27" xfId="0" applyNumberFormat="1" applyFont="1" applyFill="1" applyBorder="1"/>
    <xf numFmtId="2" fontId="2" fillId="13" borderId="28" xfId="0" applyNumberFormat="1" applyFont="1" applyFill="1" applyBorder="1" applyAlignment="1">
      <alignment vertical="top"/>
    </xf>
    <xf numFmtId="2" fontId="2" fillId="13" borderId="29" xfId="0" applyNumberFormat="1" applyFont="1" applyFill="1" applyBorder="1" applyAlignment="1">
      <alignment vertical="top"/>
    </xf>
    <xf numFmtId="0" fontId="1" fillId="0" borderId="4" xfId="0" applyFont="1" applyFill="1" applyBorder="1"/>
    <xf numFmtId="1" fontId="1" fillId="12" borderId="4" xfId="0" applyNumberFormat="1" applyFont="1" applyFill="1" applyBorder="1"/>
    <xf numFmtId="1" fontId="2" fillId="13" borderId="17" xfId="0" applyNumberFormat="1" applyFont="1" applyFill="1" applyBorder="1" applyAlignment="1">
      <alignment vertical="top"/>
    </xf>
    <xf numFmtId="2" fontId="0" fillId="0" borderId="18" xfId="0" applyNumberFormat="1" applyBorder="1"/>
    <xf numFmtId="2" fontId="5" fillId="0" borderId="30" xfId="0" applyNumberFormat="1" applyFont="1" applyBorder="1"/>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15" xfId="0" applyFont="1" applyFill="1" applyBorder="1" applyAlignment="1">
      <alignment horizontal="center"/>
    </xf>
    <xf numFmtId="0" fontId="1" fillId="9" borderId="0" xfId="0" applyFont="1" applyFill="1" applyAlignment="1">
      <alignment horizontal="left" vertical="top" wrapText="1"/>
    </xf>
    <xf numFmtId="0" fontId="1" fillId="9" borderId="0" xfId="0" applyFont="1" applyFill="1" applyAlignment="1">
      <alignment horizontal="left" wrapText="1"/>
    </xf>
    <xf numFmtId="0" fontId="1" fillId="11" borderId="0" xfId="0" applyFont="1" applyFill="1" applyAlignment="1">
      <alignment horizontal="left" vertical="top"/>
    </xf>
    <xf numFmtId="0" fontId="2" fillId="7" borderId="0" xfId="0" applyFont="1" applyFill="1" applyAlignment="1" applyProtection="1">
      <alignment horizontal="left"/>
      <protection locked="0"/>
    </xf>
    <xf numFmtId="0" fontId="1" fillId="0" borderId="0" xfId="0" applyFont="1" applyFill="1" applyAlignment="1">
      <alignment horizontal="center" vertical="top" wrapText="1"/>
    </xf>
    <xf numFmtId="0" fontId="0" fillId="0" borderId="23" xfId="0" applyBorder="1" applyAlignment="1">
      <alignment horizontal="center" wrapText="1"/>
    </xf>
    <xf numFmtId="0" fontId="0" fillId="0" borderId="18" xfId="0" applyBorder="1" applyAlignment="1">
      <alignment horizontal="center" wrapText="1"/>
    </xf>
    <xf numFmtId="0" fontId="1" fillId="0" borderId="0" xfId="0" applyFont="1" applyFill="1" applyBorder="1" applyAlignment="1">
      <alignment horizontal="center" vertical="center" wrapText="1"/>
    </xf>
    <xf numFmtId="0" fontId="0" fillId="3" borderId="8" xfId="0" applyFill="1" applyBorder="1" applyAlignment="1">
      <alignment horizontal="left" vertical="center" wrapText="1"/>
    </xf>
    <xf numFmtId="0" fontId="0" fillId="8" borderId="8" xfId="0" applyFill="1" applyBorder="1" applyAlignment="1">
      <alignment horizontal="left" vertical="center" wrapText="1"/>
    </xf>
    <xf numFmtId="0" fontId="0" fillId="3" borderId="13" xfId="0" applyFill="1" applyBorder="1" applyAlignment="1">
      <alignment horizontal="left" vertical="center" wrapText="1"/>
    </xf>
    <xf numFmtId="0" fontId="0" fillId="3" borderId="16" xfId="0" applyFill="1" applyBorder="1" applyAlignment="1">
      <alignment horizontal="left" vertical="center" wrapText="1"/>
    </xf>
    <xf numFmtId="0" fontId="0" fillId="8" borderId="13" xfId="0" applyFill="1" applyBorder="1" applyAlignment="1">
      <alignment horizontal="left" vertical="center" wrapText="1"/>
    </xf>
    <xf numFmtId="0" fontId="0" fillId="8" borderId="16" xfId="0" applyFill="1" applyBorder="1" applyAlignment="1">
      <alignment horizontal="left" vertical="center" wrapText="1"/>
    </xf>
    <xf numFmtId="0" fontId="0" fillId="3" borderId="10" xfId="0" applyFill="1" applyBorder="1" applyAlignment="1">
      <alignment horizontal="left" vertical="center" wrapText="1"/>
    </xf>
    <xf numFmtId="0" fontId="0" fillId="8" borderId="10" xfId="0" applyFill="1" applyBorder="1" applyAlignment="1">
      <alignment horizontal="left"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0" xfId="0" applyFont="1" applyFill="1" applyAlignment="1">
      <alignment horizontal="left" vertical="top" wrapText="1"/>
    </xf>
    <xf numFmtId="0" fontId="2" fillId="6" borderId="0" xfId="0" applyFont="1" applyFill="1" applyAlignment="1">
      <alignment horizontal="center" vertical="top" wrapText="1"/>
    </xf>
    <xf numFmtId="0" fontId="1" fillId="3" borderId="0" xfId="0" applyFont="1" applyFill="1" applyAlignment="1">
      <alignment horizontal="left"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2" fillId="7" borderId="0" xfId="0" applyFont="1" applyFill="1" applyAlignment="1">
      <alignment horizontal="center" vertical="top" wrapText="1"/>
    </xf>
    <xf numFmtId="0" fontId="2" fillId="13" borderId="0" xfId="0" applyFont="1" applyFill="1" applyAlignment="1">
      <alignment horizontal="center" vertical="top"/>
    </xf>
    <xf numFmtId="0" fontId="0" fillId="12" borderId="0" xfId="0" applyFill="1" applyAlignment="1">
      <alignment horizontal="center" vertical="top"/>
    </xf>
    <xf numFmtId="0" fontId="1" fillId="3"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0" borderId="0" xfId="0" applyFont="1" applyAlignment="1">
      <alignment horizontal="center" vertical="center" textRotation="90"/>
    </xf>
    <xf numFmtId="0" fontId="1" fillId="0" borderId="0" xfId="0" applyFont="1" applyAlignment="1">
      <alignment horizontal="center" vertical="center"/>
    </xf>
    <xf numFmtId="0" fontId="13" fillId="0" borderId="0" xfId="0" applyFo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0</xdr:rowOff>
    </xdr:from>
    <xdr:to>
      <xdr:col>11</xdr:col>
      <xdr:colOff>388620</xdr:colOff>
      <xdr:row>18</xdr:row>
      <xdr:rowOff>76200</xdr:rowOff>
    </xdr:to>
    <xdr:sp macro="" textlink="">
      <xdr:nvSpPr>
        <xdr:cNvPr id="3" name="TextBox 2"/>
        <xdr:cNvSpPr txBox="1"/>
      </xdr:nvSpPr>
      <xdr:spPr>
        <a:xfrm>
          <a:off x="38100" y="830580"/>
          <a:ext cx="12085320" cy="2270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aseline="0"/>
            <a:t>The separated cycleway options tool (SCOT) builds on the "Sawyers Arms Conflict Calculations" spreadsheet initially developed by Megan Fowler and Axel Wilke (ViaStrada) to assess facility type on Sawyers Arms Road as part of the Papanui Parallel MCR design for Christchurch City Council.</a:t>
          </a:r>
        </a:p>
        <a:p>
          <a:r>
            <a:rPr lang="en-NZ" sz="1100" baseline="0"/>
            <a:t>To develop the Sawyers Arms Conflict spreadsheet further so that it could be applied elsewhere, a meeting was held on 27/10/2015 between Axel Wilke &amp; Megan Fowler (ViaStrada), Shane Turner (MWH), Tim Hughes (NZTA) to improve the various factors used and determine how to include the safety in numbers effect.</a:t>
          </a:r>
        </a:p>
        <a:p>
          <a:r>
            <a:rPr lang="en-NZ" sz="1100" baseline="0"/>
            <a:t>Subsequent to this meeting, ViaStrada have progressed the spreadsheet, carried out sensitivity testing and case study applications and provided documentation.  </a:t>
          </a:r>
        </a:p>
        <a:p>
          <a:r>
            <a:rPr lang="en-NZ" sz="1100" baseline="0"/>
            <a:t>The first draft spreadsheet was reviewed by Ann-Marie Head and Katherine Dugan (Abley Transportation Consultants), and the spreadsheet was </a:t>
          </a:r>
          <a:r>
            <a:rPr lang="en-NZ" sz="1100" baseline="0">
              <a:solidFill>
                <a:schemeClr val="dk1"/>
              </a:solidFill>
              <a:effectLst/>
              <a:latin typeface="+mn-lt"/>
              <a:ea typeface="+mn-ea"/>
              <a:cs typeface="+mn-cs"/>
            </a:rPr>
            <a:t>subsequently revised </a:t>
          </a:r>
          <a:r>
            <a:rPr lang="en-NZ" sz="1100" baseline="0"/>
            <a:t>further.</a:t>
          </a:r>
        </a:p>
        <a:p>
          <a:r>
            <a:rPr lang="en-NZ" sz="1100" baseline="0"/>
            <a:t>Tim Hughes has led some preliminary efforts to translate the relative crash risks produced by this tool into actual crash risks, based on on-road cycling crash models, mode share data and some research and assumptions regarding the relationship between cycling on-road and cycling in a separated cycleway.</a:t>
          </a:r>
        </a:p>
        <a:p>
          <a:r>
            <a:rPr lang="en-NZ" sz="1100" baseline="0"/>
            <a:t>SCOT should be used in conjunction with the sections in the Cycling network guidance - planning and design specifically related to this tool and separated cycleways.</a:t>
          </a:r>
        </a:p>
        <a:p>
          <a:r>
            <a:rPr lang="en-NZ" sz="1100" baseline="0"/>
            <a:t>This tool is intended as interim guidance.  When more separated cycleways are implemented and studied, a more rigorous method may be developed.</a:t>
          </a:r>
          <a:br>
            <a:rPr lang="en-NZ" sz="1100" baseline="0"/>
          </a:br>
          <a:r>
            <a:rPr lang="en-NZ" sz="1100" baseline="0"/>
            <a:t>SCOT's output is intended to be one of several factors to inform decision-making.  Users are not necessarily required to select the option identified as having the least risk, but in the case where a higher-risk option is chosen, they should justify this depending on the relative proportions, expected actual crash risks and any site-specific or contextual factors not considered by SCOT.</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B28" sqref="B28"/>
    </sheetView>
  </sheetViews>
  <sheetFormatPr defaultRowHeight="14.4" x14ac:dyDescent="0.3"/>
  <cols>
    <col min="1" max="1" width="21.6640625" customWidth="1"/>
    <col min="2" max="2" width="22.88671875" customWidth="1"/>
    <col min="3" max="3" width="15.44140625" customWidth="1"/>
    <col min="4" max="5" width="14.88671875" customWidth="1"/>
    <col min="6" max="6" width="15.6640625" customWidth="1"/>
    <col min="7" max="7" width="20.5546875" customWidth="1"/>
    <col min="8" max="8" width="18.44140625" customWidth="1"/>
    <col min="13" max="13" width="17.6640625" customWidth="1"/>
    <col min="14" max="14" width="22.5546875" customWidth="1"/>
    <col min="15" max="15" width="13" customWidth="1"/>
    <col min="16" max="16" width="9.44140625" customWidth="1"/>
    <col min="17" max="17" width="12.33203125" customWidth="1"/>
    <col min="18" max="18" width="10.109375" customWidth="1"/>
  </cols>
  <sheetData>
    <row r="1" spans="1:12" ht="21" x14ac:dyDescent="0.4">
      <c r="A1" s="132" t="s">
        <v>132</v>
      </c>
      <c r="B1" s="130"/>
      <c r="C1" s="130"/>
      <c r="D1" s="130"/>
      <c r="E1" s="130"/>
      <c r="F1" s="130"/>
      <c r="G1" s="130"/>
      <c r="H1" s="132"/>
      <c r="I1" s="132"/>
      <c r="J1" s="132"/>
      <c r="K1" s="132"/>
      <c r="L1" s="132"/>
    </row>
    <row r="2" spans="1:12" ht="15.6" x14ac:dyDescent="0.3">
      <c r="A2" s="133" t="s">
        <v>130</v>
      </c>
      <c r="B2" s="130"/>
      <c r="C2" s="130"/>
      <c r="D2" s="130"/>
      <c r="E2" s="130"/>
      <c r="F2" s="130"/>
      <c r="G2" s="130"/>
      <c r="H2" s="133"/>
      <c r="I2" s="133"/>
      <c r="J2" s="133"/>
      <c r="K2" s="133"/>
      <c r="L2" s="133"/>
    </row>
    <row r="3" spans="1:12" x14ac:dyDescent="0.3">
      <c r="A3" s="131" t="s">
        <v>131</v>
      </c>
      <c r="B3" s="131"/>
      <c r="C3" s="131"/>
      <c r="D3" s="131"/>
      <c r="E3" s="131"/>
      <c r="F3" s="131"/>
      <c r="G3" s="131"/>
      <c r="H3" s="131"/>
      <c r="I3" s="131"/>
      <c r="J3" s="131"/>
      <c r="K3" s="131"/>
      <c r="L3" s="131"/>
    </row>
    <row r="4" spans="1:12" x14ac:dyDescent="0.3">
      <c r="A4" s="1"/>
      <c r="B4" s="1"/>
      <c r="C4" s="1"/>
      <c r="D4" s="1"/>
      <c r="E4" s="1"/>
      <c r="F4" s="1"/>
      <c r="G4" s="1"/>
      <c r="H4" s="1"/>
      <c r="I4" s="1"/>
      <c r="J4" s="1"/>
      <c r="K4" s="1"/>
      <c r="L4" s="1"/>
    </row>
    <row r="5" spans="1:12" ht="15.6" x14ac:dyDescent="0.3">
      <c r="A5" s="134" t="s">
        <v>133</v>
      </c>
      <c r="B5" s="135"/>
      <c r="C5" s="135"/>
      <c r="D5" s="135"/>
      <c r="E5" s="135"/>
      <c r="F5" s="135"/>
      <c r="G5" s="135"/>
      <c r="H5" s="134"/>
      <c r="I5" s="134"/>
      <c r="J5" s="134"/>
      <c r="K5" s="134"/>
      <c r="L5" s="134"/>
    </row>
    <row r="7" spans="1:12" x14ac:dyDescent="0.3">
      <c r="A7" s="1"/>
      <c r="B7" s="1"/>
      <c r="C7" s="1"/>
      <c r="D7" s="1"/>
      <c r="E7" s="1"/>
      <c r="F7" s="1"/>
      <c r="G7" s="1"/>
      <c r="H7" s="1"/>
    </row>
    <row r="8" spans="1:12" x14ac:dyDescent="0.3">
      <c r="A8" s="36"/>
      <c r="B8" s="36"/>
      <c r="C8" s="36"/>
      <c r="D8" s="36"/>
      <c r="E8" s="36"/>
      <c r="F8" s="36"/>
      <c r="G8" s="36"/>
      <c r="H8" s="1"/>
    </row>
    <row r="9" spans="1:12" x14ac:dyDescent="0.3">
      <c r="A9" s="1"/>
      <c r="B9" s="3"/>
      <c r="C9" s="17"/>
      <c r="D9" s="18"/>
      <c r="E9" s="101"/>
      <c r="F9" s="101"/>
      <c r="G9" s="101"/>
      <c r="H9" s="1"/>
    </row>
    <row r="10" spans="1:12" x14ac:dyDescent="0.3">
      <c r="A10" s="6"/>
      <c r="B10" s="102"/>
      <c r="C10" s="29"/>
      <c r="D10" s="29"/>
      <c r="E10" s="22"/>
      <c r="F10" s="22"/>
      <c r="G10" s="34"/>
      <c r="H10" s="1"/>
    </row>
    <row r="11" spans="1:12" x14ac:dyDescent="0.3">
      <c r="A11" s="1"/>
      <c r="B11" s="1"/>
      <c r="C11" s="1"/>
      <c r="D11" s="1"/>
      <c r="E11" s="1"/>
      <c r="F11" s="1"/>
      <c r="G11" s="1"/>
      <c r="H11" s="1"/>
    </row>
    <row r="12" spans="1:12" x14ac:dyDescent="0.3">
      <c r="A12" s="1"/>
      <c r="B12" s="1"/>
      <c r="C12" s="1"/>
      <c r="D12" s="1"/>
      <c r="E12" s="1"/>
      <c r="F12" s="1"/>
      <c r="G12" s="1"/>
      <c r="H12" s="1"/>
    </row>
    <row r="13" spans="1:12" x14ac:dyDescent="0.3">
      <c r="A13" s="36"/>
      <c r="B13" s="36"/>
      <c r="C13" s="36"/>
      <c r="D13" s="36"/>
      <c r="E13" s="36"/>
      <c r="F13" s="36"/>
      <c r="G13" s="36"/>
      <c r="H13" s="1"/>
    </row>
    <row r="14" spans="1:12" x14ac:dyDescent="0.3">
      <c r="A14" s="1"/>
      <c r="B14" s="3"/>
      <c r="C14" s="17"/>
      <c r="D14" s="18"/>
      <c r="E14" s="101"/>
      <c r="F14" s="101"/>
      <c r="G14" s="101"/>
      <c r="H14" s="1"/>
    </row>
    <row r="15" spans="1:12" x14ac:dyDescent="0.3">
      <c r="A15" s="1"/>
      <c r="B15" s="102"/>
      <c r="C15" s="103"/>
      <c r="D15" s="29"/>
      <c r="E15" s="22"/>
      <c r="F15" s="22"/>
      <c r="G15" s="34"/>
      <c r="H15" s="1"/>
    </row>
    <row r="16" spans="1:12" x14ac:dyDescent="0.3">
      <c r="A16" s="1"/>
      <c r="B16" s="102"/>
      <c r="C16" s="103"/>
      <c r="D16" s="29"/>
      <c r="E16" s="22"/>
      <c r="F16" s="22"/>
      <c r="G16" s="34"/>
      <c r="H16" s="1"/>
    </row>
    <row r="17" spans="1:8" x14ac:dyDescent="0.3">
      <c r="A17" s="1"/>
      <c r="B17" s="1"/>
      <c r="C17" s="1"/>
      <c r="D17" s="1"/>
      <c r="E17" s="1"/>
      <c r="F17" s="1"/>
      <c r="G17" s="1"/>
      <c r="H17" s="1"/>
    </row>
    <row r="18" spans="1:8" x14ac:dyDescent="0.3">
      <c r="A18" s="1"/>
      <c r="B18" s="1"/>
      <c r="C18" s="1"/>
      <c r="D18" s="1"/>
      <c r="E18" s="1"/>
      <c r="F18" s="1"/>
      <c r="G18" s="1"/>
      <c r="H18" s="1"/>
    </row>
    <row r="20" spans="1:8" x14ac:dyDescent="0.3">
      <c r="A20" t="s">
        <v>158</v>
      </c>
    </row>
    <row r="21" spans="1:8" x14ac:dyDescent="0.3">
      <c r="A21" t="s">
        <v>155</v>
      </c>
    </row>
    <row r="22" spans="1:8" x14ac:dyDescent="0.3">
      <c r="B22" s="202" t="s">
        <v>156</v>
      </c>
    </row>
    <row r="23" spans="1:8" x14ac:dyDescent="0.3">
      <c r="A23" t="s">
        <v>157</v>
      </c>
    </row>
  </sheetData>
  <pageMargins left="0.7" right="0.7" top="0.75" bottom="0.75" header="0.3" footer="0.3"/>
  <pageSetup paperSize="9" scale="56" orientation="portrait" r:id="rId1"/>
  <colBreaks count="1" manualBreakCount="1">
    <brk id="9" min="1" max="16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0"/>
  <sheetViews>
    <sheetView tabSelected="1" zoomScaleNormal="100" workbookViewId="0">
      <selection activeCell="B191" sqref="B191"/>
    </sheetView>
  </sheetViews>
  <sheetFormatPr defaultRowHeight="14.4" x14ac:dyDescent="0.3"/>
  <cols>
    <col min="1" max="1" width="21.6640625" customWidth="1"/>
    <col min="2" max="2" width="22.88671875" customWidth="1"/>
    <col min="3" max="3" width="15.44140625" customWidth="1"/>
    <col min="4" max="5" width="14.88671875" customWidth="1"/>
    <col min="6" max="6" width="15.6640625" customWidth="1"/>
    <col min="7" max="7" width="20.5546875" customWidth="1"/>
    <col min="8" max="8" width="18.44140625" customWidth="1"/>
    <col min="13" max="13" width="17.6640625" customWidth="1"/>
    <col min="14" max="14" width="22.5546875" customWidth="1"/>
    <col min="15" max="15" width="13" customWidth="1"/>
    <col min="16" max="16" width="9.44140625" customWidth="1"/>
    <col min="17" max="17" width="12.33203125" customWidth="1"/>
    <col min="18" max="18" width="10.109375" customWidth="1"/>
  </cols>
  <sheetData>
    <row r="1" spans="1:18" ht="21" x14ac:dyDescent="0.4">
      <c r="A1" s="132" t="s">
        <v>129</v>
      </c>
      <c r="B1" s="130"/>
      <c r="C1" s="130"/>
      <c r="D1" s="130"/>
      <c r="E1" s="130"/>
      <c r="F1" s="130"/>
      <c r="G1" s="130"/>
    </row>
    <row r="2" spans="1:18" ht="15.6" x14ac:dyDescent="0.3">
      <c r="A2" s="133" t="s">
        <v>130</v>
      </c>
      <c r="B2" s="130"/>
      <c r="C2" s="130"/>
      <c r="D2" s="130"/>
      <c r="E2" s="130"/>
      <c r="F2" s="130"/>
      <c r="G2" s="130"/>
    </row>
    <row r="3" spans="1:18" x14ac:dyDescent="0.3">
      <c r="A3" s="131" t="s">
        <v>131</v>
      </c>
      <c r="B3" s="131"/>
      <c r="C3" s="131"/>
      <c r="D3" s="131"/>
      <c r="E3" s="131"/>
      <c r="F3" s="131"/>
      <c r="G3" s="131"/>
    </row>
    <row r="5" spans="1:18" ht="15.75" customHeight="1" x14ac:dyDescent="0.3">
      <c r="A5" s="9" t="s">
        <v>70</v>
      </c>
      <c r="B5" s="10"/>
      <c r="C5" s="10"/>
      <c r="D5" s="10"/>
      <c r="E5" s="10"/>
      <c r="F5" s="10"/>
    </row>
    <row r="6" spans="1:18" ht="33" customHeight="1" x14ac:dyDescent="0.3">
      <c r="A6" s="150" t="s">
        <v>72</v>
      </c>
      <c r="B6" s="194" t="s">
        <v>152</v>
      </c>
      <c r="C6" s="194"/>
      <c r="D6" s="194"/>
      <c r="E6" s="194"/>
      <c r="F6" s="1"/>
    </row>
    <row r="7" spans="1:18" ht="31.2" customHeight="1" x14ac:dyDescent="0.3">
      <c r="A7" s="150" t="s">
        <v>71</v>
      </c>
      <c r="B7" s="186" t="s">
        <v>3</v>
      </c>
      <c r="C7" s="186"/>
      <c r="D7" s="12" t="s">
        <v>67</v>
      </c>
      <c r="E7" s="65" t="s">
        <v>68</v>
      </c>
      <c r="G7" s="2"/>
    </row>
    <row r="8" spans="1:18" ht="31.2" customHeight="1" x14ac:dyDescent="0.3">
      <c r="A8" s="150" t="s">
        <v>73</v>
      </c>
      <c r="B8" s="196" t="s">
        <v>74</v>
      </c>
      <c r="C8" s="196"/>
      <c r="D8" s="195" t="s">
        <v>75</v>
      </c>
      <c r="E8" s="195"/>
      <c r="G8" s="2"/>
    </row>
    <row r="9" spans="1:18" ht="15.6" customHeight="1" x14ac:dyDescent="0.3">
      <c r="A9" s="6"/>
      <c r="B9" s="110"/>
      <c r="C9" s="110"/>
      <c r="D9" s="6"/>
      <c r="E9" s="15"/>
      <c r="F9" s="15"/>
      <c r="G9" s="2"/>
    </row>
    <row r="10" spans="1:18" ht="15" customHeight="1" thickBot="1" x14ac:dyDescent="0.35">
      <c r="A10" s="187" t="s">
        <v>69</v>
      </c>
      <c r="B10" s="187"/>
      <c r="C10" s="187"/>
      <c r="D10" s="187"/>
      <c r="E10" s="187"/>
      <c r="F10" s="187"/>
      <c r="G10" s="2"/>
      <c r="M10" s="185" t="s">
        <v>148</v>
      </c>
      <c r="N10" s="185"/>
      <c r="O10" s="185"/>
      <c r="P10" s="185"/>
      <c r="Q10" s="185"/>
      <c r="R10" s="185"/>
    </row>
    <row r="11" spans="1:18" ht="31.2" customHeight="1" x14ac:dyDescent="0.3">
      <c r="C11" s="188" t="s">
        <v>7</v>
      </c>
      <c r="D11" s="189"/>
      <c r="E11" s="189"/>
      <c r="F11" s="190"/>
      <c r="G11" s="2"/>
      <c r="N11" s="4"/>
      <c r="O11" s="191"/>
      <c r="P11" s="192"/>
      <c r="Q11" s="192"/>
      <c r="R11" s="193"/>
    </row>
    <row r="12" spans="1:18" ht="31.2" customHeight="1" thickBot="1" x14ac:dyDescent="0.35">
      <c r="A12" s="4"/>
      <c r="B12" s="4"/>
      <c r="C12" s="197" t="s">
        <v>24</v>
      </c>
      <c r="D12" s="198"/>
      <c r="E12" s="198" t="s">
        <v>8</v>
      </c>
      <c r="F12" s="199"/>
      <c r="G12" s="2"/>
      <c r="M12" s="4"/>
      <c r="N12" s="4"/>
      <c r="O12" s="182" t="s">
        <v>24</v>
      </c>
      <c r="P12" s="183"/>
      <c r="Q12" s="183" t="s">
        <v>8</v>
      </c>
      <c r="R12" s="184"/>
    </row>
    <row r="13" spans="1:18" ht="28.8" x14ac:dyDescent="0.3">
      <c r="A13" s="66" t="s">
        <v>10</v>
      </c>
      <c r="B13" s="68" t="s">
        <v>51</v>
      </c>
      <c r="C13" s="66" t="s">
        <v>49</v>
      </c>
      <c r="D13" s="67" t="s">
        <v>90</v>
      </c>
      <c r="E13" s="66" t="s">
        <v>49</v>
      </c>
      <c r="F13" s="67" t="s">
        <v>90</v>
      </c>
      <c r="G13" s="107"/>
      <c r="H13" s="107"/>
      <c r="I13" s="107"/>
      <c r="J13" s="107"/>
      <c r="K13" s="1"/>
      <c r="L13" s="1"/>
      <c r="M13" s="55" t="s">
        <v>10</v>
      </c>
      <c r="N13" s="56" t="s">
        <v>2</v>
      </c>
      <c r="O13" s="55" t="s">
        <v>49</v>
      </c>
      <c r="P13" s="57" t="s">
        <v>90</v>
      </c>
      <c r="Q13" s="55" t="s">
        <v>49</v>
      </c>
      <c r="R13" s="57" t="s">
        <v>90</v>
      </c>
    </row>
    <row r="14" spans="1:18" ht="30" customHeight="1" x14ac:dyDescent="0.3">
      <c r="A14" s="69" t="s">
        <v>9</v>
      </c>
      <c r="B14" s="70" t="s">
        <v>52</v>
      </c>
      <c r="C14" s="45">
        <v>3</v>
      </c>
      <c r="D14" s="39">
        <v>1</v>
      </c>
      <c r="E14" s="38">
        <v>4</v>
      </c>
      <c r="F14" s="46">
        <v>2</v>
      </c>
      <c r="G14" s="19"/>
      <c r="H14" s="1"/>
      <c r="I14" s="1"/>
      <c r="J14" s="1"/>
      <c r="K14" s="1"/>
      <c r="L14" s="1"/>
      <c r="M14" s="58" t="s">
        <v>9</v>
      </c>
      <c r="N14" s="43" t="s">
        <v>52</v>
      </c>
      <c r="O14" s="45" t="s">
        <v>29</v>
      </c>
      <c r="P14" s="39" t="s">
        <v>30</v>
      </c>
      <c r="Q14" s="38" t="s">
        <v>31</v>
      </c>
      <c r="R14" s="46" t="s">
        <v>32</v>
      </c>
    </row>
    <row r="15" spans="1:18" ht="28.95" customHeight="1" x14ac:dyDescent="0.3">
      <c r="A15" s="174" t="s">
        <v>55</v>
      </c>
      <c r="B15" s="70" t="s">
        <v>54</v>
      </c>
      <c r="C15" s="47">
        <f>a_lv0/a_res0*a_rescont0</f>
        <v>6</v>
      </c>
      <c r="D15" s="60">
        <f>2*a_res0</f>
        <v>2</v>
      </c>
      <c r="E15" s="40">
        <f>a_lv0/a_res0*a_rescont100</f>
        <v>8</v>
      </c>
      <c r="F15" s="48">
        <f>a_lv0/a_res0*a_res100</f>
        <v>4</v>
      </c>
      <c r="H15" s="6"/>
      <c r="I15" s="6"/>
      <c r="J15" s="6"/>
      <c r="K15" s="6"/>
      <c r="L15" s="99"/>
      <c r="M15" s="175" t="s">
        <v>55</v>
      </c>
      <c r="N15" s="43" t="s">
        <v>54</v>
      </c>
      <c r="O15" s="47" t="s">
        <v>33</v>
      </c>
      <c r="P15" s="60" t="s">
        <v>34</v>
      </c>
      <c r="Q15" s="40" t="s">
        <v>35</v>
      </c>
      <c r="R15" s="48" t="s">
        <v>36</v>
      </c>
    </row>
    <row r="16" spans="1:18" ht="28.95" customHeight="1" x14ac:dyDescent="0.3">
      <c r="A16" s="174"/>
      <c r="B16" s="70" t="s">
        <v>53</v>
      </c>
      <c r="C16" s="45">
        <f>1.5*a_hv0</f>
        <v>15</v>
      </c>
      <c r="D16" s="60">
        <f>5*a_lv0</f>
        <v>10</v>
      </c>
      <c r="E16" s="40">
        <f>a_hvcont0</f>
        <v>15</v>
      </c>
      <c r="F16" s="48">
        <f>a_hv0</f>
        <v>10</v>
      </c>
      <c r="H16" s="3"/>
      <c r="I16" s="3"/>
      <c r="J16" s="3"/>
      <c r="K16" s="3"/>
      <c r="L16" s="100"/>
      <c r="M16" s="175"/>
      <c r="N16" s="43" t="s">
        <v>53</v>
      </c>
      <c r="O16" s="45" t="s">
        <v>37</v>
      </c>
      <c r="P16" s="60" t="s">
        <v>38</v>
      </c>
      <c r="Q16" s="40" t="s">
        <v>39</v>
      </c>
      <c r="R16" s="48" t="s">
        <v>40</v>
      </c>
    </row>
    <row r="17" spans="1:18" ht="28.8" x14ac:dyDescent="0.3">
      <c r="A17" s="176" t="s">
        <v>0</v>
      </c>
      <c r="B17" s="71" t="s">
        <v>56</v>
      </c>
      <c r="C17" s="49">
        <f>a_ss0/a_res0*a_rescont0</f>
        <v>6</v>
      </c>
      <c r="D17" s="60">
        <v>2</v>
      </c>
      <c r="E17" s="41">
        <f>a_ss0/a_res0*a_rescont100</f>
        <v>8</v>
      </c>
      <c r="F17" s="50">
        <f>a_ss0/a_res0*a_res100</f>
        <v>4</v>
      </c>
      <c r="G17" s="2"/>
      <c r="M17" s="178" t="s">
        <v>0</v>
      </c>
      <c r="N17" s="44" t="s">
        <v>56</v>
      </c>
      <c r="O17" s="49" t="s">
        <v>41</v>
      </c>
      <c r="P17" s="60" t="s">
        <v>42</v>
      </c>
      <c r="Q17" s="41" t="s">
        <v>43</v>
      </c>
      <c r="R17" s="50" t="s">
        <v>44</v>
      </c>
    </row>
    <row r="18" spans="1:18" ht="28.8" x14ac:dyDescent="0.3">
      <c r="A18" s="177"/>
      <c r="B18" s="71" t="s">
        <v>57</v>
      </c>
      <c r="C18" s="49">
        <f>a_hvcont0/a_lvcont0*a_sscont0</f>
        <v>15</v>
      </c>
      <c r="D18" s="60">
        <f>a_hv0/a_lv0*a_ss0</f>
        <v>10</v>
      </c>
      <c r="E18" s="49">
        <f>a_hvcont100/a_lvcont100*a_sscont100</f>
        <v>15</v>
      </c>
      <c r="F18" s="49">
        <f>a_hv100/a_lv100*a_ss100</f>
        <v>10</v>
      </c>
      <c r="G18" s="2"/>
      <c r="M18" s="179"/>
      <c r="N18" s="44" t="s">
        <v>57</v>
      </c>
      <c r="O18" s="49" t="s">
        <v>59</v>
      </c>
      <c r="P18" s="60" t="s">
        <v>60</v>
      </c>
      <c r="Q18" s="49" t="s">
        <v>61</v>
      </c>
      <c r="R18" s="62" t="s">
        <v>62</v>
      </c>
    </row>
    <row r="19" spans="1:18" ht="29.4" customHeight="1" x14ac:dyDescent="0.3">
      <c r="A19" s="174" t="s">
        <v>1</v>
      </c>
      <c r="B19" s="71" t="s">
        <v>56</v>
      </c>
      <c r="C19" s="47">
        <f>a_sig0/a_lv0*a_lvcont0</f>
        <v>3</v>
      </c>
      <c r="D19" s="60">
        <f>0.5*a_lv0</f>
        <v>1</v>
      </c>
      <c r="E19" s="42" t="s">
        <v>5</v>
      </c>
      <c r="F19" s="51" t="s">
        <v>5</v>
      </c>
      <c r="G19" s="2"/>
      <c r="M19" s="175" t="s">
        <v>1</v>
      </c>
      <c r="N19" s="44" t="s">
        <v>56</v>
      </c>
      <c r="O19" s="47" t="s">
        <v>64</v>
      </c>
      <c r="P19" s="60" t="s">
        <v>58</v>
      </c>
      <c r="Q19" s="42" t="s">
        <v>5</v>
      </c>
      <c r="R19" s="51" t="s">
        <v>5</v>
      </c>
    </row>
    <row r="20" spans="1:18" ht="29.4" customHeight="1" thickBot="1" x14ac:dyDescent="0.35">
      <c r="A20" s="180"/>
      <c r="B20" s="72" t="s">
        <v>57</v>
      </c>
      <c r="C20" s="52">
        <f>a_hvcont0/a_hv0*a_hvsig0</f>
        <v>7.5</v>
      </c>
      <c r="D20" s="60">
        <f>a_hv0/a_lv0*a_sig0</f>
        <v>5</v>
      </c>
      <c r="E20" s="53" t="s">
        <v>5</v>
      </c>
      <c r="F20" s="54" t="s">
        <v>5</v>
      </c>
      <c r="G20" s="2"/>
      <c r="M20" s="181"/>
      <c r="N20" s="59" t="s">
        <v>57</v>
      </c>
      <c r="O20" s="52" t="s">
        <v>63</v>
      </c>
      <c r="P20" s="63" t="s">
        <v>65</v>
      </c>
      <c r="Q20" s="53" t="s">
        <v>5</v>
      </c>
      <c r="R20" s="54" t="s">
        <v>5</v>
      </c>
    </row>
    <row r="21" spans="1:18" ht="15" thickBot="1" x14ac:dyDescent="0.35">
      <c r="A21" s="4"/>
      <c r="B21" s="4"/>
      <c r="C21" s="6"/>
      <c r="D21" s="6"/>
      <c r="E21" s="6"/>
      <c r="F21" s="6"/>
      <c r="G21" s="2"/>
      <c r="M21" s="5"/>
      <c r="N21" s="61"/>
      <c r="O21" s="173"/>
      <c r="P21" s="173"/>
      <c r="Q21" s="173"/>
      <c r="R21" s="173"/>
    </row>
    <row r="22" spans="1:18" ht="31.2" customHeight="1" x14ac:dyDescent="0.3">
      <c r="A22" s="73" t="s">
        <v>76</v>
      </c>
      <c r="B22" s="39">
        <v>0.5</v>
      </c>
      <c r="G22" s="2"/>
      <c r="M22" s="4"/>
      <c r="N22" s="61"/>
      <c r="O22" s="173"/>
      <c r="P22" s="173"/>
      <c r="Q22" s="173"/>
      <c r="R22" s="173"/>
    </row>
    <row r="23" spans="1:18" ht="29.4" thickBot="1" x14ac:dyDescent="0.35">
      <c r="A23" s="74" t="s">
        <v>77</v>
      </c>
      <c r="B23" s="39">
        <v>0.4</v>
      </c>
      <c r="G23" s="2"/>
    </row>
    <row r="24" spans="1:18" ht="17.399999999999999" customHeight="1" x14ac:dyDescent="0.3">
      <c r="A24" s="6"/>
      <c r="B24" s="6"/>
      <c r="G24" s="2"/>
    </row>
    <row r="25" spans="1:18" x14ac:dyDescent="0.3">
      <c r="A25" s="5" t="s">
        <v>6</v>
      </c>
      <c r="B25" s="14" t="s">
        <v>4</v>
      </c>
      <c r="D25" s="14"/>
      <c r="E25" s="14"/>
      <c r="F25" s="14"/>
      <c r="G25" s="2"/>
    </row>
    <row r="26" spans="1:18" x14ac:dyDescent="0.3">
      <c r="B26" t="s">
        <v>23</v>
      </c>
      <c r="G26" s="2"/>
    </row>
    <row r="27" spans="1:18" x14ac:dyDescent="0.3">
      <c r="B27" t="s">
        <v>22</v>
      </c>
      <c r="G27" s="2"/>
    </row>
    <row r="28" spans="1:18" x14ac:dyDescent="0.3">
      <c r="B28" t="s">
        <v>147</v>
      </c>
      <c r="G28" s="2"/>
    </row>
    <row r="29" spans="1:18" x14ac:dyDescent="0.3">
      <c r="G29" s="2"/>
    </row>
    <row r="30" spans="1:18" x14ac:dyDescent="0.3">
      <c r="A30" s="9" t="s">
        <v>94</v>
      </c>
      <c r="B30" s="9"/>
      <c r="C30" s="9"/>
      <c r="D30" s="9"/>
      <c r="E30" s="9"/>
      <c r="F30" s="9"/>
      <c r="G30" s="9"/>
      <c r="H30" s="9"/>
      <c r="I30" s="9"/>
    </row>
    <row r="31" spans="1:18" x14ac:dyDescent="0.3">
      <c r="A31" s="111" t="s">
        <v>95</v>
      </c>
      <c r="B31" s="169" t="s">
        <v>99</v>
      </c>
      <c r="C31" s="169"/>
      <c r="D31" s="169"/>
      <c r="E31" s="169"/>
      <c r="F31" s="169"/>
      <c r="G31" s="169"/>
      <c r="H31" s="169"/>
      <c r="I31" s="169"/>
    </row>
    <row r="32" spans="1:18" x14ac:dyDescent="0.3">
      <c r="A32" s="111" t="s">
        <v>96</v>
      </c>
      <c r="B32" s="169" t="s">
        <v>100</v>
      </c>
      <c r="C32" s="169"/>
      <c r="D32" s="169"/>
      <c r="E32" s="169"/>
      <c r="F32" s="169"/>
      <c r="G32" s="169"/>
      <c r="H32" s="169"/>
      <c r="I32" s="169"/>
    </row>
    <row r="33" spans="1:10" x14ac:dyDescent="0.3">
      <c r="A33" s="111" t="s">
        <v>97</v>
      </c>
      <c r="B33" s="169" t="s">
        <v>101</v>
      </c>
      <c r="C33" s="169"/>
      <c r="D33" s="169"/>
      <c r="E33" s="169"/>
      <c r="F33" s="169"/>
      <c r="G33" s="169"/>
      <c r="H33" s="169"/>
      <c r="I33" s="169"/>
    </row>
    <row r="34" spans="1:10" x14ac:dyDescent="0.3">
      <c r="A34" s="111" t="s">
        <v>98</v>
      </c>
      <c r="B34" s="169" t="s">
        <v>102</v>
      </c>
      <c r="C34" s="169"/>
      <c r="D34" s="169"/>
      <c r="E34" s="169"/>
      <c r="F34" s="169"/>
      <c r="G34" s="169"/>
      <c r="H34" s="169"/>
      <c r="I34" s="169"/>
    </row>
    <row r="35" spans="1:10" x14ac:dyDescent="0.3">
      <c r="A35" s="33"/>
      <c r="B35" s="33"/>
      <c r="C35" s="33"/>
      <c r="D35" s="33"/>
      <c r="E35" s="33"/>
      <c r="F35" s="33"/>
      <c r="G35" s="33"/>
      <c r="H35" s="33"/>
      <c r="I35" s="33"/>
    </row>
    <row r="36" spans="1:10" x14ac:dyDescent="0.3">
      <c r="A36" s="112" t="s">
        <v>66</v>
      </c>
      <c r="B36" s="139">
        <v>10</v>
      </c>
      <c r="C36" t="s">
        <v>93</v>
      </c>
      <c r="G36" s="2"/>
    </row>
    <row r="37" spans="1:10" x14ac:dyDescent="0.3">
      <c r="G37" s="2"/>
    </row>
    <row r="38" spans="1:10" x14ac:dyDescent="0.3">
      <c r="A38" s="9" t="s">
        <v>78</v>
      </c>
      <c r="B38" s="9"/>
      <c r="C38" s="9"/>
      <c r="D38" s="9"/>
      <c r="E38" s="9"/>
      <c r="F38" s="9"/>
      <c r="G38" s="9"/>
      <c r="H38" s="9"/>
      <c r="I38" s="9"/>
    </row>
    <row r="39" spans="1:10" x14ac:dyDescent="0.3">
      <c r="G39" s="2"/>
    </row>
    <row r="40" spans="1:10" x14ac:dyDescent="0.3">
      <c r="A40" s="168" t="s">
        <v>138</v>
      </c>
      <c r="B40" s="168"/>
      <c r="C40" s="168"/>
      <c r="D40" s="168"/>
      <c r="E40" s="168"/>
      <c r="F40" s="168"/>
      <c r="G40" s="168"/>
      <c r="H40" s="168"/>
      <c r="I40" s="168"/>
    </row>
    <row r="41" spans="1:10" x14ac:dyDescent="0.3">
      <c r="A41" s="170" t="s">
        <v>11</v>
      </c>
      <c r="B41" s="170"/>
      <c r="C41" s="170"/>
      <c r="D41" s="170"/>
      <c r="F41" s="170" t="s">
        <v>12</v>
      </c>
      <c r="G41" s="170"/>
      <c r="H41" s="170"/>
    </row>
    <row r="42" spans="1:10" x14ac:dyDescent="0.3">
      <c r="A42" s="113" t="s">
        <v>104</v>
      </c>
      <c r="B42" s="169" t="s">
        <v>142</v>
      </c>
      <c r="C42" s="169"/>
      <c r="D42" s="126"/>
      <c r="F42" s="113" t="s">
        <v>104</v>
      </c>
      <c r="G42" s="169" t="s">
        <v>142</v>
      </c>
      <c r="H42" s="169"/>
    </row>
    <row r="43" spans="1:10" x14ac:dyDescent="0.3">
      <c r="A43" s="114" t="s">
        <v>103</v>
      </c>
      <c r="B43" s="139" t="s">
        <v>143</v>
      </c>
      <c r="C43" t="s">
        <v>19</v>
      </c>
      <c r="F43" s="114" t="s">
        <v>103</v>
      </c>
      <c r="G43" s="139" t="s">
        <v>144</v>
      </c>
      <c r="H43" t="s">
        <v>20</v>
      </c>
    </row>
    <row r="44" spans="1:10" x14ac:dyDescent="0.3">
      <c r="A44" s="166" t="s">
        <v>14</v>
      </c>
      <c r="B44" s="166"/>
      <c r="C44" s="166"/>
      <c r="D44" s="166"/>
      <c r="E44" s="166"/>
      <c r="F44" s="166"/>
      <c r="G44" s="166"/>
      <c r="H44" s="166"/>
      <c r="I44" s="166"/>
    </row>
    <row r="45" spans="1:10" ht="57.6" x14ac:dyDescent="0.3">
      <c r="A45" s="2" t="s">
        <v>79</v>
      </c>
      <c r="B45" s="127" t="s">
        <v>80</v>
      </c>
      <c r="C45" s="127" t="s">
        <v>13</v>
      </c>
      <c r="D45" s="1"/>
      <c r="E45" s="75" t="s">
        <v>18</v>
      </c>
      <c r="F45" s="2" t="s">
        <v>79</v>
      </c>
      <c r="G45" s="127" t="s">
        <v>80</v>
      </c>
      <c r="H45" s="127" t="s">
        <v>13</v>
      </c>
      <c r="I45" s="1"/>
      <c r="J45" s="75" t="s">
        <v>18</v>
      </c>
    </row>
    <row r="46" spans="1:10" ht="15.75" customHeight="1" x14ac:dyDescent="0.3">
      <c r="A46" s="140"/>
      <c r="B46" s="140"/>
      <c r="C46" s="141"/>
      <c r="D46" s="16"/>
      <c r="E46" s="76" t="e">
        <f t="shared" ref="E46:E63" si="0">B46*(a_res0+(a_res100-a_res0)*C46)*(A46*$B$36)^expmv*$B$43^expcyc</f>
        <v>#VALUE!</v>
      </c>
      <c r="F46" s="140"/>
      <c r="G46" s="140"/>
      <c r="H46" s="142"/>
      <c r="I46" s="16"/>
      <c r="J46" s="76" t="e">
        <f t="shared" ref="J46:J63" si="1">G46*(a_res0+(a_res100-a_res0)*H46)*(F46*$B$36)^expmv*$G$43^expcyc</f>
        <v>#VALUE!</v>
      </c>
    </row>
    <row r="47" spans="1:10" x14ac:dyDescent="0.3">
      <c r="A47" s="140"/>
      <c r="B47" s="140"/>
      <c r="C47" s="141"/>
      <c r="D47" s="16"/>
      <c r="E47" s="76" t="e">
        <f t="shared" si="0"/>
        <v>#VALUE!</v>
      </c>
      <c r="F47" s="140"/>
      <c r="G47" s="140"/>
      <c r="H47" s="142"/>
      <c r="I47" s="16"/>
      <c r="J47" s="76" t="e">
        <f t="shared" si="1"/>
        <v>#VALUE!</v>
      </c>
    </row>
    <row r="48" spans="1:10" x14ac:dyDescent="0.3">
      <c r="A48" s="140"/>
      <c r="B48" s="140"/>
      <c r="C48" s="141"/>
      <c r="D48" s="16"/>
      <c r="E48" s="76" t="e">
        <f t="shared" si="0"/>
        <v>#VALUE!</v>
      </c>
      <c r="F48" s="140"/>
      <c r="G48" s="140"/>
      <c r="H48" s="142"/>
      <c r="I48" s="16"/>
      <c r="J48" s="76" t="e">
        <f t="shared" si="1"/>
        <v>#VALUE!</v>
      </c>
    </row>
    <row r="49" spans="1:10" x14ac:dyDescent="0.3">
      <c r="A49" s="140"/>
      <c r="B49" s="140"/>
      <c r="C49" s="141"/>
      <c r="D49" s="16"/>
      <c r="E49" s="76" t="e">
        <f t="shared" si="0"/>
        <v>#VALUE!</v>
      </c>
      <c r="F49" s="140"/>
      <c r="G49" s="140"/>
      <c r="H49" s="142"/>
      <c r="I49" s="16"/>
      <c r="J49" s="76" t="e">
        <f t="shared" si="1"/>
        <v>#VALUE!</v>
      </c>
    </row>
    <row r="50" spans="1:10" ht="14.4" customHeight="1" x14ac:dyDescent="0.3">
      <c r="A50" s="140"/>
      <c r="B50" s="140"/>
      <c r="C50" s="141"/>
      <c r="D50" s="16"/>
      <c r="E50" s="76" t="e">
        <f t="shared" si="0"/>
        <v>#VALUE!</v>
      </c>
      <c r="F50" s="140"/>
      <c r="G50" s="140"/>
      <c r="H50" s="142"/>
      <c r="I50" s="16"/>
      <c r="J50" s="76" t="e">
        <f t="shared" si="1"/>
        <v>#VALUE!</v>
      </c>
    </row>
    <row r="51" spans="1:10" x14ac:dyDescent="0.3">
      <c r="A51" s="140"/>
      <c r="B51" s="140"/>
      <c r="C51" s="141"/>
      <c r="D51" s="16"/>
      <c r="E51" s="76" t="e">
        <f t="shared" si="0"/>
        <v>#VALUE!</v>
      </c>
      <c r="F51" s="140"/>
      <c r="G51" s="140"/>
      <c r="H51" s="142"/>
      <c r="I51" s="16"/>
      <c r="J51" s="76" t="e">
        <f t="shared" si="1"/>
        <v>#VALUE!</v>
      </c>
    </row>
    <row r="52" spans="1:10" x14ac:dyDescent="0.3">
      <c r="A52" s="140"/>
      <c r="B52" s="140"/>
      <c r="C52" s="141"/>
      <c r="D52" s="16"/>
      <c r="E52" s="76" t="e">
        <f t="shared" si="0"/>
        <v>#VALUE!</v>
      </c>
      <c r="F52" s="140"/>
      <c r="G52" s="140"/>
      <c r="H52" s="142"/>
      <c r="I52" s="16"/>
      <c r="J52" s="76" t="e">
        <f t="shared" si="1"/>
        <v>#VALUE!</v>
      </c>
    </row>
    <row r="53" spans="1:10" x14ac:dyDescent="0.3">
      <c r="A53" s="140"/>
      <c r="B53" s="140"/>
      <c r="C53" s="141"/>
      <c r="D53" s="16"/>
      <c r="E53" s="76" t="e">
        <f t="shared" si="0"/>
        <v>#VALUE!</v>
      </c>
      <c r="F53" s="140"/>
      <c r="G53" s="140"/>
      <c r="H53" s="142"/>
      <c r="I53" s="16"/>
      <c r="J53" s="76" t="e">
        <f t="shared" si="1"/>
        <v>#VALUE!</v>
      </c>
    </row>
    <row r="54" spans="1:10" x14ac:dyDescent="0.3">
      <c r="A54" s="140"/>
      <c r="B54" s="140"/>
      <c r="C54" s="141"/>
      <c r="D54" s="16"/>
      <c r="E54" s="76" t="e">
        <f t="shared" si="0"/>
        <v>#VALUE!</v>
      </c>
      <c r="F54" s="140"/>
      <c r="G54" s="140"/>
      <c r="H54" s="142"/>
      <c r="I54" s="16"/>
      <c r="J54" s="76" t="e">
        <f t="shared" si="1"/>
        <v>#VALUE!</v>
      </c>
    </row>
    <row r="55" spans="1:10" x14ac:dyDescent="0.3">
      <c r="A55" s="140"/>
      <c r="B55" s="140"/>
      <c r="C55" s="141"/>
      <c r="D55" s="16"/>
      <c r="E55" s="76" t="e">
        <f t="shared" si="0"/>
        <v>#VALUE!</v>
      </c>
      <c r="F55" s="140"/>
      <c r="G55" s="140"/>
      <c r="H55" s="142"/>
      <c r="I55" s="16"/>
      <c r="J55" s="76" t="e">
        <f t="shared" si="1"/>
        <v>#VALUE!</v>
      </c>
    </row>
    <row r="56" spans="1:10" x14ac:dyDescent="0.3">
      <c r="A56" s="140"/>
      <c r="B56" s="140"/>
      <c r="C56" s="141"/>
      <c r="D56" s="16"/>
      <c r="E56" s="76" t="e">
        <f t="shared" si="0"/>
        <v>#VALUE!</v>
      </c>
      <c r="F56" s="140"/>
      <c r="G56" s="140"/>
      <c r="H56" s="142"/>
      <c r="I56" s="16"/>
      <c r="J56" s="76" t="e">
        <f t="shared" si="1"/>
        <v>#VALUE!</v>
      </c>
    </row>
    <row r="57" spans="1:10" x14ac:dyDescent="0.3">
      <c r="A57" s="140"/>
      <c r="B57" s="140"/>
      <c r="C57" s="141"/>
      <c r="D57" s="16"/>
      <c r="E57" s="76" t="e">
        <f t="shared" si="0"/>
        <v>#VALUE!</v>
      </c>
      <c r="F57" s="140"/>
      <c r="G57" s="140"/>
      <c r="H57" s="142"/>
      <c r="I57" s="16"/>
      <c r="J57" s="76" t="e">
        <f t="shared" si="1"/>
        <v>#VALUE!</v>
      </c>
    </row>
    <row r="58" spans="1:10" x14ac:dyDescent="0.3">
      <c r="A58" s="140"/>
      <c r="B58" s="140"/>
      <c r="C58" s="141"/>
      <c r="D58" s="16"/>
      <c r="E58" s="76" t="e">
        <f t="shared" si="0"/>
        <v>#VALUE!</v>
      </c>
      <c r="F58" s="140"/>
      <c r="G58" s="140"/>
      <c r="H58" s="142"/>
      <c r="I58" s="16"/>
      <c r="J58" s="76" t="e">
        <f t="shared" si="1"/>
        <v>#VALUE!</v>
      </c>
    </row>
    <row r="59" spans="1:10" x14ac:dyDescent="0.3">
      <c r="A59" s="140"/>
      <c r="B59" s="140"/>
      <c r="C59" s="141"/>
      <c r="D59" s="16"/>
      <c r="E59" s="76" t="e">
        <f t="shared" si="0"/>
        <v>#VALUE!</v>
      </c>
      <c r="F59" s="140"/>
      <c r="G59" s="140"/>
      <c r="H59" s="142"/>
      <c r="I59" s="16"/>
      <c r="J59" s="76" t="e">
        <f t="shared" si="1"/>
        <v>#VALUE!</v>
      </c>
    </row>
    <row r="60" spans="1:10" x14ac:dyDescent="0.3">
      <c r="A60" s="140"/>
      <c r="B60" s="140"/>
      <c r="C60" s="141"/>
      <c r="D60" s="16"/>
      <c r="E60" s="76" t="e">
        <f t="shared" si="0"/>
        <v>#VALUE!</v>
      </c>
      <c r="F60" s="140"/>
      <c r="G60" s="140"/>
      <c r="H60" s="142"/>
      <c r="I60" s="16"/>
      <c r="J60" s="76" t="e">
        <f t="shared" si="1"/>
        <v>#VALUE!</v>
      </c>
    </row>
    <row r="61" spans="1:10" x14ac:dyDescent="0.3">
      <c r="A61" s="140"/>
      <c r="B61" s="140"/>
      <c r="C61" s="141"/>
      <c r="D61" s="16"/>
      <c r="E61" s="76" t="e">
        <f t="shared" si="0"/>
        <v>#VALUE!</v>
      </c>
      <c r="F61" s="140"/>
      <c r="G61" s="140"/>
      <c r="H61" s="142"/>
      <c r="I61" s="16"/>
      <c r="J61" s="76" t="e">
        <f t="shared" si="1"/>
        <v>#VALUE!</v>
      </c>
    </row>
    <row r="62" spans="1:10" x14ac:dyDescent="0.3">
      <c r="A62" s="140"/>
      <c r="B62" s="140"/>
      <c r="C62" s="141"/>
      <c r="D62" s="16"/>
      <c r="E62" s="76" t="e">
        <f t="shared" si="0"/>
        <v>#VALUE!</v>
      </c>
      <c r="F62" s="140"/>
      <c r="G62" s="140"/>
      <c r="H62" s="142"/>
      <c r="I62" s="16"/>
      <c r="J62" s="76" t="e">
        <f t="shared" si="1"/>
        <v>#VALUE!</v>
      </c>
    </row>
    <row r="63" spans="1:10" x14ac:dyDescent="0.3">
      <c r="A63" s="140"/>
      <c r="B63" s="140"/>
      <c r="C63" s="141"/>
      <c r="D63" s="16"/>
      <c r="E63" s="76" t="e">
        <f t="shared" si="0"/>
        <v>#VALUE!</v>
      </c>
      <c r="F63" s="140"/>
      <c r="G63" s="140"/>
      <c r="H63" s="142"/>
      <c r="I63" s="16"/>
      <c r="J63" s="76" t="e">
        <f t="shared" si="1"/>
        <v>#VALUE!</v>
      </c>
    </row>
    <row r="64" spans="1:10" x14ac:dyDescent="0.3">
      <c r="A64" s="140"/>
      <c r="B64" s="140"/>
      <c r="C64" s="141"/>
      <c r="D64" s="16"/>
      <c r="E64" s="76" t="e">
        <f>B64*(a_res0+(a_res100-a_res0)*C64)*(A64*$B$36)^expmv*$B$43^expcyc</f>
        <v>#VALUE!</v>
      </c>
      <c r="F64" s="140"/>
      <c r="G64" s="140"/>
      <c r="H64" s="142"/>
      <c r="I64" s="16"/>
      <c r="J64" s="76" t="e">
        <f>G64*(a_res0+(a_res100-a_res0)*H64)*(A64*$B$36)^expmv*$G$43^expcyc</f>
        <v>#VALUE!</v>
      </c>
    </row>
    <row r="65" spans="1:19" x14ac:dyDescent="0.3">
      <c r="A65" s="140"/>
      <c r="B65" s="140"/>
      <c r="C65" s="141"/>
      <c r="D65" s="16"/>
      <c r="E65" s="76" t="e">
        <f>B65*(a_res0+(a_res100-a_res0)*C65)*(A65*$B$36)^expmv*$B$43^expcyc</f>
        <v>#VALUE!</v>
      </c>
      <c r="F65" s="140"/>
      <c r="G65" s="140"/>
      <c r="H65" s="142"/>
      <c r="I65" s="16"/>
      <c r="J65" s="76" t="e">
        <f>G65*(a_res0+(a_res100-a_res0)*H65)*(A65*$B$36)^expmv*$G$43^expcyc</f>
        <v>#VALUE!</v>
      </c>
      <c r="P65">
        <f>0.003/69.5</f>
        <v>4.3165467625899284E-5</v>
      </c>
    </row>
    <row r="66" spans="1:19" x14ac:dyDescent="0.3">
      <c r="A66" s="24"/>
      <c r="B66" s="25"/>
      <c r="C66" s="26"/>
      <c r="D66" s="28" t="s">
        <v>25</v>
      </c>
      <c r="E66" s="77" t="e">
        <f>SUM(E46:E65)</f>
        <v>#VALUE!</v>
      </c>
      <c r="G66" s="25"/>
      <c r="H66" s="27"/>
      <c r="I66" s="28" t="s">
        <v>25</v>
      </c>
      <c r="J66" s="77" t="e">
        <f>SUM(J46:J65)</f>
        <v>#VALUE!</v>
      </c>
      <c r="K66" s="1"/>
      <c r="P66">
        <f>1/P65</f>
        <v>23166.666666666664</v>
      </c>
    </row>
    <row r="67" spans="1:19" x14ac:dyDescent="0.3">
      <c r="A67" s="16"/>
      <c r="B67" s="20"/>
      <c r="C67" s="21"/>
      <c r="D67" s="16"/>
      <c r="E67" s="22"/>
      <c r="F67" s="20"/>
      <c r="G67" s="23"/>
      <c r="H67" s="16"/>
      <c r="I67" s="22"/>
      <c r="K67" s="1"/>
    </row>
    <row r="68" spans="1:19" ht="13.95" customHeight="1" x14ac:dyDescent="0.3">
      <c r="A68" s="167" t="s">
        <v>17</v>
      </c>
      <c r="B68" s="167"/>
      <c r="C68" s="167"/>
      <c r="D68" s="167"/>
      <c r="E68" s="167"/>
      <c r="F68" s="167"/>
      <c r="G68" s="167"/>
      <c r="H68" s="167"/>
      <c r="I68" s="167"/>
      <c r="K68" s="1"/>
    </row>
    <row r="69" spans="1:19" ht="72" x14ac:dyDescent="0.3">
      <c r="A69" s="2" t="s">
        <v>81</v>
      </c>
      <c r="B69" s="3" t="s">
        <v>21</v>
      </c>
      <c r="C69" s="17" t="s">
        <v>16</v>
      </c>
      <c r="D69" s="18" t="s">
        <v>13</v>
      </c>
      <c r="E69" s="78" t="s">
        <v>18</v>
      </c>
      <c r="F69" s="2" t="s">
        <v>82</v>
      </c>
      <c r="G69" s="3" t="s">
        <v>15</v>
      </c>
      <c r="H69" s="17" t="s">
        <v>16</v>
      </c>
      <c r="I69" s="18" t="s">
        <v>13</v>
      </c>
      <c r="J69" s="78" t="s">
        <v>18</v>
      </c>
      <c r="K69" s="33"/>
    </row>
    <row r="70" spans="1:19" s="14" customFormat="1" x14ac:dyDescent="0.3">
      <c r="A70" s="140"/>
      <c r="B70" s="143"/>
      <c r="C70" s="144"/>
      <c r="D70" s="144"/>
      <c r="E70" s="76" t="e">
        <f t="shared" ref="E70:E79" si="2">((a_hv0+(a_hv100-a_hv0)*D70)*C70+(a_lv0+(a_lv100-a_lv0)*D70)*(100%-C70))*B70^expmv*$B$43^expcyc</f>
        <v>#VALUE!</v>
      </c>
      <c r="F70" s="140"/>
      <c r="G70" s="140"/>
      <c r="H70" s="142"/>
      <c r="I70" s="144"/>
      <c r="J70" s="76" t="e">
        <f t="shared" ref="J70:J79" si="3">((a_hv0+(a_hv100-a_hv0)*I70)*H70+(a_lv0+(a_lv100-a_lv0)*I70)*(100%-H70))*G70^expmv*$G$43^expcyc</f>
        <v>#VALUE!</v>
      </c>
      <c r="K70" s="108"/>
      <c r="L70"/>
      <c r="M70"/>
      <c r="N70"/>
      <c r="O70"/>
      <c r="P70"/>
      <c r="Q70"/>
      <c r="R70"/>
      <c r="S70"/>
    </row>
    <row r="71" spans="1:19" x14ac:dyDescent="0.3">
      <c r="A71" s="140"/>
      <c r="B71" s="143"/>
      <c r="C71" s="145"/>
      <c r="D71" s="144"/>
      <c r="E71" s="76" t="e">
        <f t="shared" si="2"/>
        <v>#VALUE!</v>
      </c>
      <c r="F71" s="140"/>
      <c r="G71" s="140"/>
      <c r="H71" s="142"/>
      <c r="I71" s="144"/>
      <c r="J71" s="76" t="e">
        <f t="shared" si="3"/>
        <v>#VALUE!</v>
      </c>
    </row>
    <row r="72" spans="1:19" x14ac:dyDescent="0.3">
      <c r="A72" s="140"/>
      <c r="B72" s="143"/>
      <c r="C72" s="145"/>
      <c r="D72" s="144"/>
      <c r="E72" s="76" t="e">
        <f t="shared" si="2"/>
        <v>#VALUE!</v>
      </c>
      <c r="F72" s="140"/>
      <c r="G72" s="140"/>
      <c r="H72" s="142"/>
      <c r="I72" s="144"/>
      <c r="J72" s="76" t="e">
        <f t="shared" si="3"/>
        <v>#VALUE!</v>
      </c>
    </row>
    <row r="73" spans="1:19" x14ac:dyDescent="0.3">
      <c r="A73" s="140"/>
      <c r="B73" s="143"/>
      <c r="C73" s="145"/>
      <c r="D73" s="144"/>
      <c r="E73" s="76" t="e">
        <f t="shared" si="2"/>
        <v>#VALUE!</v>
      </c>
      <c r="F73" s="140"/>
      <c r="G73" s="140"/>
      <c r="H73" s="142"/>
      <c r="I73" s="144"/>
      <c r="J73" s="76" t="e">
        <f t="shared" si="3"/>
        <v>#VALUE!</v>
      </c>
    </row>
    <row r="74" spans="1:19" x14ac:dyDescent="0.3">
      <c r="A74" s="140"/>
      <c r="B74" s="140"/>
      <c r="C74" s="142"/>
      <c r="D74" s="144"/>
      <c r="E74" s="76" t="e">
        <f t="shared" si="2"/>
        <v>#VALUE!</v>
      </c>
      <c r="F74" s="140"/>
      <c r="G74" s="140"/>
      <c r="H74" s="142"/>
      <c r="I74" s="144"/>
      <c r="J74" s="76" t="e">
        <f t="shared" si="3"/>
        <v>#VALUE!</v>
      </c>
    </row>
    <row r="75" spans="1:19" x14ac:dyDescent="0.3">
      <c r="A75" s="140"/>
      <c r="B75" s="146"/>
      <c r="C75" s="145"/>
      <c r="D75" s="144"/>
      <c r="E75" s="76" t="e">
        <f t="shared" si="2"/>
        <v>#VALUE!</v>
      </c>
      <c r="F75" s="140"/>
      <c r="G75" s="140"/>
      <c r="H75" s="142"/>
      <c r="I75" s="144"/>
      <c r="J75" s="76" t="e">
        <f t="shared" si="3"/>
        <v>#VALUE!</v>
      </c>
    </row>
    <row r="76" spans="1:19" x14ac:dyDescent="0.3">
      <c r="A76" s="140"/>
      <c r="B76" s="143"/>
      <c r="C76" s="145"/>
      <c r="D76" s="144"/>
      <c r="E76" s="76" t="e">
        <f t="shared" si="2"/>
        <v>#VALUE!</v>
      </c>
      <c r="F76" s="140"/>
      <c r="G76" s="140"/>
      <c r="H76" s="142"/>
      <c r="I76" s="144"/>
      <c r="J76" s="76" t="e">
        <f t="shared" si="3"/>
        <v>#VALUE!</v>
      </c>
    </row>
    <row r="77" spans="1:19" x14ac:dyDescent="0.3">
      <c r="A77" s="140"/>
      <c r="B77" s="143"/>
      <c r="C77" s="145"/>
      <c r="D77" s="144"/>
      <c r="E77" s="76" t="e">
        <f t="shared" si="2"/>
        <v>#VALUE!</v>
      </c>
      <c r="F77" s="140"/>
      <c r="G77" s="143"/>
      <c r="H77" s="145"/>
      <c r="I77" s="144"/>
      <c r="J77" s="76" t="e">
        <f t="shared" si="3"/>
        <v>#VALUE!</v>
      </c>
    </row>
    <row r="78" spans="1:19" x14ac:dyDescent="0.3">
      <c r="A78" s="140"/>
      <c r="B78" s="147"/>
      <c r="C78" s="148"/>
      <c r="D78" s="144"/>
      <c r="E78" s="76" t="e">
        <f t="shared" si="2"/>
        <v>#VALUE!</v>
      </c>
      <c r="F78" s="140"/>
      <c r="G78" s="147"/>
      <c r="H78" s="148"/>
      <c r="I78" s="144"/>
      <c r="J78" s="76" t="e">
        <f t="shared" si="3"/>
        <v>#VALUE!</v>
      </c>
    </row>
    <row r="79" spans="1:19" x14ac:dyDescent="0.3">
      <c r="A79" s="140"/>
      <c r="B79" s="140"/>
      <c r="C79" s="142"/>
      <c r="D79" s="144"/>
      <c r="E79" s="76" t="e">
        <f t="shared" si="2"/>
        <v>#VALUE!</v>
      </c>
      <c r="F79" s="140"/>
      <c r="G79" s="140"/>
      <c r="H79" s="142"/>
      <c r="I79" s="144"/>
      <c r="J79" s="76" t="e">
        <f t="shared" si="3"/>
        <v>#VALUE!</v>
      </c>
    </row>
    <row r="80" spans="1:19" x14ac:dyDescent="0.3">
      <c r="A80" s="6"/>
      <c r="B80" s="6"/>
      <c r="C80" s="6"/>
      <c r="D80" s="28" t="s">
        <v>25</v>
      </c>
      <c r="E80" s="77" t="e">
        <f>SUM(E70:E79)</f>
        <v>#VALUE!</v>
      </c>
      <c r="G80" s="6"/>
      <c r="H80" s="3"/>
      <c r="I80" s="28" t="s">
        <v>25</v>
      </c>
      <c r="J80" s="77" t="e">
        <f>SUM(J70:J79)</f>
        <v>#VALUE!</v>
      </c>
    </row>
    <row r="81" spans="1:10" x14ac:dyDescent="0.3">
      <c r="A81" s="6"/>
      <c r="B81" s="6"/>
      <c r="C81" s="6"/>
      <c r="D81" s="6"/>
      <c r="E81" s="6"/>
      <c r="F81" s="6"/>
      <c r="G81" s="3"/>
    </row>
    <row r="82" spans="1:10" x14ac:dyDescent="0.3">
      <c r="A82" s="167" t="s">
        <v>26</v>
      </c>
      <c r="B82" s="167"/>
      <c r="C82" s="167"/>
      <c r="D82" s="167"/>
      <c r="E82" s="167"/>
      <c r="F82" s="167"/>
      <c r="G82" s="167"/>
      <c r="H82" s="167"/>
      <c r="I82" s="167"/>
    </row>
    <row r="83" spans="1:10" ht="72" x14ac:dyDescent="0.3">
      <c r="A83" s="2" t="s">
        <v>86</v>
      </c>
      <c r="B83" s="3" t="s">
        <v>21</v>
      </c>
      <c r="C83" s="17" t="s">
        <v>16</v>
      </c>
      <c r="D83" s="18" t="s">
        <v>13</v>
      </c>
      <c r="E83" s="78" t="s">
        <v>18</v>
      </c>
      <c r="F83" s="2" t="s">
        <v>87</v>
      </c>
      <c r="G83" s="3" t="s">
        <v>15</v>
      </c>
      <c r="H83" s="17" t="s">
        <v>16</v>
      </c>
      <c r="I83" s="18" t="s">
        <v>13</v>
      </c>
      <c r="J83" s="78" t="s">
        <v>18</v>
      </c>
    </row>
    <row r="84" spans="1:10" x14ac:dyDescent="0.3">
      <c r="A84" s="140"/>
      <c r="B84" s="143"/>
      <c r="C84" s="144"/>
      <c r="D84" s="144"/>
      <c r="E84" s="76" t="e">
        <f t="shared" ref="E84:E93" si="4">((a_hvss0+(a_hvss100-a_hvss0)*D84)*C84+(a_ss0+(a_ss100-a_ss0)*D84)*(100%-C84))*B84^expmv*$B$43^expcyc</f>
        <v>#VALUE!</v>
      </c>
      <c r="F84" s="140"/>
      <c r="G84" s="140"/>
      <c r="H84" s="142"/>
      <c r="I84" s="144"/>
      <c r="J84" s="76" t="e">
        <f t="shared" ref="J84:J93" si="5">((a_hvss0+(a_hvss100-a_hvss0)*I84)*H84+(a_ss0+(a_ss100-a_ss0)*I84)*(100%-H84))*G84^expmv*$G$43^expcyc</f>
        <v>#VALUE!</v>
      </c>
    </row>
    <row r="85" spans="1:10" x14ac:dyDescent="0.3">
      <c r="A85" s="140"/>
      <c r="B85" s="143"/>
      <c r="C85" s="145"/>
      <c r="D85" s="144"/>
      <c r="E85" s="76" t="e">
        <f t="shared" si="4"/>
        <v>#VALUE!</v>
      </c>
      <c r="F85" s="140"/>
      <c r="G85" s="140"/>
      <c r="H85" s="142"/>
      <c r="I85" s="144"/>
      <c r="J85" s="76" t="e">
        <f t="shared" si="5"/>
        <v>#VALUE!</v>
      </c>
    </row>
    <row r="86" spans="1:10" x14ac:dyDescent="0.3">
      <c r="A86" s="140"/>
      <c r="B86" s="143"/>
      <c r="C86" s="145"/>
      <c r="D86" s="144"/>
      <c r="E86" s="76" t="e">
        <f t="shared" si="4"/>
        <v>#VALUE!</v>
      </c>
      <c r="F86" s="140"/>
      <c r="G86" s="140"/>
      <c r="H86" s="142"/>
      <c r="I86" s="144"/>
      <c r="J86" s="76" t="e">
        <f t="shared" si="5"/>
        <v>#VALUE!</v>
      </c>
    </row>
    <row r="87" spans="1:10" x14ac:dyDescent="0.3">
      <c r="A87" s="140"/>
      <c r="B87" s="143"/>
      <c r="C87" s="145"/>
      <c r="D87" s="144"/>
      <c r="E87" s="76" t="e">
        <f t="shared" si="4"/>
        <v>#VALUE!</v>
      </c>
      <c r="F87" s="140"/>
      <c r="G87" s="140"/>
      <c r="H87" s="142"/>
      <c r="I87" s="144"/>
      <c r="J87" s="76" t="e">
        <f t="shared" si="5"/>
        <v>#VALUE!</v>
      </c>
    </row>
    <row r="88" spans="1:10" x14ac:dyDescent="0.3">
      <c r="A88" s="140"/>
      <c r="B88" s="140"/>
      <c r="C88" s="142"/>
      <c r="D88" s="144"/>
      <c r="E88" s="76" t="e">
        <f t="shared" si="4"/>
        <v>#VALUE!</v>
      </c>
      <c r="F88" s="140"/>
      <c r="G88" s="140"/>
      <c r="H88" s="142"/>
      <c r="I88" s="144"/>
      <c r="J88" s="76" t="e">
        <f t="shared" si="5"/>
        <v>#VALUE!</v>
      </c>
    </row>
    <row r="89" spans="1:10" x14ac:dyDescent="0.3">
      <c r="A89" s="140"/>
      <c r="B89" s="146"/>
      <c r="C89" s="145"/>
      <c r="D89" s="144"/>
      <c r="E89" s="76" t="e">
        <f t="shared" si="4"/>
        <v>#VALUE!</v>
      </c>
      <c r="F89" s="140"/>
      <c r="G89" s="140"/>
      <c r="H89" s="142"/>
      <c r="I89" s="144"/>
      <c r="J89" s="76" t="e">
        <f t="shared" si="5"/>
        <v>#VALUE!</v>
      </c>
    </row>
    <row r="90" spans="1:10" x14ac:dyDescent="0.3">
      <c r="A90" s="140"/>
      <c r="B90" s="143"/>
      <c r="C90" s="145"/>
      <c r="D90" s="144"/>
      <c r="E90" s="76" t="e">
        <f t="shared" si="4"/>
        <v>#VALUE!</v>
      </c>
      <c r="F90" s="140"/>
      <c r="G90" s="140"/>
      <c r="H90" s="142"/>
      <c r="I90" s="144"/>
      <c r="J90" s="76" t="e">
        <f t="shared" si="5"/>
        <v>#VALUE!</v>
      </c>
    </row>
    <row r="91" spans="1:10" x14ac:dyDescent="0.3">
      <c r="A91" s="140"/>
      <c r="B91" s="143"/>
      <c r="C91" s="145"/>
      <c r="D91" s="144"/>
      <c r="E91" s="76" t="e">
        <f t="shared" si="4"/>
        <v>#VALUE!</v>
      </c>
      <c r="F91" s="140"/>
      <c r="G91" s="143"/>
      <c r="H91" s="145"/>
      <c r="I91" s="144"/>
      <c r="J91" s="76" t="e">
        <f t="shared" si="5"/>
        <v>#VALUE!</v>
      </c>
    </row>
    <row r="92" spans="1:10" x14ac:dyDescent="0.3">
      <c r="A92" s="140"/>
      <c r="B92" s="147"/>
      <c r="C92" s="148"/>
      <c r="D92" s="144"/>
      <c r="E92" s="76" t="e">
        <f t="shared" si="4"/>
        <v>#VALUE!</v>
      </c>
      <c r="F92" s="140"/>
      <c r="G92" s="147"/>
      <c r="H92" s="148"/>
      <c r="I92" s="144"/>
      <c r="J92" s="76" t="e">
        <f t="shared" si="5"/>
        <v>#VALUE!</v>
      </c>
    </row>
    <row r="93" spans="1:10" x14ac:dyDescent="0.3">
      <c r="A93" s="140"/>
      <c r="B93" s="140"/>
      <c r="C93" s="142"/>
      <c r="D93" s="144"/>
      <c r="E93" s="76" t="e">
        <f t="shared" si="4"/>
        <v>#VALUE!</v>
      </c>
      <c r="F93" s="140"/>
      <c r="G93" s="140"/>
      <c r="H93" s="142"/>
      <c r="I93" s="144"/>
      <c r="J93" s="76" t="e">
        <f t="shared" si="5"/>
        <v>#VALUE!</v>
      </c>
    </row>
    <row r="94" spans="1:10" x14ac:dyDescent="0.3">
      <c r="A94" s="6"/>
      <c r="B94" s="6"/>
      <c r="C94" s="6"/>
      <c r="D94" s="28" t="s">
        <v>25</v>
      </c>
      <c r="E94" s="77" t="e">
        <f>SUM(E84:E93)</f>
        <v>#VALUE!</v>
      </c>
      <c r="G94" s="6"/>
      <c r="H94" s="3"/>
      <c r="I94" s="28" t="s">
        <v>25</v>
      </c>
      <c r="J94" s="77" t="e">
        <f>SUM(J84:J93)</f>
        <v>#VALUE!</v>
      </c>
    </row>
    <row r="96" spans="1:10" x14ac:dyDescent="0.3">
      <c r="A96" s="167" t="s">
        <v>1</v>
      </c>
      <c r="B96" s="167"/>
      <c r="C96" s="167"/>
      <c r="D96" s="167"/>
      <c r="E96" s="167"/>
      <c r="F96" s="167"/>
      <c r="G96" s="167"/>
      <c r="H96" s="167"/>
      <c r="I96" s="167"/>
    </row>
    <row r="97" spans="1:15" ht="86.4" x14ac:dyDescent="0.3">
      <c r="A97" s="2" t="s">
        <v>88</v>
      </c>
      <c r="B97" s="3" t="s">
        <v>27</v>
      </c>
      <c r="C97" s="17" t="s">
        <v>16</v>
      </c>
      <c r="D97" s="18"/>
      <c r="E97" s="78" t="s">
        <v>18</v>
      </c>
      <c r="F97" s="2" t="s">
        <v>89</v>
      </c>
      <c r="G97" s="3" t="s">
        <v>15</v>
      </c>
      <c r="H97" s="17" t="s">
        <v>16</v>
      </c>
      <c r="I97" s="18"/>
      <c r="J97" s="78" t="s">
        <v>18</v>
      </c>
    </row>
    <row r="98" spans="1:15" x14ac:dyDescent="0.3">
      <c r="A98" s="140"/>
      <c r="B98" s="143"/>
      <c r="C98" s="144"/>
      <c r="D98" s="29"/>
      <c r="E98" s="76" t="e">
        <f>(a_hvsig0*C98+a_sig0*(100%-C98))*B98^expmv*$B$43^expcyc</f>
        <v>#VALUE!</v>
      </c>
      <c r="F98" s="140"/>
      <c r="G98" s="140"/>
      <c r="H98" s="142"/>
      <c r="I98" s="64"/>
      <c r="J98" s="76" t="e">
        <f t="shared" ref="J98:J107" si="6">(a_hvsig0*H98+a_sig0*(100%-H98))*G98^expmv*$G$43^expcyc</f>
        <v>#VALUE!</v>
      </c>
    </row>
    <row r="99" spans="1:15" x14ac:dyDescent="0.3">
      <c r="A99" s="140"/>
      <c r="B99" s="143"/>
      <c r="C99" s="145"/>
      <c r="D99" s="29"/>
      <c r="E99" s="76" t="e">
        <f t="shared" ref="E99:E107" si="7">(a_hv0*C99+a_lv0*(100%-C99))*B99^expmv*$B$43^expcyc</f>
        <v>#VALUE!</v>
      </c>
      <c r="F99" s="140"/>
      <c r="G99" s="140"/>
      <c r="H99" s="142"/>
      <c r="I99" s="29"/>
      <c r="J99" s="76" t="e">
        <f t="shared" si="6"/>
        <v>#VALUE!</v>
      </c>
    </row>
    <row r="100" spans="1:15" x14ac:dyDescent="0.3">
      <c r="A100" s="140"/>
      <c r="B100" s="143"/>
      <c r="C100" s="145"/>
      <c r="D100" s="29"/>
      <c r="E100" s="76" t="e">
        <f t="shared" si="7"/>
        <v>#VALUE!</v>
      </c>
      <c r="F100" s="140"/>
      <c r="G100" s="140"/>
      <c r="H100" s="142"/>
      <c r="I100" s="29"/>
      <c r="J100" s="76" t="e">
        <f t="shared" si="6"/>
        <v>#VALUE!</v>
      </c>
    </row>
    <row r="101" spans="1:15" x14ac:dyDescent="0.3">
      <c r="A101" s="140"/>
      <c r="B101" s="143"/>
      <c r="C101" s="145"/>
      <c r="D101" s="29"/>
      <c r="E101" s="76" t="e">
        <f t="shared" si="7"/>
        <v>#VALUE!</v>
      </c>
      <c r="F101" s="140"/>
      <c r="G101" s="140"/>
      <c r="H101" s="142"/>
      <c r="I101" s="29"/>
      <c r="J101" s="76" t="e">
        <f t="shared" si="6"/>
        <v>#VALUE!</v>
      </c>
    </row>
    <row r="102" spans="1:15" x14ac:dyDescent="0.3">
      <c r="A102" s="140"/>
      <c r="B102" s="140"/>
      <c r="C102" s="142"/>
      <c r="D102" s="29"/>
      <c r="E102" s="76" t="e">
        <f t="shared" si="7"/>
        <v>#VALUE!</v>
      </c>
      <c r="F102" s="140"/>
      <c r="G102" s="140"/>
      <c r="H102" s="142"/>
      <c r="I102" s="29"/>
      <c r="J102" s="76" t="e">
        <f t="shared" si="6"/>
        <v>#VALUE!</v>
      </c>
    </row>
    <row r="103" spans="1:15" x14ac:dyDescent="0.3">
      <c r="A103" s="140"/>
      <c r="B103" s="146"/>
      <c r="C103" s="145"/>
      <c r="D103" s="29"/>
      <c r="E103" s="76" t="e">
        <f t="shared" si="7"/>
        <v>#VALUE!</v>
      </c>
      <c r="F103" s="140"/>
      <c r="G103" s="140"/>
      <c r="H103" s="142"/>
      <c r="I103" s="29"/>
      <c r="J103" s="76" t="e">
        <f t="shared" si="6"/>
        <v>#VALUE!</v>
      </c>
    </row>
    <row r="104" spans="1:15" x14ac:dyDescent="0.3">
      <c r="A104" s="140"/>
      <c r="B104" s="143"/>
      <c r="C104" s="145"/>
      <c r="D104" s="29"/>
      <c r="E104" s="76" t="e">
        <f t="shared" si="7"/>
        <v>#VALUE!</v>
      </c>
      <c r="F104" s="140"/>
      <c r="G104" s="140"/>
      <c r="H104" s="142"/>
      <c r="I104" s="29"/>
      <c r="J104" s="76" t="e">
        <f t="shared" si="6"/>
        <v>#VALUE!</v>
      </c>
    </row>
    <row r="105" spans="1:15" x14ac:dyDescent="0.3">
      <c r="A105" s="140"/>
      <c r="B105" s="143"/>
      <c r="C105" s="145"/>
      <c r="D105" s="29"/>
      <c r="E105" s="76" t="e">
        <f t="shared" si="7"/>
        <v>#VALUE!</v>
      </c>
      <c r="F105" s="140"/>
      <c r="G105" s="143"/>
      <c r="H105" s="145"/>
      <c r="I105" s="29"/>
      <c r="J105" s="76" t="e">
        <f t="shared" si="6"/>
        <v>#VALUE!</v>
      </c>
    </row>
    <row r="106" spans="1:15" x14ac:dyDescent="0.3">
      <c r="A106" s="140"/>
      <c r="B106" s="147"/>
      <c r="C106" s="148"/>
      <c r="D106" s="29"/>
      <c r="E106" s="76" t="e">
        <f t="shared" si="7"/>
        <v>#VALUE!</v>
      </c>
      <c r="F106" s="140"/>
      <c r="G106" s="147"/>
      <c r="H106" s="148"/>
      <c r="I106" s="29"/>
      <c r="J106" s="76" t="e">
        <f t="shared" si="6"/>
        <v>#VALUE!</v>
      </c>
    </row>
    <row r="107" spans="1:15" x14ac:dyDescent="0.3">
      <c r="A107" s="140"/>
      <c r="B107" s="140"/>
      <c r="C107" s="142"/>
      <c r="D107" s="29"/>
      <c r="E107" s="76" t="e">
        <f t="shared" si="7"/>
        <v>#VALUE!</v>
      </c>
      <c r="F107" s="140"/>
      <c r="G107" s="140"/>
      <c r="H107" s="142"/>
      <c r="I107" s="29"/>
      <c r="J107" s="76" t="e">
        <f t="shared" si="6"/>
        <v>#VALUE!</v>
      </c>
    </row>
    <row r="108" spans="1:15" x14ac:dyDescent="0.3">
      <c r="A108" s="6"/>
      <c r="B108" s="6"/>
      <c r="C108" s="6"/>
      <c r="D108" s="28" t="s">
        <v>25</v>
      </c>
      <c r="E108" s="77" t="e">
        <f>SUM(E98:E107)</f>
        <v>#VALUE!</v>
      </c>
      <c r="G108" s="6"/>
      <c r="H108" s="3"/>
      <c r="I108" s="28" t="s">
        <v>25</v>
      </c>
      <c r="J108" s="77" t="e">
        <f>SUM(J98:J107)</f>
        <v>#VALUE!</v>
      </c>
    </row>
    <row r="110" spans="1:15" x14ac:dyDescent="0.3">
      <c r="A110" s="168" t="s">
        <v>141</v>
      </c>
      <c r="B110" s="168"/>
      <c r="C110" s="168"/>
      <c r="D110" s="168"/>
      <c r="E110" s="168"/>
      <c r="F110" s="168"/>
      <c r="G110" s="168"/>
      <c r="H110" s="168"/>
      <c r="I110" s="168"/>
      <c r="J110" s="1"/>
      <c r="K110" s="1"/>
      <c r="L110" s="1"/>
      <c r="M110" s="1"/>
      <c r="N110" s="1"/>
      <c r="O110" s="1"/>
    </row>
    <row r="112" spans="1:15" x14ac:dyDescent="0.3">
      <c r="A112" s="7" t="s">
        <v>107</v>
      </c>
      <c r="B112" s="169" t="s">
        <v>142</v>
      </c>
      <c r="C112" s="169"/>
      <c r="D112" s="7"/>
      <c r="F112" s="170"/>
      <c r="G112" s="170"/>
      <c r="H112" s="170"/>
      <c r="I112" s="1"/>
    </row>
    <row r="113" spans="1:9" ht="28.8" x14ac:dyDescent="0.3">
      <c r="A113" s="7" t="s">
        <v>105</v>
      </c>
      <c r="B113" s="139" t="s">
        <v>145</v>
      </c>
      <c r="C113" t="s">
        <v>28</v>
      </c>
      <c r="D113" s="1"/>
      <c r="E113" s="1"/>
      <c r="F113" s="1"/>
      <c r="G113" s="1"/>
      <c r="H113" s="13"/>
      <c r="I113" s="1"/>
    </row>
    <row r="114" spans="1:9" ht="28.8" x14ac:dyDescent="0.3">
      <c r="A114" s="115" t="s">
        <v>106</v>
      </c>
      <c r="B114" s="139" t="s">
        <v>146</v>
      </c>
      <c r="C114" t="s">
        <v>28</v>
      </c>
      <c r="D114" s="115"/>
      <c r="E114" s="116"/>
      <c r="F114" s="1"/>
      <c r="G114" s="1"/>
      <c r="H114" s="13"/>
      <c r="I114" s="1"/>
    </row>
    <row r="115" spans="1:9" x14ac:dyDescent="0.3">
      <c r="A115" s="31" t="s">
        <v>14</v>
      </c>
      <c r="B115" s="31"/>
      <c r="C115" s="31"/>
      <c r="D115" s="31"/>
      <c r="E115" s="31"/>
      <c r="F115" s="7"/>
      <c r="G115" s="7"/>
      <c r="H115" s="7"/>
      <c r="I115" s="7"/>
    </row>
    <row r="116" spans="1:9" ht="43.2" x14ac:dyDescent="0.3">
      <c r="A116" s="2" t="s">
        <v>79</v>
      </c>
      <c r="B116" s="127" t="s">
        <v>80</v>
      </c>
      <c r="C116" s="127" t="s">
        <v>13</v>
      </c>
      <c r="D116" s="1"/>
      <c r="E116" s="79" t="s">
        <v>91</v>
      </c>
      <c r="F116" s="79" t="s">
        <v>92</v>
      </c>
      <c r="G116" s="77" t="s">
        <v>45</v>
      </c>
      <c r="H116" s="1"/>
      <c r="I116" s="33"/>
    </row>
    <row r="117" spans="1:9" x14ac:dyDescent="0.3">
      <c r="A117" s="140"/>
      <c r="B117" s="140"/>
      <c r="C117" s="141"/>
      <c r="D117" s="16"/>
      <c r="E117" s="80" t="e">
        <f t="shared" ref="E117:E126" si="8">B117*(a_res0+(a_res100-a_res0)*C117)*(A117*$B$36)^expmv*$B$113^expcyc</f>
        <v>#VALUE!</v>
      </c>
      <c r="F117" s="80" t="e">
        <f t="shared" ref="F117:F126" si="9">B117*((a_rescont0+(a_rescont100-a_rescont0)*C117)*(A117*$B$36)^expmv*$B$114^expcyc)</f>
        <v>#VALUE!</v>
      </c>
      <c r="G117" s="77" t="e">
        <f>E117+F117</f>
        <v>#VALUE!</v>
      </c>
      <c r="H117" s="22"/>
      <c r="I117" s="22"/>
    </row>
    <row r="118" spans="1:9" x14ac:dyDescent="0.3">
      <c r="A118" s="140"/>
      <c r="B118" s="140"/>
      <c r="C118" s="141"/>
      <c r="D118" s="16"/>
      <c r="E118" s="80" t="e">
        <f t="shared" si="8"/>
        <v>#VALUE!</v>
      </c>
      <c r="F118" s="80" t="e">
        <f t="shared" si="9"/>
        <v>#VALUE!</v>
      </c>
      <c r="G118" s="77" t="e">
        <f t="shared" ref="G118:G126" si="10">E118+F118</f>
        <v>#VALUE!</v>
      </c>
      <c r="H118" s="22"/>
      <c r="I118" s="22"/>
    </row>
    <row r="119" spans="1:9" x14ac:dyDescent="0.3">
      <c r="A119" s="140"/>
      <c r="B119" s="140"/>
      <c r="C119" s="141"/>
      <c r="D119" s="16"/>
      <c r="E119" s="80" t="e">
        <f t="shared" si="8"/>
        <v>#VALUE!</v>
      </c>
      <c r="F119" s="80" t="e">
        <f t="shared" si="9"/>
        <v>#VALUE!</v>
      </c>
      <c r="G119" s="77" t="e">
        <f t="shared" si="10"/>
        <v>#VALUE!</v>
      </c>
      <c r="H119" s="22"/>
      <c r="I119" s="22"/>
    </row>
    <row r="120" spans="1:9" x14ac:dyDescent="0.3">
      <c r="A120" s="140"/>
      <c r="B120" s="140"/>
      <c r="C120" s="141"/>
      <c r="D120" s="16"/>
      <c r="E120" s="80" t="e">
        <f t="shared" si="8"/>
        <v>#VALUE!</v>
      </c>
      <c r="F120" s="80" t="e">
        <f t="shared" si="9"/>
        <v>#VALUE!</v>
      </c>
      <c r="G120" s="77" t="e">
        <f t="shared" si="10"/>
        <v>#VALUE!</v>
      </c>
      <c r="H120" s="22"/>
      <c r="I120" s="22"/>
    </row>
    <row r="121" spans="1:9" x14ac:dyDescent="0.3">
      <c r="A121" s="140"/>
      <c r="B121" s="140"/>
      <c r="C121" s="141"/>
      <c r="D121" s="16"/>
      <c r="E121" s="80" t="e">
        <f t="shared" si="8"/>
        <v>#VALUE!</v>
      </c>
      <c r="F121" s="80" t="e">
        <f t="shared" si="9"/>
        <v>#VALUE!</v>
      </c>
      <c r="G121" s="77" t="e">
        <f t="shared" si="10"/>
        <v>#VALUE!</v>
      </c>
      <c r="H121" s="22"/>
      <c r="I121" s="22"/>
    </row>
    <row r="122" spans="1:9" x14ac:dyDescent="0.3">
      <c r="A122" s="140"/>
      <c r="B122" s="140"/>
      <c r="C122" s="141"/>
      <c r="D122" s="16"/>
      <c r="E122" s="80" t="e">
        <f t="shared" si="8"/>
        <v>#VALUE!</v>
      </c>
      <c r="F122" s="80" t="e">
        <f t="shared" si="9"/>
        <v>#VALUE!</v>
      </c>
      <c r="G122" s="77" t="e">
        <f t="shared" si="10"/>
        <v>#VALUE!</v>
      </c>
      <c r="H122" s="22"/>
      <c r="I122" s="22"/>
    </row>
    <row r="123" spans="1:9" x14ac:dyDescent="0.3">
      <c r="A123" s="140"/>
      <c r="B123" s="140"/>
      <c r="C123" s="141"/>
      <c r="D123" s="16"/>
      <c r="E123" s="80" t="e">
        <f t="shared" si="8"/>
        <v>#VALUE!</v>
      </c>
      <c r="F123" s="80" t="e">
        <f t="shared" si="9"/>
        <v>#VALUE!</v>
      </c>
      <c r="G123" s="77" t="e">
        <f t="shared" si="10"/>
        <v>#VALUE!</v>
      </c>
      <c r="H123" s="22"/>
      <c r="I123" s="22"/>
    </row>
    <row r="124" spans="1:9" x14ac:dyDescent="0.3">
      <c r="A124" s="140"/>
      <c r="B124" s="140"/>
      <c r="C124" s="141"/>
      <c r="D124" s="16"/>
      <c r="E124" s="80" t="e">
        <f t="shared" si="8"/>
        <v>#VALUE!</v>
      </c>
      <c r="F124" s="80" t="e">
        <f t="shared" si="9"/>
        <v>#VALUE!</v>
      </c>
      <c r="G124" s="77" t="e">
        <f t="shared" si="10"/>
        <v>#VALUE!</v>
      </c>
      <c r="H124" s="22"/>
      <c r="I124" s="22"/>
    </row>
    <row r="125" spans="1:9" x14ac:dyDescent="0.3">
      <c r="A125" s="140"/>
      <c r="B125" s="140"/>
      <c r="C125" s="141"/>
      <c r="D125" s="16"/>
      <c r="E125" s="80" t="e">
        <f t="shared" si="8"/>
        <v>#VALUE!</v>
      </c>
      <c r="F125" s="80" t="e">
        <f t="shared" si="9"/>
        <v>#VALUE!</v>
      </c>
      <c r="G125" s="77" t="e">
        <f t="shared" si="10"/>
        <v>#VALUE!</v>
      </c>
      <c r="H125" s="22"/>
      <c r="I125" s="22"/>
    </row>
    <row r="126" spans="1:9" x14ac:dyDescent="0.3">
      <c r="A126" s="140"/>
      <c r="B126" s="140"/>
      <c r="C126" s="141"/>
      <c r="D126" s="16"/>
      <c r="E126" s="80" t="e">
        <f t="shared" si="8"/>
        <v>#VALUE!</v>
      </c>
      <c r="F126" s="80" t="e">
        <f t="shared" si="9"/>
        <v>#VALUE!</v>
      </c>
      <c r="G126" s="77" t="e">
        <f t="shared" si="10"/>
        <v>#VALUE!</v>
      </c>
      <c r="H126" s="22"/>
      <c r="I126" s="22"/>
    </row>
    <row r="127" spans="1:9" x14ac:dyDescent="0.3">
      <c r="A127" s="24"/>
      <c r="B127" s="25"/>
      <c r="C127" s="26"/>
      <c r="D127" s="28" t="s">
        <v>25</v>
      </c>
      <c r="E127" s="77" t="e">
        <f>SUM(E117:E126)</f>
        <v>#VALUE!</v>
      </c>
      <c r="F127" s="77" t="e">
        <f t="shared" ref="F127:G127" si="11">SUM(F117:F126)</f>
        <v>#VALUE!</v>
      </c>
      <c r="G127" s="77" t="e">
        <f t="shared" si="11"/>
        <v>#VALUE!</v>
      </c>
      <c r="H127" s="35"/>
      <c r="I127" s="34"/>
    </row>
    <row r="128" spans="1:9" x14ac:dyDescent="0.3">
      <c r="A128" s="16"/>
      <c r="B128" s="20"/>
      <c r="C128" s="21"/>
      <c r="D128" s="16"/>
      <c r="E128" s="22"/>
      <c r="F128" s="20"/>
      <c r="G128" s="23"/>
      <c r="H128" s="16"/>
      <c r="I128" s="22"/>
    </row>
    <row r="129" spans="1:9" ht="14.4" customHeight="1" x14ac:dyDescent="0.3">
      <c r="A129" s="109" t="s">
        <v>83</v>
      </c>
      <c r="B129" s="32"/>
      <c r="C129" s="32"/>
      <c r="D129" s="32"/>
      <c r="E129" s="32"/>
      <c r="F129" s="36"/>
      <c r="G129" s="36"/>
      <c r="H129" s="36"/>
      <c r="I129" s="36"/>
    </row>
    <row r="130" spans="1:9" ht="57.6" x14ac:dyDescent="0.3">
      <c r="A130" s="2" t="s">
        <v>84</v>
      </c>
      <c r="B130" s="3" t="s">
        <v>21</v>
      </c>
      <c r="C130" s="17" t="s">
        <v>16</v>
      </c>
      <c r="D130" s="18" t="s">
        <v>13</v>
      </c>
      <c r="E130" s="79" t="s">
        <v>91</v>
      </c>
      <c r="F130" s="79" t="s">
        <v>92</v>
      </c>
      <c r="G130" s="77" t="s">
        <v>45</v>
      </c>
      <c r="H130" s="18"/>
      <c r="I130" s="37"/>
    </row>
    <row r="131" spans="1:9" x14ac:dyDescent="0.3">
      <c r="A131" s="140"/>
      <c r="B131" s="143"/>
      <c r="C131" s="144"/>
      <c r="D131" s="144"/>
      <c r="E131" s="76" t="e">
        <f t="shared" ref="E131:E140" si="12">((a_hv0+(a_hv100-a_hv0)*D131)*C131+(a_lv0+(a_lv100-a_lv0)*D131)*(100%-C131))*B131^expmv*$B$113^expcyc</f>
        <v>#VALUE!</v>
      </c>
      <c r="F131" s="76" t="e">
        <f t="shared" ref="F131:F140" si="13">((a_hvcont0+(a_hvcont100-a_hvcont0)*D131)*C131+(a_lvcont0+(a_lvcont100-a_lvcont0)*D131)*(100%-C131))*B131^expmv*$B$114^expcyc</f>
        <v>#VALUE!</v>
      </c>
      <c r="G131" s="77" t="e">
        <f>E131+F131</f>
        <v>#VALUE!</v>
      </c>
      <c r="H131" s="16"/>
      <c r="I131" s="22"/>
    </row>
    <row r="132" spans="1:9" x14ac:dyDescent="0.3">
      <c r="A132" s="140"/>
      <c r="B132" s="143"/>
      <c r="C132" s="145"/>
      <c r="D132" s="144"/>
      <c r="E132" s="76" t="e">
        <f t="shared" si="12"/>
        <v>#VALUE!</v>
      </c>
      <c r="F132" s="76" t="e">
        <f t="shared" si="13"/>
        <v>#VALUE!</v>
      </c>
      <c r="G132" s="77" t="e">
        <f t="shared" ref="G132:G140" si="14">E132+F132</f>
        <v>#VALUE!</v>
      </c>
      <c r="H132" s="16"/>
      <c r="I132" s="22"/>
    </row>
    <row r="133" spans="1:9" x14ac:dyDescent="0.3">
      <c r="A133" s="140"/>
      <c r="B133" s="143"/>
      <c r="C133" s="145"/>
      <c r="D133" s="144"/>
      <c r="E133" s="76" t="e">
        <f t="shared" si="12"/>
        <v>#VALUE!</v>
      </c>
      <c r="F133" s="76" t="e">
        <f t="shared" si="13"/>
        <v>#VALUE!</v>
      </c>
      <c r="G133" s="77" t="e">
        <f t="shared" si="14"/>
        <v>#VALUE!</v>
      </c>
      <c r="H133" s="29"/>
      <c r="I133" s="22"/>
    </row>
    <row r="134" spans="1:9" x14ac:dyDescent="0.3">
      <c r="A134" s="140"/>
      <c r="B134" s="143"/>
      <c r="C134" s="145"/>
      <c r="D134" s="144"/>
      <c r="E134" s="76" t="e">
        <f t="shared" si="12"/>
        <v>#VALUE!</v>
      </c>
      <c r="F134" s="76" t="e">
        <f t="shared" si="13"/>
        <v>#VALUE!</v>
      </c>
      <c r="G134" s="77" t="e">
        <f t="shared" si="14"/>
        <v>#VALUE!</v>
      </c>
      <c r="H134" s="16"/>
      <c r="I134" s="22"/>
    </row>
    <row r="135" spans="1:9" x14ac:dyDescent="0.3">
      <c r="A135" s="140"/>
      <c r="B135" s="140"/>
      <c r="C135" s="142"/>
      <c r="D135" s="144"/>
      <c r="E135" s="76" t="e">
        <f t="shared" si="12"/>
        <v>#VALUE!</v>
      </c>
      <c r="F135" s="76" t="e">
        <f t="shared" si="13"/>
        <v>#VALUE!</v>
      </c>
      <c r="G135" s="77" t="e">
        <f t="shared" si="14"/>
        <v>#VALUE!</v>
      </c>
      <c r="H135" s="29"/>
      <c r="I135" s="22"/>
    </row>
    <row r="136" spans="1:9" x14ac:dyDescent="0.3">
      <c r="A136" s="140"/>
      <c r="B136" s="146"/>
      <c r="C136" s="145"/>
      <c r="D136" s="144"/>
      <c r="E136" s="76" t="e">
        <f t="shared" si="12"/>
        <v>#VALUE!</v>
      </c>
      <c r="F136" s="76" t="e">
        <f t="shared" si="13"/>
        <v>#VALUE!</v>
      </c>
      <c r="G136" s="77" t="e">
        <f t="shared" si="14"/>
        <v>#VALUE!</v>
      </c>
      <c r="H136" s="29"/>
      <c r="I136" s="22"/>
    </row>
    <row r="137" spans="1:9" x14ac:dyDescent="0.3">
      <c r="A137" s="140"/>
      <c r="B137" s="143"/>
      <c r="C137" s="145"/>
      <c r="D137" s="144"/>
      <c r="E137" s="76" t="e">
        <f t="shared" si="12"/>
        <v>#VALUE!</v>
      </c>
      <c r="F137" s="76" t="e">
        <f t="shared" si="13"/>
        <v>#VALUE!</v>
      </c>
      <c r="G137" s="77" t="e">
        <f t="shared" si="14"/>
        <v>#VALUE!</v>
      </c>
      <c r="H137" s="29"/>
      <c r="I137" s="22"/>
    </row>
    <row r="138" spans="1:9" x14ac:dyDescent="0.3">
      <c r="A138" s="140"/>
      <c r="B138" s="143"/>
      <c r="C138" s="145"/>
      <c r="D138" s="144"/>
      <c r="E138" s="76" t="e">
        <f t="shared" si="12"/>
        <v>#VALUE!</v>
      </c>
      <c r="F138" s="76" t="e">
        <f t="shared" si="13"/>
        <v>#VALUE!</v>
      </c>
      <c r="G138" s="77" t="e">
        <f t="shared" si="14"/>
        <v>#VALUE!</v>
      </c>
      <c r="H138" s="29"/>
      <c r="I138" s="22"/>
    </row>
    <row r="139" spans="1:9" x14ac:dyDescent="0.3">
      <c r="A139" s="140"/>
      <c r="B139" s="147"/>
      <c r="C139" s="148"/>
      <c r="D139" s="144"/>
      <c r="E139" s="76" t="e">
        <f t="shared" si="12"/>
        <v>#VALUE!</v>
      </c>
      <c r="F139" s="76" t="e">
        <f t="shared" si="13"/>
        <v>#VALUE!</v>
      </c>
      <c r="G139" s="77" t="e">
        <f t="shared" si="14"/>
        <v>#VALUE!</v>
      </c>
      <c r="H139" s="29"/>
      <c r="I139" s="22"/>
    </row>
    <row r="140" spans="1:9" x14ac:dyDescent="0.3">
      <c r="A140" s="140"/>
      <c r="B140" s="140"/>
      <c r="C140" s="142"/>
      <c r="D140" s="144"/>
      <c r="E140" s="76" t="e">
        <f t="shared" si="12"/>
        <v>#VALUE!</v>
      </c>
      <c r="F140" s="76" t="e">
        <f t="shared" si="13"/>
        <v>#VALUE!</v>
      </c>
      <c r="G140" s="77" t="e">
        <f t="shared" si="14"/>
        <v>#VALUE!</v>
      </c>
      <c r="H140" s="29"/>
      <c r="I140" s="22"/>
    </row>
    <row r="141" spans="1:9" x14ac:dyDescent="0.3">
      <c r="A141" s="6"/>
      <c r="B141" s="6"/>
      <c r="C141" s="6"/>
      <c r="D141" s="28" t="s">
        <v>25</v>
      </c>
      <c r="E141" s="77" t="e">
        <f>SUM(E131:E140)</f>
        <v>#VALUE!</v>
      </c>
      <c r="F141" s="77" t="e">
        <f t="shared" ref="F141:G141" si="15">SUM(F131:F140)</f>
        <v>#VALUE!</v>
      </c>
      <c r="G141" s="77" t="e">
        <f t="shared" si="15"/>
        <v>#VALUE!</v>
      </c>
      <c r="H141" s="35"/>
      <c r="I141" s="34"/>
    </row>
    <row r="142" spans="1:9" x14ac:dyDescent="0.3">
      <c r="A142" s="6"/>
      <c r="B142" s="6"/>
      <c r="C142" s="6"/>
      <c r="D142" s="6"/>
      <c r="E142" s="6"/>
      <c r="F142" s="6"/>
      <c r="G142" s="3"/>
      <c r="H142" s="1"/>
      <c r="I142" s="1"/>
    </row>
    <row r="143" spans="1:9" x14ac:dyDescent="0.3">
      <c r="A143" s="32" t="s">
        <v>26</v>
      </c>
      <c r="B143" s="32"/>
      <c r="C143" s="32"/>
      <c r="D143" s="32"/>
      <c r="E143" s="32"/>
      <c r="F143" s="36"/>
      <c r="G143" s="36"/>
      <c r="H143" s="36"/>
      <c r="I143" s="36"/>
    </row>
    <row r="144" spans="1:9" ht="57.6" x14ac:dyDescent="0.3">
      <c r="A144" s="2" t="s">
        <v>85</v>
      </c>
      <c r="B144" s="3" t="s">
        <v>21</v>
      </c>
      <c r="C144" s="17" t="s">
        <v>16</v>
      </c>
      <c r="D144" s="18" t="s">
        <v>13</v>
      </c>
      <c r="E144" s="79" t="s">
        <v>91</v>
      </c>
      <c r="F144" s="79" t="s">
        <v>92</v>
      </c>
      <c r="G144" s="77" t="s">
        <v>45</v>
      </c>
      <c r="H144" s="18"/>
      <c r="I144" s="37"/>
    </row>
    <row r="145" spans="1:9" x14ac:dyDescent="0.3">
      <c r="A145" s="140"/>
      <c r="B145" s="143"/>
      <c r="C145" s="144"/>
      <c r="D145" s="144"/>
      <c r="E145" s="76" t="e">
        <f t="shared" ref="E145:E154" si="16">((a_hvss0+(a_hvss100-a_hvss0)*D145)*C145+(a_ss0+(a_ss100-a_ss0)*D145)*(100%-C145))*B145^expmv*$B$113^expcyc</f>
        <v>#VALUE!</v>
      </c>
      <c r="F145" s="76" t="e">
        <f t="shared" ref="F145:F154" si="17">((a_hvsscont0+(a_hvsscont100-a_hvsscont0)*D145)*C145+(a_sscont0+(a_sscont100-a_sscont0)*D145)*(100%-C145))*B145^expmv*$B$114^expcyc</f>
        <v>#VALUE!</v>
      </c>
      <c r="G145" s="77" t="e">
        <f>E145+F145</f>
        <v>#VALUE!</v>
      </c>
      <c r="H145" s="29"/>
      <c r="I145" s="22"/>
    </row>
    <row r="146" spans="1:9" x14ac:dyDescent="0.3">
      <c r="A146" s="140"/>
      <c r="B146" s="143"/>
      <c r="C146" s="145"/>
      <c r="D146" s="144"/>
      <c r="E146" s="76" t="e">
        <f t="shared" si="16"/>
        <v>#VALUE!</v>
      </c>
      <c r="F146" s="76" t="e">
        <f t="shared" si="17"/>
        <v>#VALUE!</v>
      </c>
      <c r="G146" s="77" t="e">
        <f t="shared" ref="G146:G154" si="18">E146+F146</f>
        <v>#VALUE!</v>
      </c>
      <c r="H146" s="29"/>
      <c r="I146" s="22"/>
    </row>
    <row r="147" spans="1:9" x14ac:dyDescent="0.3">
      <c r="A147" s="140"/>
      <c r="B147" s="143"/>
      <c r="C147" s="145"/>
      <c r="D147" s="144"/>
      <c r="E147" s="76" t="e">
        <f t="shared" si="16"/>
        <v>#VALUE!</v>
      </c>
      <c r="F147" s="76" t="e">
        <f t="shared" si="17"/>
        <v>#VALUE!</v>
      </c>
      <c r="G147" s="77" t="e">
        <f t="shared" si="18"/>
        <v>#VALUE!</v>
      </c>
      <c r="H147" s="29"/>
      <c r="I147" s="22"/>
    </row>
    <row r="148" spans="1:9" x14ac:dyDescent="0.3">
      <c r="A148" s="140"/>
      <c r="B148" s="143"/>
      <c r="C148" s="145"/>
      <c r="D148" s="144"/>
      <c r="E148" s="76" t="e">
        <f t="shared" si="16"/>
        <v>#VALUE!</v>
      </c>
      <c r="F148" s="76" t="e">
        <f t="shared" si="17"/>
        <v>#VALUE!</v>
      </c>
      <c r="G148" s="77" t="e">
        <f t="shared" si="18"/>
        <v>#VALUE!</v>
      </c>
      <c r="H148" s="29"/>
      <c r="I148" s="22"/>
    </row>
    <row r="149" spans="1:9" x14ac:dyDescent="0.3">
      <c r="A149" s="140"/>
      <c r="B149" s="140"/>
      <c r="C149" s="142"/>
      <c r="D149" s="144"/>
      <c r="E149" s="76" t="e">
        <f t="shared" si="16"/>
        <v>#VALUE!</v>
      </c>
      <c r="F149" s="76" t="e">
        <f t="shared" si="17"/>
        <v>#VALUE!</v>
      </c>
      <c r="G149" s="77" t="e">
        <f t="shared" si="18"/>
        <v>#VALUE!</v>
      </c>
      <c r="H149" s="29"/>
      <c r="I149" s="22"/>
    </row>
    <row r="150" spans="1:9" x14ac:dyDescent="0.3">
      <c r="A150" s="140"/>
      <c r="B150" s="146"/>
      <c r="C150" s="145"/>
      <c r="D150" s="144"/>
      <c r="E150" s="76" t="e">
        <f t="shared" si="16"/>
        <v>#VALUE!</v>
      </c>
      <c r="F150" s="76" t="e">
        <f t="shared" si="17"/>
        <v>#VALUE!</v>
      </c>
      <c r="G150" s="77" t="e">
        <f t="shared" si="18"/>
        <v>#VALUE!</v>
      </c>
      <c r="H150" s="29"/>
      <c r="I150" s="22"/>
    </row>
    <row r="151" spans="1:9" x14ac:dyDescent="0.3">
      <c r="A151" s="140"/>
      <c r="B151" s="143"/>
      <c r="C151" s="145"/>
      <c r="D151" s="144"/>
      <c r="E151" s="76" t="e">
        <f t="shared" si="16"/>
        <v>#VALUE!</v>
      </c>
      <c r="F151" s="76" t="e">
        <f t="shared" si="17"/>
        <v>#VALUE!</v>
      </c>
      <c r="G151" s="77" t="e">
        <f t="shared" si="18"/>
        <v>#VALUE!</v>
      </c>
      <c r="H151" s="29"/>
      <c r="I151" s="22"/>
    </row>
    <row r="152" spans="1:9" x14ac:dyDescent="0.3">
      <c r="A152" s="140"/>
      <c r="B152" s="143"/>
      <c r="C152" s="145"/>
      <c r="D152" s="144"/>
      <c r="E152" s="76" t="e">
        <f t="shared" si="16"/>
        <v>#VALUE!</v>
      </c>
      <c r="F152" s="76" t="e">
        <f t="shared" si="17"/>
        <v>#VALUE!</v>
      </c>
      <c r="G152" s="77" t="e">
        <f t="shared" si="18"/>
        <v>#VALUE!</v>
      </c>
      <c r="H152" s="29"/>
      <c r="I152" s="22"/>
    </row>
    <row r="153" spans="1:9" x14ac:dyDescent="0.3">
      <c r="A153" s="140"/>
      <c r="B153" s="147"/>
      <c r="C153" s="148"/>
      <c r="D153" s="144"/>
      <c r="E153" s="76" t="e">
        <f t="shared" si="16"/>
        <v>#VALUE!</v>
      </c>
      <c r="F153" s="76" t="e">
        <f t="shared" si="17"/>
        <v>#VALUE!</v>
      </c>
      <c r="G153" s="77" t="e">
        <f t="shared" si="18"/>
        <v>#VALUE!</v>
      </c>
      <c r="H153" s="29"/>
      <c r="I153" s="22"/>
    </row>
    <row r="154" spans="1:9" x14ac:dyDescent="0.3">
      <c r="A154" s="140"/>
      <c r="B154" s="140"/>
      <c r="C154" s="142"/>
      <c r="D154" s="144"/>
      <c r="E154" s="76" t="e">
        <f t="shared" si="16"/>
        <v>#VALUE!</v>
      </c>
      <c r="F154" s="76" t="e">
        <f t="shared" si="17"/>
        <v>#VALUE!</v>
      </c>
      <c r="G154" s="77" t="e">
        <f t="shared" si="18"/>
        <v>#VALUE!</v>
      </c>
      <c r="H154" s="29"/>
      <c r="I154" s="22"/>
    </row>
    <row r="155" spans="1:9" x14ac:dyDescent="0.3">
      <c r="A155" s="6"/>
      <c r="B155" s="6"/>
      <c r="C155" s="6"/>
      <c r="D155" s="28" t="s">
        <v>25</v>
      </c>
      <c r="E155" s="77" t="e">
        <f>SUM(E145:E154)</f>
        <v>#VALUE!</v>
      </c>
      <c r="F155" s="77" t="e">
        <f t="shared" ref="F155:G155" si="19">SUM(F145:F154)</f>
        <v>#VALUE!</v>
      </c>
      <c r="G155" s="77" t="e">
        <f t="shared" si="19"/>
        <v>#VALUE!</v>
      </c>
      <c r="H155" s="35"/>
      <c r="I155" s="34"/>
    </row>
    <row r="156" spans="1:9" x14ac:dyDescent="0.3">
      <c r="F156" s="1"/>
      <c r="G156" s="1"/>
      <c r="H156" s="1"/>
      <c r="I156" s="1"/>
    </row>
    <row r="157" spans="1:9" x14ac:dyDescent="0.3">
      <c r="A157" s="32" t="s">
        <v>1</v>
      </c>
      <c r="B157" s="32"/>
      <c r="C157" s="32"/>
      <c r="D157" s="32"/>
      <c r="E157" s="32"/>
      <c r="F157" s="36"/>
      <c r="G157" s="36"/>
      <c r="H157" s="36"/>
      <c r="I157" s="36"/>
    </row>
    <row r="158" spans="1:9" ht="43.2" x14ac:dyDescent="0.3">
      <c r="A158" s="2" t="s">
        <v>88</v>
      </c>
      <c r="B158" s="3" t="s">
        <v>27</v>
      </c>
      <c r="C158" s="17" t="s">
        <v>16</v>
      </c>
      <c r="D158" s="18"/>
      <c r="E158" s="79" t="s">
        <v>91</v>
      </c>
      <c r="F158" s="79" t="s">
        <v>92</v>
      </c>
      <c r="G158" s="77" t="s">
        <v>45</v>
      </c>
      <c r="H158" s="18"/>
      <c r="I158" s="37"/>
    </row>
    <row r="159" spans="1:9" x14ac:dyDescent="0.3">
      <c r="A159" s="140"/>
      <c r="B159" s="143"/>
      <c r="C159" s="144"/>
      <c r="D159" s="29"/>
      <c r="E159" s="76" t="e">
        <f t="shared" ref="E159:E168" si="20">(a_hvsig0*C159+a_sig0*(100%-C159))*B159^expmv*$B$113^expcyc</f>
        <v>#VALUE!</v>
      </c>
      <c r="F159" s="76" t="e">
        <f t="shared" ref="F159:F168" si="21">(a_hvsigcont0*C159+a_sigcont0*(100%-C159))*B159^expmv*$B$114^expcyc</f>
        <v>#VALUE!</v>
      </c>
      <c r="G159" s="77" t="e">
        <f>E159+F159</f>
        <v>#VALUE!</v>
      </c>
      <c r="H159" s="29"/>
      <c r="I159" s="22"/>
    </row>
    <row r="160" spans="1:9" x14ac:dyDescent="0.3">
      <c r="A160" s="140"/>
      <c r="B160" s="143"/>
      <c r="C160" s="145"/>
      <c r="D160" s="29"/>
      <c r="E160" s="76" t="e">
        <f t="shared" si="20"/>
        <v>#VALUE!</v>
      </c>
      <c r="F160" s="76" t="e">
        <f t="shared" si="21"/>
        <v>#VALUE!</v>
      </c>
      <c r="G160" s="77" t="e">
        <f t="shared" ref="G160:G168" si="22">E160+F160</f>
        <v>#VALUE!</v>
      </c>
      <c r="H160" s="29"/>
      <c r="I160" s="22"/>
    </row>
    <row r="161" spans="1:9" x14ac:dyDescent="0.3">
      <c r="A161" s="140"/>
      <c r="B161" s="143"/>
      <c r="C161" s="145"/>
      <c r="D161" s="29"/>
      <c r="E161" s="76" t="e">
        <f t="shared" si="20"/>
        <v>#VALUE!</v>
      </c>
      <c r="F161" s="76" t="e">
        <f t="shared" si="21"/>
        <v>#VALUE!</v>
      </c>
      <c r="G161" s="77" t="e">
        <f t="shared" si="22"/>
        <v>#VALUE!</v>
      </c>
      <c r="H161" s="29"/>
      <c r="I161" s="22"/>
    </row>
    <row r="162" spans="1:9" x14ac:dyDescent="0.3">
      <c r="A162" s="140"/>
      <c r="B162" s="143"/>
      <c r="C162" s="145"/>
      <c r="D162" s="29"/>
      <c r="E162" s="76" t="e">
        <f t="shared" si="20"/>
        <v>#VALUE!</v>
      </c>
      <c r="F162" s="76" t="e">
        <f t="shared" si="21"/>
        <v>#VALUE!</v>
      </c>
      <c r="G162" s="77" t="e">
        <f t="shared" si="22"/>
        <v>#VALUE!</v>
      </c>
      <c r="H162" s="29"/>
      <c r="I162" s="22"/>
    </row>
    <row r="163" spans="1:9" x14ac:dyDescent="0.3">
      <c r="A163" s="140"/>
      <c r="B163" s="140"/>
      <c r="C163" s="142"/>
      <c r="D163" s="29"/>
      <c r="E163" s="76" t="e">
        <f t="shared" si="20"/>
        <v>#VALUE!</v>
      </c>
      <c r="F163" s="76" t="e">
        <f t="shared" si="21"/>
        <v>#VALUE!</v>
      </c>
      <c r="G163" s="77" t="e">
        <f t="shared" si="22"/>
        <v>#VALUE!</v>
      </c>
      <c r="H163" s="29"/>
      <c r="I163" s="22"/>
    </row>
    <row r="164" spans="1:9" x14ac:dyDescent="0.3">
      <c r="A164" s="140"/>
      <c r="B164" s="146"/>
      <c r="C164" s="145"/>
      <c r="D164" s="29"/>
      <c r="E164" s="76" t="e">
        <f t="shared" si="20"/>
        <v>#VALUE!</v>
      </c>
      <c r="F164" s="76" t="e">
        <f t="shared" si="21"/>
        <v>#VALUE!</v>
      </c>
      <c r="G164" s="77" t="e">
        <f t="shared" si="22"/>
        <v>#VALUE!</v>
      </c>
      <c r="H164" s="29"/>
      <c r="I164" s="22"/>
    </row>
    <row r="165" spans="1:9" x14ac:dyDescent="0.3">
      <c r="A165" s="140"/>
      <c r="B165" s="143"/>
      <c r="C165" s="145"/>
      <c r="D165" s="29"/>
      <c r="E165" s="76" t="e">
        <f t="shared" si="20"/>
        <v>#VALUE!</v>
      </c>
      <c r="F165" s="76" t="e">
        <f t="shared" si="21"/>
        <v>#VALUE!</v>
      </c>
      <c r="G165" s="77" t="e">
        <f t="shared" si="22"/>
        <v>#VALUE!</v>
      </c>
      <c r="H165" s="29"/>
      <c r="I165" s="22"/>
    </row>
    <row r="166" spans="1:9" x14ac:dyDescent="0.3">
      <c r="A166" s="140"/>
      <c r="B166" s="143"/>
      <c r="C166" s="145"/>
      <c r="D166" s="29"/>
      <c r="E166" s="76" t="e">
        <f t="shared" si="20"/>
        <v>#VALUE!</v>
      </c>
      <c r="F166" s="76" t="e">
        <f t="shared" si="21"/>
        <v>#VALUE!</v>
      </c>
      <c r="G166" s="77" t="e">
        <f t="shared" si="22"/>
        <v>#VALUE!</v>
      </c>
      <c r="H166" s="29"/>
      <c r="I166" s="22"/>
    </row>
    <row r="167" spans="1:9" x14ac:dyDescent="0.3">
      <c r="A167" s="140"/>
      <c r="B167" s="147"/>
      <c r="C167" s="148"/>
      <c r="D167" s="29"/>
      <c r="E167" s="76" t="e">
        <f t="shared" si="20"/>
        <v>#VALUE!</v>
      </c>
      <c r="F167" s="76" t="e">
        <f t="shared" si="21"/>
        <v>#VALUE!</v>
      </c>
      <c r="G167" s="77" t="e">
        <f t="shared" si="22"/>
        <v>#VALUE!</v>
      </c>
      <c r="H167" s="29"/>
      <c r="I167" s="22"/>
    </row>
    <row r="168" spans="1:9" x14ac:dyDescent="0.3">
      <c r="A168" s="140"/>
      <c r="B168" s="140"/>
      <c r="C168" s="142"/>
      <c r="D168" s="29"/>
      <c r="E168" s="76" t="e">
        <f t="shared" si="20"/>
        <v>#VALUE!</v>
      </c>
      <c r="F168" s="76" t="e">
        <f t="shared" si="21"/>
        <v>#VALUE!</v>
      </c>
      <c r="G168" s="77" t="e">
        <f t="shared" si="22"/>
        <v>#VALUE!</v>
      </c>
      <c r="H168" s="29"/>
      <c r="I168" s="22"/>
    </row>
    <row r="169" spans="1:9" x14ac:dyDescent="0.3">
      <c r="A169" s="6"/>
      <c r="B169" s="6"/>
      <c r="C169" s="6"/>
      <c r="D169" s="28" t="s">
        <v>25</v>
      </c>
      <c r="E169" s="77" t="e">
        <f>SUM(E159:E168)</f>
        <v>#VALUE!</v>
      </c>
      <c r="F169" s="77" t="e">
        <f t="shared" ref="F169:G169" si="23">SUM(F159:F168)</f>
        <v>#VALUE!</v>
      </c>
      <c r="G169" s="77" t="e">
        <f t="shared" si="23"/>
        <v>#VALUE!</v>
      </c>
      <c r="H169" s="35"/>
      <c r="I169" s="34"/>
    </row>
    <row r="170" spans="1:9" x14ac:dyDescent="0.3">
      <c r="F170" s="1"/>
      <c r="G170" s="1"/>
      <c r="H170" s="1"/>
      <c r="I170" s="1"/>
    </row>
    <row r="171" spans="1:9" x14ac:dyDescent="0.3">
      <c r="F171" s="1"/>
      <c r="G171" s="1"/>
      <c r="H171" s="1"/>
      <c r="I171" s="1"/>
    </row>
    <row r="173" spans="1:9" ht="15" thickBot="1" x14ac:dyDescent="0.35">
      <c r="A173" s="149" t="s">
        <v>46</v>
      </c>
      <c r="B173" s="30"/>
      <c r="C173" s="30"/>
      <c r="D173" s="30"/>
      <c r="E173" s="30"/>
      <c r="F173" s="30"/>
      <c r="G173" s="30"/>
      <c r="H173" s="30"/>
    </row>
    <row r="174" spans="1:9" x14ac:dyDescent="0.3">
      <c r="A174" s="93"/>
      <c r="B174" s="162" t="s">
        <v>139</v>
      </c>
      <c r="C174" s="163"/>
      <c r="D174" s="164"/>
      <c r="E174" s="162" t="s">
        <v>140</v>
      </c>
      <c r="F174" s="163"/>
      <c r="G174" s="165"/>
      <c r="H174" s="171" t="s">
        <v>154</v>
      </c>
    </row>
    <row r="175" spans="1:9" ht="15" thickBot="1" x14ac:dyDescent="0.35">
      <c r="A175" s="93"/>
      <c r="B175" s="85" t="s">
        <v>11</v>
      </c>
      <c r="C175" s="81" t="s">
        <v>12</v>
      </c>
      <c r="D175" s="86" t="s">
        <v>25</v>
      </c>
      <c r="E175" s="85" t="s">
        <v>90</v>
      </c>
      <c r="F175" s="81" t="s">
        <v>49</v>
      </c>
      <c r="G175" s="157" t="s">
        <v>25</v>
      </c>
      <c r="H175" s="172"/>
    </row>
    <row r="176" spans="1:9" x14ac:dyDescent="0.3">
      <c r="A176" s="96" t="s">
        <v>47</v>
      </c>
      <c r="B176" s="83" t="e">
        <f>E66</f>
        <v>#VALUE!</v>
      </c>
      <c r="C176" s="82" t="e">
        <f>J66</f>
        <v>#VALUE!</v>
      </c>
      <c r="D176" s="88" t="e">
        <f>B176+C176</f>
        <v>#VALUE!</v>
      </c>
      <c r="E176" s="87" t="e">
        <f>E127</f>
        <v>#VALUE!</v>
      </c>
      <c r="F176" s="82" t="e">
        <f>F127</f>
        <v>#VALUE!</v>
      </c>
      <c r="G176" s="158" t="e">
        <f>E176+F176</f>
        <v>#VALUE!</v>
      </c>
      <c r="H176" s="160" t="e">
        <f>G176/D176</f>
        <v>#VALUE!</v>
      </c>
      <c r="I176" s="11"/>
    </row>
    <row r="177" spans="1:8" x14ac:dyDescent="0.3">
      <c r="A177" s="97" t="s">
        <v>48</v>
      </c>
      <c r="B177" s="83" t="e">
        <f>E80</f>
        <v>#VALUE!</v>
      </c>
      <c r="C177" s="82" t="e">
        <f>J80</f>
        <v>#VALUE!</v>
      </c>
      <c r="D177" s="88" t="e">
        <f t="shared" ref="D177:D179" si="24">B177+C177</f>
        <v>#VALUE!</v>
      </c>
      <c r="E177" s="87" t="e">
        <f>E141</f>
        <v>#VALUE!</v>
      </c>
      <c r="F177" s="82" t="e">
        <f>F141</f>
        <v>#VALUE!</v>
      </c>
      <c r="G177" s="158" t="e">
        <f t="shared" ref="G177:G179" si="25">E177+F177</f>
        <v>#VALUE!</v>
      </c>
      <c r="H177" s="160" t="e">
        <f t="shared" ref="H177:H179" si="26">G177/D177</f>
        <v>#VALUE!</v>
      </c>
    </row>
    <row r="178" spans="1:8" x14ac:dyDescent="0.3">
      <c r="A178" s="97" t="s">
        <v>50</v>
      </c>
      <c r="B178" s="83" t="e">
        <f>E94</f>
        <v>#VALUE!</v>
      </c>
      <c r="C178" s="82" t="e">
        <f>J94</f>
        <v>#VALUE!</v>
      </c>
      <c r="D178" s="88" t="e">
        <f t="shared" si="24"/>
        <v>#VALUE!</v>
      </c>
      <c r="E178" s="87" t="e">
        <f>E155</f>
        <v>#VALUE!</v>
      </c>
      <c r="F178" s="82" t="e">
        <f>F155</f>
        <v>#VALUE!</v>
      </c>
      <c r="G178" s="158" t="e">
        <f t="shared" si="25"/>
        <v>#VALUE!</v>
      </c>
      <c r="H178" s="160" t="e">
        <f t="shared" si="26"/>
        <v>#VALUE!</v>
      </c>
    </row>
    <row r="179" spans="1:8" ht="15" thickBot="1" x14ac:dyDescent="0.35">
      <c r="A179" s="97" t="s">
        <v>1</v>
      </c>
      <c r="B179" s="94" t="e">
        <f>E108</f>
        <v>#VALUE!</v>
      </c>
      <c r="C179" s="89" t="e">
        <f>J108</f>
        <v>#VALUE!</v>
      </c>
      <c r="D179" s="90" t="e">
        <f t="shared" si="24"/>
        <v>#VALUE!</v>
      </c>
      <c r="E179" s="87" t="e">
        <f>E169</f>
        <v>#VALUE!</v>
      </c>
      <c r="F179" s="82" t="e">
        <f>F169</f>
        <v>#VALUE!</v>
      </c>
      <c r="G179" s="158" t="e">
        <f t="shared" si="25"/>
        <v>#VALUE!</v>
      </c>
      <c r="H179" s="160" t="e">
        <f t="shared" si="26"/>
        <v>#VALUE!</v>
      </c>
    </row>
    <row r="180" spans="1:8" ht="15" thickBot="1" x14ac:dyDescent="0.35">
      <c r="A180" s="95" t="s">
        <v>127</v>
      </c>
      <c r="B180" s="95" t="e">
        <f t="shared" ref="B180:C180" si="27">SUM(B176:B179)</f>
        <v>#VALUE!</v>
      </c>
      <c r="C180" s="84" t="e">
        <f t="shared" si="27"/>
        <v>#VALUE!</v>
      </c>
      <c r="D180" s="98" t="e">
        <f>SUM(D176:D179)</f>
        <v>#VALUE!</v>
      </c>
      <c r="E180" s="91" t="e">
        <f t="shared" ref="E180:F180" si="28">SUM(E176:E179)</f>
        <v>#VALUE!</v>
      </c>
      <c r="F180" s="92" t="e">
        <f t="shared" si="28"/>
        <v>#VALUE!</v>
      </c>
      <c r="G180" s="159" t="e">
        <f>SUM(G176:G179)</f>
        <v>#VALUE!</v>
      </c>
      <c r="H180" s="161" t="e">
        <f>G180/D180</f>
        <v>#VALUE!</v>
      </c>
    </row>
    <row r="181" spans="1:8" ht="15" thickBot="1" x14ac:dyDescent="0.35">
      <c r="D181" s="152" t="e">
        <f>IF(D180&lt;G180,"safer","less safe")</f>
        <v>#VALUE!</v>
      </c>
      <c r="G181" s="152" t="e">
        <f>IF(G180&lt;D180,"safer", "less safe")</f>
        <v>#VALUE!</v>
      </c>
      <c r="H181" s="11"/>
    </row>
    <row r="182" spans="1:8" ht="15" thickBot="1" x14ac:dyDescent="0.35">
      <c r="A182" s="153" t="s">
        <v>128</v>
      </c>
      <c r="B182" s="154"/>
      <c r="C182" s="154"/>
      <c r="D182" s="155" t="e">
        <f>D180/'Actual crash prediction'!$B$40</f>
        <v>#VALUE!</v>
      </c>
      <c r="E182" s="154"/>
      <c r="F182" s="154"/>
      <c r="G182" s="156" t="e">
        <f>G180/'Actual crash prediction'!$B$40</f>
        <v>#VALUE!</v>
      </c>
    </row>
    <row r="183" spans="1:8" x14ac:dyDescent="0.3">
      <c r="B183" s="1"/>
      <c r="C183" s="104"/>
      <c r="D183" s="105"/>
      <c r="E183" s="1"/>
      <c r="F183" s="1"/>
      <c r="G183" s="105"/>
      <c r="H183" s="106"/>
    </row>
    <row r="184" spans="1:8" x14ac:dyDescent="0.3">
      <c r="F184" s="112" t="s">
        <v>151</v>
      </c>
      <c r="G184" s="11" t="e">
        <f>G182-D182</f>
        <v>#VALUE!</v>
      </c>
      <c r="H184" s="1" t="s">
        <v>110</v>
      </c>
    </row>
    <row r="185" spans="1:8" x14ac:dyDescent="0.3">
      <c r="A185" s="1"/>
      <c r="B185" s="1"/>
      <c r="C185" s="1"/>
      <c r="D185" s="1"/>
      <c r="E185" s="1"/>
      <c r="G185" s="1"/>
      <c r="H185" s="1"/>
    </row>
    <row r="186" spans="1:8" x14ac:dyDescent="0.3">
      <c r="A186" s="36"/>
      <c r="B186" s="36"/>
      <c r="C186" s="36"/>
      <c r="D186" s="36"/>
      <c r="E186" s="36"/>
      <c r="F186" s="111" t="s">
        <v>150</v>
      </c>
      <c r="G186" s="123" t="e">
        <f>G184*10</f>
        <v>#VALUE!</v>
      </c>
      <c r="H186" s="1" t="s">
        <v>149</v>
      </c>
    </row>
    <row r="187" spans="1:8" x14ac:dyDescent="0.3">
      <c r="A187" s="1"/>
      <c r="B187" s="3"/>
      <c r="C187" s="17"/>
      <c r="D187" s="18"/>
      <c r="E187" s="101"/>
      <c r="F187" s="101"/>
      <c r="G187" s="101"/>
      <c r="H187" s="1"/>
    </row>
    <row r="188" spans="1:8" x14ac:dyDescent="0.3">
      <c r="A188" s="6"/>
      <c r="B188" s="102"/>
      <c r="C188" s="29"/>
      <c r="D188" s="29"/>
      <c r="E188" s="22"/>
      <c r="F188" s="22"/>
      <c r="G188" s="34"/>
      <c r="H188" s="1"/>
    </row>
    <row r="189" spans="1:8" x14ac:dyDescent="0.3">
      <c r="A189" s="1"/>
      <c r="B189" s="1"/>
      <c r="C189" s="1"/>
      <c r="D189" s="1"/>
      <c r="E189" s="1"/>
      <c r="F189" s="1"/>
      <c r="G189" s="1"/>
      <c r="H189" s="1"/>
    </row>
    <row r="190" spans="1:8" x14ac:dyDescent="0.3">
      <c r="A190" s="36"/>
      <c r="B190" s="36"/>
      <c r="C190" s="36"/>
      <c r="D190" s="36"/>
      <c r="E190" s="36"/>
      <c r="F190" s="36"/>
      <c r="G190" s="36"/>
      <c r="H190" s="1"/>
    </row>
    <row r="191" spans="1:8" x14ac:dyDescent="0.3">
      <c r="A191" s="1"/>
      <c r="B191" s="3"/>
      <c r="C191" s="17"/>
      <c r="D191" s="18"/>
      <c r="E191" s="101"/>
      <c r="F191" s="101"/>
      <c r="G191" s="101"/>
      <c r="H191" s="1"/>
    </row>
    <row r="192" spans="1:8" x14ac:dyDescent="0.3">
      <c r="A192" s="6"/>
      <c r="B192" s="102"/>
      <c r="C192" s="29"/>
      <c r="D192" s="29"/>
      <c r="E192" s="22"/>
      <c r="F192" s="22"/>
      <c r="G192" s="34"/>
      <c r="H192" s="1"/>
    </row>
    <row r="193" spans="1:8" x14ac:dyDescent="0.3">
      <c r="A193" s="1"/>
      <c r="B193" s="1"/>
      <c r="C193" s="1"/>
      <c r="D193" s="1"/>
      <c r="E193" s="1"/>
      <c r="F193" s="1"/>
      <c r="G193" s="1"/>
      <c r="H193" s="1"/>
    </row>
    <row r="194" spans="1:8" x14ac:dyDescent="0.3">
      <c r="A194" s="1"/>
      <c r="B194" s="1"/>
      <c r="C194" s="1"/>
      <c r="D194" s="1"/>
      <c r="E194" s="1"/>
      <c r="F194" s="1"/>
      <c r="G194" s="1"/>
      <c r="H194" s="1"/>
    </row>
    <row r="195" spans="1:8" x14ac:dyDescent="0.3">
      <c r="A195" s="36"/>
      <c r="B195" s="36"/>
      <c r="C195" s="36"/>
      <c r="D195" s="36"/>
      <c r="E195" s="36"/>
      <c r="F195" s="36"/>
      <c r="G195" s="36"/>
      <c r="H195" s="1"/>
    </row>
    <row r="196" spans="1:8" x14ac:dyDescent="0.3">
      <c r="A196" s="1"/>
      <c r="B196" s="3"/>
      <c r="C196" s="17"/>
      <c r="D196" s="18"/>
      <c r="E196" s="101"/>
      <c r="F196" s="101"/>
      <c r="G196" s="101"/>
      <c r="H196" s="1"/>
    </row>
    <row r="197" spans="1:8" x14ac:dyDescent="0.3">
      <c r="A197" s="1"/>
      <c r="B197" s="102"/>
      <c r="C197" s="103"/>
      <c r="D197" s="29"/>
      <c r="E197" s="22"/>
      <c r="F197" s="22"/>
      <c r="G197" s="34"/>
      <c r="H197" s="1"/>
    </row>
    <row r="198" spans="1:8" x14ac:dyDescent="0.3">
      <c r="A198" s="1"/>
      <c r="B198" s="102"/>
      <c r="C198" s="103"/>
      <c r="D198" s="29"/>
      <c r="E198" s="22"/>
      <c r="F198" s="22"/>
      <c r="G198" s="34"/>
      <c r="H198" s="1"/>
    </row>
    <row r="199" spans="1:8" x14ac:dyDescent="0.3">
      <c r="A199" s="1"/>
      <c r="B199" s="1"/>
      <c r="C199" s="1"/>
      <c r="D199" s="1"/>
      <c r="E199" s="1"/>
      <c r="F199" s="1"/>
      <c r="G199" s="1"/>
      <c r="H199" s="1"/>
    </row>
    <row r="200" spans="1:8" x14ac:dyDescent="0.3">
      <c r="A200" s="1"/>
      <c r="B200" s="1"/>
      <c r="C200" s="1"/>
      <c r="D200" s="1"/>
      <c r="E200" s="1"/>
      <c r="F200" s="1"/>
      <c r="G200" s="1"/>
      <c r="H200" s="1"/>
    </row>
  </sheetData>
  <sheetProtection password="D35C" sheet="1" objects="1" scenarios="1"/>
  <mergeCells count="40">
    <mergeCell ref="B6:E6"/>
    <mergeCell ref="D8:E8"/>
    <mergeCell ref="B8:C8"/>
    <mergeCell ref="C12:D12"/>
    <mergeCell ref="E12:F12"/>
    <mergeCell ref="O12:P12"/>
    <mergeCell ref="Q12:R12"/>
    <mergeCell ref="M10:R10"/>
    <mergeCell ref="B7:C7"/>
    <mergeCell ref="A10:F10"/>
    <mergeCell ref="C11:F11"/>
    <mergeCell ref="O11:R11"/>
    <mergeCell ref="B33:I33"/>
    <mergeCell ref="A15:A16"/>
    <mergeCell ref="M15:M16"/>
    <mergeCell ref="A17:A18"/>
    <mergeCell ref="M17:M18"/>
    <mergeCell ref="A19:A20"/>
    <mergeCell ref="M19:M20"/>
    <mergeCell ref="O21:R21"/>
    <mergeCell ref="O22:P22"/>
    <mergeCell ref="Q22:R22"/>
    <mergeCell ref="B31:I31"/>
    <mergeCell ref="B32:I32"/>
    <mergeCell ref="B34:I34"/>
    <mergeCell ref="A40:I40"/>
    <mergeCell ref="A41:D41"/>
    <mergeCell ref="F41:H41"/>
    <mergeCell ref="B42:C42"/>
    <mergeCell ref="G42:H42"/>
    <mergeCell ref="B174:D174"/>
    <mergeCell ref="E174:G174"/>
    <mergeCell ref="A44:I44"/>
    <mergeCell ref="A68:I68"/>
    <mergeCell ref="A82:I82"/>
    <mergeCell ref="A96:I96"/>
    <mergeCell ref="A110:I110"/>
    <mergeCell ref="B112:C112"/>
    <mergeCell ref="F112:H112"/>
    <mergeCell ref="H174:H175"/>
  </mergeCells>
  <pageMargins left="0.7" right="0.7" top="0.75" bottom="0.75" header="0.3" footer="0.3"/>
  <pageSetup paperSize="9" scale="56" orientation="portrait" r:id="rId1"/>
  <rowBreaks count="2" manualBreakCount="2">
    <brk id="81" max="16383" man="1"/>
    <brk id="156" max="16383" man="1"/>
  </rowBreaks>
  <colBreaks count="1" manualBreakCount="1">
    <brk id="9" min="1" max="1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19" workbookViewId="0">
      <selection activeCell="H25" sqref="H25"/>
    </sheetView>
  </sheetViews>
  <sheetFormatPr defaultRowHeight="14.4" x14ac:dyDescent="0.3"/>
  <cols>
    <col min="1" max="1" width="3.5546875" bestFit="1" customWidth="1"/>
    <col min="2" max="2" width="10.109375" bestFit="1" customWidth="1"/>
    <col min="3" max="3" width="11" bestFit="1" customWidth="1"/>
    <col min="11" max="11" width="10.5546875" customWidth="1"/>
    <col min="12" max="13" width="10.109375" bestFit="1" customWidth="1"/>
    <col min="14" max="14" width="13.44140625" bestFit="1" customWidth="1"/>
  </cols>
  <sheetData>
    <row r="1" spans="1:20" ht="21" x14ac:dyDescent="0.4">
      <c r="A1" s="132" t="s">
        <v>132</v>
      </c>
      <c r="B1" s="130"/>
      <c r="C1" s="130"/>
      <c r="D1" s="130"/>
      <c r="E1" s="130"/>
      <c r="F1" s="130"/>
      <c r="G1" s="130"/>
      <c r="H1" s="132"/>
      <c r="I1" s="130"/>
      <c r="J1" s="130"/>
      <c r="K1" s="130"/>
      <c r="L1" s="130"/>
      <c r="M1" s="130"/>
      <c r="N1" s="130"/>
      <c r="O1" s="132"/>
      <c r="P1" s="130"/>
      <c r="Q1" s="130"/>
      <c r="R1" s="130"/>
      <c r="S1" s="130"/>
      <c r="T1" s="130"/>
    </row>
    <row r="2" spans="1:20" ht="15.6" x14ac:dyDescent="0.3">
      <c r="A2" s="133" t="s">
        <v>130</v>
      </c>
      <c r="B2" s="130"/>
      <c r="C2" s="130"/>
      <c r="D2" s="130"/>
      <c r="E2" s="130"/>
      <c r="F2" s="130"/>
      <c r="G2" s="130"/>
      <c r="H2" s="133"/>
      <c r="I2" s="130"/>
      <c r="J2" s="130"/>
      <c r="K2" s="130"/>
      <c r="L2" s="130"/>
      <c r="M2" s="130"/>
      <c r="N2" s="130"/>
      <c r="O2" s="133"/>
      <c r="P2" s="130"/>
      <c r="Q2" s="130"/>
      <c r="R2" s="130"/>
      <c r="S2" s="130"/>
      <c r="T2" s="130"/>
    </row>
    <row r="3" spans="1:20" x14ac:dyDescent="0.3">
      <c r="A3" s="131" t="s">
        <v>131</v>
      </c>
      <c r="B3" s="131"/>
      <c r="C3" s="131"/>
      <c r="D3" s="131"/>
      <c r="E3" s="131"/>
      <c r="F3" s="131"/>
      <c r="G3" s="131"/>
      <c r="H3" s="131"/>
      <c r="I3" s="131"/>
      <c r="J3" s="131"/>
      <c r="K3" s="131"/>
      <c r="L3" s="131"/>
      <c r="M3" s="131"/>
      <c r="N3" s="131"/>
      <c r="O3" s="131"/>
      <c r="P3" s="131"/>
      <c r="Q3" s="131"/>
      <c r="R3" s="131"/>
      <c r="S3" s="131"/>
      <c r="T3" s="131"/>
    </row>
    <row r="4" spans="1:20" x14ac:dyDescent="0.3">
      <c r="A4" s="1"/>
      <c r="B4" s="1"/>
      <c r="C4" s="1"/>
      <c r="D4" s="1"/>
      <c r="E4" s="1"/>
      <c r="F4" s="1"/>
      <c r="G4" s="1"/>
      <c r="H4" s="1"/>
      <c r="I4" s="1"/>
      <c r="J4" s="1"/>
      <c r="K4" s="1"/>
      <c r="L4" s="1"/>
      <c r="M4" s="1"/>
      <c r="N4" s="1"/>
      <c r="O4" s="1"/>
      <c r="P4" s="1"/>
      <c r="Q4" s="1"/>
      <c r="R4" s="1"/>
      <c r="S4" s="1"/>
      <c r="T4" s="1"/>
    </row>
    <row r="5" spans="1:20" ht="15.6" x14ac:dyDescent="0.3">
      <c r="A5" s="134" t="s">
        <v>134</v>
      </c>
      <c r="B5" s="135"/>
      <c r="C5" s="135"/>
      <c r="D5" s="135"/>
      <c r="E5" s="135"/>
      <c r="F5" s="135"/>
      <c r="G5" s="135"/>
      <c r="H5" s="134"/>
      <c r="I5" s="135"/>
      <c r="J5" s="135"/>
      <c r="K5" s="135"/>
      <c r="L5" s="135"/>
      <c r="M5" s="135"/>
      <c r="N5" s="135"/>
      <c r="O5" s="134"/>
      <c r="P5" s="135"/>
      <c r="Q5" s="135"/>
      <c r="R5" s="135"/>
      <c r="S5" s="135"/>
      <c r="T5" s="135"/>
    </row>
    <row r="6" spans="1:20" ht="15.6" x14ac:dyDescent="0.3">
      <c r="A6" s="134" t="s">
        <v>135</v>
      </c>
      <c r="B6" s="134"/>
      <c r="C6" s="134"/>
      <c r="D6" s="134"/>
      <c r="E6" s="134"/>
      <c r="F6" s="134"/>
      <c r="G6" s="134"/>
      <c r="H6" s="134"/>
      <c r="I6" s="134"/>
      <c r="J6" s="134"/>
      <c r="K6" s="134"/>
      <c r="L6" s="134"/>
      <c r="M6" s="134"/>
      <c r="N6" s="134"/>
      <c r="O6" s="134"/>
      <c r="P6" s="134"/>
      <c r="Q6" s="134"/>
      <c r="R6" s="134"/>
      <c r="S6" s="134"/>
      <c r="T6" s="134"/>
    </row>
    <row r="8" spans="1:20" x14ac:dyDescent="0.3">
      <c r="A8" s="8" t="s">
        <v>111</v>
      </c>
    </row>
    <row r="9" spans="1:20" ht="15" x14ac:dyDescent="0.25">
      <c r="B9" t="s">
        <v>108</v>
      </c>
    </row>
    <row r="11" spans="1:20" x14ac:dyDescent="0.3">
      <c r="B11" t="s">
        <v>109</v>
      </c>
    </row>
    <row r="12" spans="1:20" x14ac:dyDescent="0.3">
      <c r="C12" s="201" t="s">
        <v>113</v>
      </c>
      <c r="D12" s="201"/>
      <c r="E12" s="201"/>
      <c r="F12" s="201"/>
      <c r="G12" s="201"/>
      <c r="H12" s="201"/>
      <c r="I12" s="201"/>
      <c r="J12" s="201"/>
      <c r="K12" s="201"/>
      <c r="L12" s="201"/>
      <c r="M12" s="201"/>
      <c r="N12" s="201"/>
    </row>
    <row r="13" spans="1:20" x14ac:dyDescent="0.3">
      <c r="B13" s="117"/>
      <c r="C13" s="120">
        <v>5000</v>
      </c>
      <c r="D13" s="120">
        <v>4000</v>
      </c>
      <c r="E13" s="120">
        <v>3000</v>
      </c>
      <c r="F13" s="120">
        <v>2000</v>
      </c>
      <c r="G13" s="120">
        <v>1000</v>
      </c>
      <c r="H13" s="120">
        <v>500</v>
      </c>
      <c r="I13" s="120">
        <v>250</v>
      </c>
      <c r="J13" s="120">
        <v>100</v>
      </c>
      <c r="K13" s="120">
        <v>50</v>
      </c>
      <c r="L13" s="120">
        <v>25</v>
      </c>
      <c r="M13" s="120">
        <v>10</v>
      </c>
      <c r="N13" s="120">
        <v>0</v>
      </c>
    </row>
    <row r="14" spans="1:20" x14ac:dyDescent="0.3">
      <c r="A14" s="200" t="s">
        <v>112</v>
      </c>
      <c r="B14" s="120">
        <v>10000</v>
      </c>
      <c r="C14" s="118">
        <f>0.0000047072*((C$13/2)^0.3787)*($B14^0.922)-($B14*3*0.0000016425)</f>
        <v>0.39490861298951696</v>
      </c>
      <c r="D14" s="118">
        <f t="shared" ref="D14:I14" si="0">0.0000047072*((D$13/2)^0.3787)*($B14^0.922)-($B14*3*0.0000016425)</f>
        <v>0.35891532841062196</v>
      </c>
      <c r="E14" s="118">
        <f t="shared" si="0"/>
        <v>0.31678174266771364</v>
      </c>
      <c r="F14" s="118">
        <f t="shared" si="0"/>
        <v>0.26467656410132123</v>
      </c>
      <c r="G14" s="118">
        <f t="shared" si="0"/>
        <v>0.19219467172263155</v>
      </c>
      <c r="H14" s="118">
        <f t="shared" si="0"/>
        <v>0.13644664954406116</v>
      </c>
      <c r="I14" s="118">
        <f t="shared" si="0"/>
        <v>9.3569154561105913E-2</v>
      </c>
      <c r="J14" s="118">
        <f>((I14-N14)/2.5)+N14</f>
        <v>4.4326161824442364E-2</v>
      </c>
      <c r="K14" s="119">
        <f>(($I14-$N14)/5)+$N14</f>
        <v>2.7911830912221183E-2</v>
      </c>
      <c r="L14" s="119">
        <f>(($I14-$N14)/10)+$N14</f>
        <v>1.970466545611059E-2</v>
      </c>
      <c r="M14" s="119">
        <f>(($I14-$N14)/25)+$N14</f>
        <v>1.4780366182444236E-2</v>
      </c>
      <c r="N14" s="119">
        <f>21*B14*365*0.015/100000000</f>
        <v>1.1497500000000001E-2</v>
      </c>
    </row>
    <row r="15" spans="1:20" x14ac:dyDescent="0.3">
      <c r="A15" s="200"/>
      <c r="B15" s="121">
        <v>5000</v>
      </c>
      <c r="C15" s="118">
        <f t="shared" ref="C15:I19" si="1">0.0000047072*((C$13/2)^0.3787)*($B15^0.922)-($B15*3*0.0000016425)</f>
        <v>0.20979233200247438</v>
      </c>
      <c r="D15" s="118">
        <f t="shared" si="1"/>
        <v>0.19079590932884741</v>
      </c>
      <c r="E15" s="118">
        <f t="shared" si="1"/>
        <v>0.16855877779467493</v>
      </c>
      <c r="F15" s="118">
        <f t="shared" si="1"/>
        <v>0.14105887032270209</v>
      </c>
      <c r="G15" s="118">
        <f t="shared" si="1"/>
        <v>0.10280460484182163</v>
      </c>
      <c r="H15" s="118">
        <f t="shared" si="1"/>
        <v>7.3382088811044716E-2</v>
      </c>
      <c r="I15" s="118">
        <f t="shared" si="1"/>
        <v>5.0752339194913877E-2</v>
      </c>
      <c r="J15" s="118">
        <f t="shared" ref="J15:J19" si="2">((I15-N15)/2.5)+N15</f>
        <v>2.3750185677965548E-2</v>
      </c>
      <c r="K15" s="119">
        <f t="shared" ref="K15:K19" si="3">(($I15-$N15)/5)+$N15</f>
        <v>1.4749467838982774E-2</v>
      </c>
      <c r="L15" s="119">
        <f t="shared" ref="L15:L19" si="4">(($I15-$N15)/10)+$N15</f>
        <v>1.0249108919491387E-2</v>
      </c>
      <c r="M15" s="138">
        <f t="shared" ref="M15:M19" si="5">(($I15-$N15)/25)+$N15</f>
        <v>7.5488935677965555E-3</v>
      </c>
      <c r="N15" s="119">
        <f t="shared" ref="N15:N19" si="6">21*B15*365*0.015/100000000</f>
        <v>5.7487500000000004E-3</v>
      </c>
    </row>
    <row r="16" spans="1:20" x14ac:dyDescent="0.3">
      <c r="A16" s="200"/>
      <c r="B16" s="121">
        <v>3000</v>
      </c>
      <c r="C16" s="118">
        <f t="shared" si="1"/>
        <v>0.13159297897048833</v>
      </c>
      <c r="D16" s="118">
        <f t="shared" si="1"/>
        <v>0.11973181589313459</v>
      </c>
      <c r="E16" s="118">
        <f t="shared" si="1"/>
        <v>0.1058471888751453</v>
      </c>
      <c r="F16" s="118">
        <f t="shared" si="1"/>
        <v>8.8676540867294276E-2</v>
      </c>
      <c r="G16" s="118">
        <f t="shared" si="1"/>
        <v>6.4790986778047677E-2</v>
      </c>
      <c r="H16" s="118">
        <f t="shared" si="1"/>
        <v>4.641988255579841E-2</v>
      </c>
      <c r="I16" s="118">
        <f t="shared" si="1"/>
        <v>3.2290109008000056E-2</v>
      </c>
      <c r="J16" s="118">
        <f t="shared" si="2"/>
        <v>1.4985593603200023E-2</v>
      </c>
      <c r="K16" s="119">
        <f t="shared" si="3"/>
        <v>9.217421801600012E-3</v>
      </c>
      <c r="L16" s="119">
        <f t="shared" si="4"/>
        <v>6.3333359008000056E-3</v>
      </c>
      <c r="M16" s="119">
        <f t="shared" si="5"/>
        <v>4.6028843603200028E-3</v>
      </c>
      <c r="N16" s="119">
        <f t="shared" si="6"/>
        <v>3.4492500000000001E-3</v>
      </c>
    </row>
    <row r="17" spans="1:15" x14ac:dyDescent="0.3">
      <c r="A17" s="200"/>
      <c r="B17" s="121">
        <v>1000</v>
      </c>
      <c r="C17" s="118">
        <f t="shared" si="1"/>
        <v>4.8229753300704517E-2</v>
      </c>
      <c r="D17" s="118">
        <f t="shared" si="1"/>
        <v>4.3922291049660556E-2</v>
      </c>
      <c r="E17" s="118">
        <f t="shared" si="1"/>
        <v>3.887999407087582E-2</v>
      </c>
      <c r="F17" s="118">
        <f t="shared" si="1"/>
        <v>3.2644356162735498E-2</v>
      </c>
      <c r="G17" s="118">
        <f t="shared" si="1"/>
        <v>2.3970154323192758E-2</v>
      </c>
      <c r="H17" s="118">
        <f t="shared" si="1"/>
        <v>1.7298562555061722E-2</v>
      </c>
      <c r="I17" s="118">
        <f t="shared" si="1"/>
        <v>1.2167238942359179E-2</v>
      </c>
      <c r="J17" s="118">
        <f t="shared" si="2"/>
        <v>5.5567455769436717E-3</v>
      </c>
      <c r="K17" s="119">
        <f t="shared" si="3"/>
        <v>3.3532477884718357E-3</v>
      </c>
      <c r="L17" s="119">
        <f t="shared" si="4"/>
        <v>2.2514988942359182E-3</v>
      </c>
      <c r="M17" s="119">
        <f t="shared" si="5"/>
        <v>1.5904495576943671E-3</v>
      </c>
      <c r="N17" s="119">
        <f t="shared" si="6"/>
        <v>1.1497499999999999E-3</v>
      </c>
    </row>
    <row r="18" spans="1:15" x14ac:dyDescent="0.3">
      <c r="A18" s="200"/>
      <c r="B18" s="121">
        <v>300</v>
      </c>
      <c r="C18" s="118">
        <f t="shared" si="1"/>
        <v>1.6039096847349468E-2</v>
      </c>
      <c r="D18" s="118">
        <f t="shared" si="1"/>
        <v>1.4619623387038046E-2</v>
      </c>
      <c r="E18" s="118">
        <f t="shared" si="1"/>
        <v>1.2957993795586903E-2</v>
      </c>
      <c r="F18" s="118">
        <f t="shared" si="1"/>
        <v>1.0903112753606371E-2</v>
      </c>
      <c r="G18" s="118">
        <f t="shared" si="1"/>
        <v>8.0446316844730806E-3</v>
      </c>
      <c r="H18" s="118">
        <f t="shared" si="1"/>
        <v>5.8460871817095448E-3</v>
      </c>
      <c r="I18" s="118">
        <f t="shared" si="1"/>
        <v>4.1551199114252188E-3</v>
      </c>
      <c r="J18" s="118">
        <f t="shared" si="2"/>
        <v>1.8690029645700877E-3</v>
      </c>
      <c r="K18" s="119">
        <f t="shared" si="3"/>
        <v>1.1069639822850438E-3</v>
      </c>
      <c r="L18" s="119">
        <f t="shared" si="4"/>
        <v>7.259444911425219E-4</v>
      </c>
      <c r="M18" s="119">
        <f t="shared" si="5"/>
        <v>4.973327964570087E-4</v>
      </c>
      <c r="N18" s="119">
        <f t="shared" si="6"/>
        <v>3.44925E-4</v>
      </c>
    </row>
    <row r="19" spans="1:15" x14ac:dyDescent="0.3">
      <c r="A19" s="200"/>
      <c r="B19" s="121">
        <v>100</v>
      </c>
      <c r="C19" s="118">
        <f t="shared" si="1"/>
        <v>5.8687939557918872E-3</v>
      </c>
      <c r="D19" s="118">
        <f t="shared" si="1"/>
        <v>5.3533024895018625E-3</v>
      </c>
      <c r="E19" s="118">
        <f t="shared" si="1"/>
        <v>4.7498703729618877E-3</v>
      </c>
      <c r="F19" s="118">
        <f t="shared" si="1"/>
        <v>4.0036263106391426E-3</v>
      </c>
      <c r="G19" s="118">
        <f t="shared" si="1"/>
        <v>2.9655494188270772E-3</v>
      </c>
      <c r="H19" s="118">
        <f t="shared" si="1"/>
        <v>2.1671329911012605E-3</v>
      </c>
      <c r="I19" s="118">
        <f t="shared" si="1"/>
        <v>1.5530466964437557E-3</v>
      </c>
      <c r="J19" s="118">
        <f t="shared" si="2"/>
        <v>6.9020367857750226E-4</v>
      </c>
      <c r="K19" s="119">
        <f t="shared" si="3"/>
        <v>4.0258933928875114E-4</v>
      </c>
      <c r="L19" s="119">
        <f t="shared" si="4"/>
        <v>2.5878216964437558E-4</v>
      </c>
      <c r="M19" s="119">
        <f t="shared" si="5"/>
        <v>1.7249786785775024E-4</v>
      </c>
      <c r="N19" s="119">
        <f t="shared" si="6"/>
        <v>1.14975E-4</v>
      </c>
    </row>
    <row r="20" spans="1:15" x14ac:dyDescent="0.3">
      <c r="B20" s="124"/>
      <c r="C20" s="125"/>
      <c r="D20" s="125"/>
      <c r="E20" s="125"/>
      <c r="F20" s="125"/>
      <c r="G20" s="125"/>
      <c r="H20" s="125"/>
      <c r="I20" s="125"/>
      <c r="J20" s="125"/>
      <c r="K20" s="125"/>
      <c r="L20" s="125"/>
      <c r="M20" s="125"/>
      <c r="N20" s="125"/>
      <c r="O20" s="125"/>
    </row>
    <row r="22" spans="1:15" x14ac:dyDescent="0.3">
      <c r="A22" s="8" t="s">
        <v>136</v>
      </c>
    </row>
    <row r="23" spans="1:15" x14ac:dyDescent="0.3">
      <c r="B23" s="8">
        <v>5000</v>
      </c>
      <c r="C23" t="s">
        <v>122</v>
      </c>
    </row>
    <row r="24" spans="1:15" x14ac:dyDescent="0.3">
      <c r="B24" s="8">
        <v>10</v>
      </c>
      <c r="C24" t="s">
        <v>123</v>
      </c>
    </row>
    <row r="25" spans="1:15" x14ac:dyDescent="0.3">
      <c r="B25" s="129">
        <v>7.0000000000000007E-2</v>
      </c>
      <c r="C25" t="s">
        <v>124</v>
      </c>
    </row>
    <row r="26" spans="1:15" x14ac:dyDescent="0.3">
      <c r="B26">
        <f>B23*B25</f>
        <v>350.00000000000006</v>
      </c>
      <c r="C26" t="s">
        <v>125</v>
      </c>
    </row>
    <row r="27" spans="1:15" x14ac:dyDescent="0.3">
      <c r="B27" s="128"/>
    </row>
    <row r="28" spans="1:15" x14ac:dyDescent="0.3">
      <c r="B28" s="136">
        <f>M15</f>
        <v>7.5488935677965555E-3</v>
      </c>
      <c r="D28" t="s">
        <v>120</v>
      </c>
      <c r="H28" s="1" t="s">
        <v>119</v>
      </c>
      <c r="I28" s="1"/>
      <c r="J28" s="1"/>
      <c r="K28" s="1"/>
      <c r="L28" s="1"/>
      <c r="M28" s="1"/>
      <c r="N28" s="1"/>
    </row>
    <row r="29" spans="1:15" x14ac:dyDescent="0.3">
      <c r="B29" s="122">
        <v>0.27100000000000002</v>
      </c>
      <c r="D29" t="s">
        <v>114</v>
      </c>
    </row>
    <row r="30" spans="1:15" x14ac:dyDescent="0.3">
      <c r="C30" s="137">
        <f>B28*B29</f>
        <v>2.0457501568728665E-3</v>
      </c>
      <c r="D30" t="s">
        <v>115</v>
      </c>
    </row>
    <row r="31" spans="1:15" x14ac:dyDescent="0.3">
      <c r="B31">
        <v>0.25</v>
      </c>
      <c r="D31" t="s">
        <v>116</v>
      </c>
    </row>
    <row r="32" spans="1:15" x14ac:dyDescent="0.3">
      <c r="C32">
        <v>0.75</v>
      </c>
      <c r="D32" t="s">
        <v>117</v>
      </c>
      <c r="J32" s="1"/>
      <c r="K32" s="1"/>
      <c r="L32" s="1"/>
      <c r="M32" s="1"/>
      <c r="N32" s="1"/>
    </row>
    <row r="33" spans="2:10" x14ac:dyDescent="0.3">
      <c r="C33" s="137">
        <f>C30*C32</f>
        <v>1.53431261765465E-3</v>
      </c>
      <c r="D33" t="s">
        <v>118</v>
      </c>
    </row>
    <row r="34" spans="2:10" x14ac:dyDescent="0.3">
      <c r="B34">
        <v>2</v>
      </c>
      <c r="D34" t="s">
        <v>121</v>
      </c>
    </row>
    <row r="35" spans="2:10" x14ac:dyDescent="0.3">
      <c r="C35">
        <f>B34*C33</f>
        <v>3.0686252353093E-3</v>
      </c>
      <c r="D35" t="s">
        <v>115</v>
      </c>
      <c r="E35" s="1"/>
      <c r="F35" s="1"/>
      <c r="G35" s="1"/>
      <c r="H35" s="1"/>
      <c r="I35" s="1"/>
      <c r="J35" s="1"/>
    </row>
    <row r="37" spans="2:10" x14ac:dyDescent="0.3">
      <c r="B37">
        <f>B26/2</f>
        <v>175.00000000000003</v>
      </c>
      <c r="C37" t="s">
        <v>126</v>
      </c>
      <c r="D37" s="1"/>
    </row>
    <row r="38" spans="2:10" x14ac:dyDescent="0.3">
      <c r="B38">
        <v>49.9</v>
      </c>
      <c r="C38" t="s">
        <v>137</v>
      </c>
    </row>
    <row r="40" spans="2:10" x14ac:dyDescent="0.3">
      <c r="B40" s="151">
        <f>B38/C35</f>
        <v>16261.353594379329</v>
      </c>
      <c r="C40" t="s">
        <v>153</v>
      </c>
    </row>
  </sheetData>
  <sheetProtection password="D35C" sheet="1" objects="1" scenarios="1"/>
  <mergeCells count="2">
    <mergeCell ref="A14:A19"/>
    <mergeCell ref="C12:N1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Notes</vt:lpstr>
      <vt:lpstr>Conflict evaluation</vt:lpstr>
      <vt:lpstr>Actual crash prediction</vt:lpstr>
      <vt:lpstr>'Conflict evaluation'!a_hv0</vt:lpstr>
      <vt:lpstr>'Conflict evaluation'!a_hv100</vt:lpstr>
      <vt:lpstr>'Conflict evaluation'!a_hvcont0</vt:lpstr>
      <vt:lpstr>'Conflict evaluation'!a_hvcont100</vt:lpstr>
      <vt:lpstr>'Conflict evaluation'!a_hvsig0</vt:lpstr>
      <vt:lpstr>'Conflict evaluation'!a_hvsigcont0</vt:lpstr>
      <vt:lpstr>'Conflict evaluation'!a_hvss0</vt:lpstr>
      <vt:lpstr>'Conflict evaluation'!a_hvss100</vt:lpstr>
      <vt:lpstr>'Conflict evaluation'!a_hvsscont0</vt:lpstr>
      <vt:lpstr>'Conflict evaluation'!a_hvsscont100</vt:lpstr>
      <vt:lpstr>'Conflict evaluation'!a_lv0</vt:lpstr>
      <vt:lpstr>'Conflict evaluation'!a_lv100</vt:lpstr>
      <vt:lpstr>'Conflict evaluation'!a_lvcont0</vt:lpstr>
      <vt:lpstr>'Conflict evaluation'!a_lvcont100</vt:lpstr>
      <vt:lpstr>'Conflict evaluation'!a_res0</vt:lpstr>
      <vt:lpstr>'Conflict evaluation'!a_res100</vt:lpstr>
      <vt:lpstr>'Conflict evaluation'!a_rescont0</vt:lpstr>
      <vt:lpstr>'Conflict evaluation'!a_rescont100</vt:lpstr>
      <vt:lpstr>'Conflict evaluation'!a_sig0</vt:lpstr>
      <vt:lpstr>'Conflict evaluation'!a_sigcont0</vt:lpstr>
      <vt:lpstr>'Conflict evaluation'!a_ss0</vt:lpstr>
      <vt:lpstr>'Conflict evaluation'!a_ss100</vt:lpstr>
      <vt:lpstr>'Conflict evaluation'!a_sscont0</vt:lpstr>
      <vt:lpstr>'Conflict evaluation'!a_sscont100</vt:lpstr>
      <vt:lpstr>'Conflict evaluation'!expcyc</vt:lpstr>
      <vt:lpstr>'Conflict evaluation'!expmv</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Fowler</dc:creator>
  <cp:lastModifiedBy>Axel Wilke</cp:lastModifiedBy>
  <cp:lastPrinted>2016-03-03T00:26:06Z</cp:lastPrinted>
  <dcterms:created xsi:type="dcterms:W3CDTF">2014-10-06T03:48:36Z</dcterms:created>
  <dcterms:modified xsi:type="dcterms:W3CDTF">2016-03-16T01:20:51Z</dcterms:modified>
</cp:coreProperties>
</file>