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Desktop\"/>
    </mc:Choice>
  </mc:AlternateContent>
  <xr:revisionPtr revIDLastSave="0" documentId="13_ncr:1_{D24B5217-B8D7-4DAB-9AEF-C049AF548EBA}" xr6:coauthVersionLast="47" xr6:coauthVersionMax="47" xr10:uidLastSave="{00000000-0000-0000-0000-000000000000}"/>
  <workbookProtection workbookAlgorithmName="SHA-512" workbookHashValue="j/cMkRHZWRODLYvcbYKoUxShjuSw4y5BOh9AKFGgwzF9EsIWhrCiubWtwMYGub7Gkb02b883+XE1lYCVF7QlyQ==" workbookSaltValue="Xow3GgdmqkZUQOYrDwnQIw==" workbookSpinCount="100000" lockStructure="1"/>
  <bookViews>
    <workbookView xWindow="-108" yWindow="-108" windowWidth="23256" windowHeight="13896" xr2:uid="{B648C0D2-67EB-4DAB-95A9-43E8E648FE66}"/>
  </bookViews>
  <sheets>
    <sheet name="Tool" sheetId="2" r:id="rId1"/>
    <sheet name="User Information" sheetId="10" r:id="rId2"/>
    <sheet name="Parameter values" sheetId="3" state="hidden" r:id="rId3"/>
    <sheet name="Counterfactual" sheetId="7" state="hidden" r:id="rId4"/>
    <sheet name="Option" sheetId="9" state="hidden" r:id="rId5"/>
    <sheet name="Changes" sheetId="11" state="hidden" r:id="rId6"/>
  </sheets>
  <definedNames>
    <definedName name="_sp111">#REF!</definedName>
    <definedName name="_sp112">#REF!</definedName>
    <definedName name="_sp1131">#REF!</definedName>
    <definedName name="_sp1132">#REF!</definedName>
    <definedName name="_sp1133">#REF!</definedName>
    <definedName name="_sp114">#REF!</definedName>
    <definedName name="_sp115">#REF!</definedName>
    <definedName name="_sp116">#REF!</definedName>
    <definedName name="_sp117">#REF!</definedName>
    <definedName name="_sp118">#REF!</definedName>
    <definedName name="_sp31">#REF!</definedName>
    <definedName name="_sp32">#REF!</definedName>
    <definedName name="_sp331">#REF!</definedName>
    <definedName name="_sp332">#REF!</definedName>
    <definedName name="_sp333">#REF!</definedName>
    <definedName name="_sp34">#REF!</definedName>
    <definedName name="_sp35">#REF!</definedName>
    <definedName name="_sp36">#REF!</definedName>
    <definedName name="_sp37">#REF!</definedName>
    <definedName name="OG">#REF!</definedName>
  </definedName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 l="1"/>
  <c r="E11" i="2"/>
  <c r="E10" i="2"/>
  <c r="E9" i="2"/>
  <c r="E8" i="2"/>
  <c r="B6" i="7" l="1"/>
  <c r="F23" i="9"/>
  <c r="F24" i="9" s="1"/>
  <c r="E23" i="9"/>
  <c r="E24" i="9" s="1"/>
  <c r="D23" i="9"/>
  <c r="D25" i="9" s="1"/>
  <c r="C23" i="9"/>
  <c r="C25" i="9" s="1"/>
  <c r="B23" i="9"/>
  <c r="B25" i="9" s="1"/>
  <c r="C21" i="7"/>
  <c r="C23" i="7" s="1"/>
  <c r="D21" i="7"/>
  <c r="D22" i="7" s="1"/>
  <c r="E21" i="7"/>
  <c r="E22" i="7" s="1"/>
  <c r="F21" i="7"/>
  <c r="F22" i="7" s="1"/>
  <c r="B21" i="7"/>
  <c r="B8" i="7"/>
  <c r="B9" i="7"/>
  <c r="B11" i="7"/>
  <c r="B17" i="7" s="1"/>
  <c r="B10" i="7"/>
  <c r="B16" i="7" s="1"/>
  <c r="B22" i="7" l="1"/>
  <c r="B24" i="7" s="1"/>
  <c r="C16" i="7"/>
  <c r="D16" i="7" s="1"/>
  <c r="E16" i="7" s="1"/>
  <c r="F16" i="7" s="1"/>
  <c r="C17" i="7"/>
  <c r="D17" i="7" s="1"/>
  <c r="E17" i="7" s="1"/>
  <c r="F17" i="7" s="1"/>
  <c r="B6" i="9"/>
  <c r="B19" i="7"/>
  <c r="F24" i="7"/>
  <c r="D24" i="7"/>
  <c r="E24" i="7"/>
  <c r="B7" i="7"/>
  <c r="B20" i="7" s="1"/>
  <c r="D24" i="9"/>
  <c r="E23" i="7"/>
  <c r="C22" i="7"/>
  <c r="F23" i="7"/>
  <c r="B24" i="9"/>
  <c r="C24" i="9"/>
  <c r="D23" i="7"/>
  <c r="B23" i="7"/>
  <c r="F25" i="9"/>
  <c r="E25" i="9"/>
  <c r="B12" i="7"/>
  <c r="B14" i="7" s="1"/>
  <c r="B13" i="7"/>
  <c r="B15" i="7" s="1"/>
  <c r="B6" i="11" l="1"/>
  <c r="G6" i="11" s="1"/>
  <c r="B21" i="9"/>
  <c r="B7" i="9"/>
  <c r="B22" i="9" s="1"/>
  <c r="B8" i="9"/>
  <c r="B9" i="9"/>
  <c r="B10" i="9"/>
  <c r="C10" i="9"/>
  <c r="E10" i="9"/>
  <c r="D10" i="9"/>
  <c r="C11" i="9"/>
  <c r="F10" i="9"/>
  <c r="C26" i="9"/>
  <c r="D11" i="9"/>
  <c r="E11" i="9"/>
  <c r="F26" i="9"/>
  <c r="F16" i="11" s="1"/>
  <c r="E26" i="9"/>
  <c r="E16" i="11" s="1"/>
  <c r="F11" i="9"/>
  <c r="B11" i="9"/>
  <c r="E25" i="7"/>
  <c r="D25" i="7"/>
  <c r="D26" i="7" s="1"/>
  <c r="B26" i="9"/>
  <c r="B16" i="11" s="1"/>
  <c r="D26" i="9"/>
  <c r="D16" i="11" s="1"/>
  <c r="F25" i="7"/>
  <c r="F26" i="7" s="1"/>
  <c r="C24" i="7"/>
  <c r="B25" i="7"/>
  <c r="C25" i="7"/>
  <c r="C15" i="7"/>
  <c r="C14" i="7"/>
  <c r="B15" i="11" l="1"/>
  <c r="G15" i="11" s="1"/>
  <c r="B14" i="11"/>
  <c r="G14" i="11" s="1"/>
  <c r="C16" i="11"/>
  <c r="E27" i="9"/>
  <c r="E17" i="11" s="1"/>
  <c r="B7" i="11"/>
  <c r="G7" i="11" s="1"/>
  <c r="G8" i="11" s="1"/>
  <c r="E4" i="2" s="1"/>
  <c r="B13" i="9"/>
  <c r="B17" i="9" s="1"/>
  <c r="B10" i="11" s="1"/>
  <c r="F14" i="9"/>
  <c r="B26" i="7"/>
  <c r="F15" i="9"/>
  <c r="F27" i="9"/>
  <c r="D15" i="9"/>
  <c r="D19" i="9" s="1"/>
  <c r="D12" i="11" s="1"/>
  <c r="B14" i="9"/>
  <c r="B18" i="9" s="1"/>
  <c r="B11" i="11" s="1"/>
  <c r="C15" i="9"/>
  <c r="C19" i="9" s="1"/>
  <c r="C12" i="11" s="1"/>
  <c r="B15" i="9"/>
  <c r="B19" i="9" s="1"/>
  <c r="B12" i="11" s="1"/>
  <c r="C14" i="9"/>
  <c r="C18" i="9" s="1"/>
  <c r="C11" i="11" s="1"/>
  <c r="C27" i="9"/>
  <c r="C17" i="11" s="1"/>
  <c r="D27" i="9"/>
  <c r="B12" i="9"/>
  <c r="B16" i="9" s="1"/>
  <c r="B9" i="11" s="1"/>
  <c r="B27" i="9"/>
  <c r="E14" i="9"/>
  <c r="D14" i="9"/>
  <c r="D18" i="9" s="1"/>
  <c r="D11" i="11" s="1"/>
  <c r="E15" i="9"/>
  <c r="C8" i="9"/>
  <c r="C9" i="9"/>
  <c r="C13" i="9"/>
  <c r="C12" i="9"/>
  <c r="D14" i="7"/>
  <c r="D15" i="7"/>
  <c r="C26" i="7"/>
  <c r="C28" i="9" l="1"/>
  <c r="C15" i="11"/>
  <c r="D15" i="11" s="1"/>
  <c r="E15" i="11" s="1"/>
  <c r="F15" i="11" s="1"/>
  <c r="E6" i="2" s="1"/>
  <c r="D28" i="9"/>
  <c r="D17" i="11"/>
  <c r="D18" i="11" s="1"/>
  <c r="F28" i="9"/>
  <c r="F17" i="11"/>
  <c r="F18" i="11" s="1"/>
  <c r="B28" i="9"/>
  <c r="B17" i="11"/>
  <c r="B18" i="11" s="1"/>
  <c r="C18" i="11"/>
  <c r="E18" i="11"/>
  <c r="D8" i="9"/>
  <c r="D12" i="9"/>
  <c r="D9" i="9"/>
  <c r="D13" i="9"/>
  <c r="E15" i="7"/>
  <c r="E14" i="7"/>
  <c r="C17" i="9"/>
  <c r="C10" i="11" s="1"/>
  <c r="C16" i="9"/>
  <c r="C9" i="11" s="1"/>
  <c r="G18" i="11" l="1"/>
  <c r="E7" i="2" s="1"/>
  <c r="E5" i="2"/>
  <c r="E8" i="9"/>
  <c r="E12" i="9"/>
  <c r="E9" i="9"/>
  <c r="E13" i="9"/>
  <c r="F14" i="7"/>
  <c r="F15" i="7"/>
  <c r="D17" i="9"/>
  <c r="D10" i="11" s="1"/>
  <c r="D16" i="9"/>
  <c r="D9" i="11" s="1"/>
  <c r="F8" i="9" l="1"/>
  <c r="F12" i="9"/>
  <c r="F9" i="9"/>
  <c r="F13" i="9"/>
  <c r="E16" i="9" l="1"/>
  <c r="E9" i="11" s="1"/>
  <c r="E17" i="9"/>
  <c r="E10" i="11" s="1"/>
  <c r="F17" i="9" l="1"/>
  <c r="F10" i="11" s="1"/>
  <c r="G10" i="11" s="1"/>
  <c r="E13" i="2" s="1"/>
  <c r="E18" i="9"/>
  <c r="E11" i="11" s="1"/>
  <c r="F16" i="9"/>
  <c r="F9" i="11" s="1"/>
  <c r="G9" i="11" s="1"/>
  <c r="E12" i="2" s="1"/>
  <c r="F18" i="9" l="1"/>
  <c r="F11" i="11" s="1"/>
  <c r="G11" i="11" s="1"/>
  <c r="E14" i="2" s="1"/>
  <c r="E19" i="9"/>
  <c r="E12" i="11" s="1"/>
  <c r="F19" i="9" l="1"/>
  <c r="F12" i="11" s="1"/>
  <c r="G12" i="11" s="1"/>
  <c r="E15" i="2" s="1"/>
  <c r="E26" i="7" l="1"/>
  <c r="E28" i="9"/>
</calcChain>
</file>

<file path=xl/sharedStrings.xml><?xml version="1.0" encoding="utf-8"?>
<sst xmlns="http://schemas.openxmlformats.org/spreadsheetml/2006/main" count="189" uniqueCount="157">
  <si>
    <t>Distance (km)</t>
  </si>
  <si>
    <t>Travel time</t>
  </si>
  <si>
    <t>Urban</t>
  </si>
  <si>
    <t>Rural</t>
  </si>
  <si>
    <t>Light vehicle fleet</t>
  </si>
  <si>
    <t>Heavy vehicle fleet</t>
  </si>
  <si>
    <t>Speed</t>
  </si>
  <si>
    <t>Mixed</t>
  </si>
  <si>
    <t>Ratio of fatal to serious injury crashes - all movements</t>
  </si>
  <si>
    <t>30-50km/h</t>
  </si>
  <si>
    <t>60-70km/h</t>
  </si>
  <si>
    <t>80-110km/h</t>
  </si>
  <si>
    <t>Fatal/(Fatal+Serious)</t>
  </si>
  <si>
    <t>Serious/(Fatal+Serious)</t>
  </si>
  <si>
    <t>MBCM Tables A23-25</t>
  </si>
  <si>
    <t>Factors to convert from reported to actual crashes</t>
  </si>
  <si>
    <t>Fatal</t>
  </si>
  <si>
    <t>Minor inj</t>
  </si>
  <si>
    <t>Non injury</t>
  </si>
  <si>
    <t>Serious inj</t>
  </si>
  <si>
    <t>MBCM Table A26-27</t>
  </si>
  <si>
    <t>MBCM Table A47</t>
  </si>
  <si>
    <t>Elvik's Exponential Model coefficients</t>
  </si>
  <si>
    <t>Fatal crash</t>
  </si>
  <si>
    <t>Serious injury crash</t>
  </si>
  <si>
    <t>Minor injury crash</t>
  </si>
  <si>
    <t>Non injury crash</t>
  </si>
  <si>
    <t>MBCM "Effect of speed on crash risk"</t>
  </si>
  <si>
    <t>Crashes</t>
  </si>
  <si>
    <t>Crash trend adjustment factors</t>
  </si>
  <si>
    <r>
      <rPr>
        <b/>
        <sz val="12"/>
        <color theme="1"/>
        <rFont val="Calibri"/>
        <family val="2"/>
      </rPr>
      <t>≤</t>
    </r>
    <r>
      <rPr>
        <b/>
        <sz val="12"/>
        <color theme="1"/>
        <rFont val="Lucida Sans"/>
        <family val="2"/>
      </rPr>
      <t>60km/h</t>
    </r>
  </si>
  <si>
    <r>
      <rPr>
        <b/>
        <sz val="12"/>
        <color theme="1"/>
        <rFont val="Calibri"/>
        <family val="2"/>
      </rPr>
      <t>≥</t>
    </r>
    <r>
      <rPr>
        <b/>
        <sz val="12"/>
        <color theme="1"/>
        <rFont val="Lucida Sans"/>
        <family val="2"/>
      </rPr>
      <t>70km/h</t>
    </r>
  </si>
  <si>
    <t>Traffic growth rate (%)</t>
  </si>
  <si>
    <t>MBCM Table A21</t>
  </si>
  <si>
    <t>Average traffic composition (%)</t>
  </si>
  <si>
    <t>Mixed equals average</t>
  </si>
  <si>
    <t>Route/Section name</t>
  </si>
  <si>
    <t>Mean speed estimation factor</t>
  </si>
  <si>
    <t>MBCM "Calculation of mean speed"</t>
  </si>
  <si>
    <t>Fatal adjusted for traffic growth</t>
  </si>
  <si>
    <t>Serious injury adjusted for traffic growth</t>
  </si>
  <si>
    <t>Minor injury adjusted for traffic growth</t>
  </si>
  <si>
    <t>Non injury adjusted for traffic growth</t>
  </si>
  <si>
    <t>Fatal adjusted for small sample</t>
  </si>
  <si>
    <t>Serious adjusted for small sample</t>
  </si>
  <si>
    <t>Average Fatal</t>
  </si>
  <si>
    <t>Average Serious injury adjusted for underreporting</t>
  </si>
  <si>
    <t>Average Minor injury adjusted for underreporting</t>
  </si>
  <si>
    <t>Average Non injury adjusted for underreporting</t>
  </si>
  <si>
    <t>Total KM travelled</t>
  </si>
  <si>
    <t>Heavy fleet KM travelled</t>
  </si>
  <si>
    <t>Light fleet travel time (hours)</t>
  </si>
  <si>
    <t>Heavy fleet travel time (hours)</t>
  </si>
  <si>
    <t>Total travel time (hours)</t>
  </si>
  <si>
    <t>Annual Average Daily Traffic (AADT)</t>
  </si>
  <si>
    <t>Is crash data from the Crash Analysis System (CAS)?</t>
  </si>
  <si>
    <t>Parameter values - this sheet will be hidden in the final/distributed version</t>
  </si>
  <si>
    <t>Fatal crashes light fleet</t>
  </si>
  <si>
    <t>Serious injury crashes light fleet</t>
  </si>
  <si>
    <t>Minor injury crashes light fleet</t>
  </si>
  <si>
    <t>Non injury crashes light fleet</t>
  </si>
  <si>
    <t>Fatal crashes heavy fleet</t>
  </si>
  <si>
    <t>Serious injury crashes heavy fleet</t>
  </si>
  <si>
    <t>Minor injury crashes heavy fleet</t>
  </si>
  <si>
    <t>Non injury crashes heavy fleet</t>
  </si>
  <si>
    <t>Expected fatal crashes</t>
  </si>
  <si>
    <t>Expected serious injury crashes</t>
  </si>
  <si>
    <t>Expected minor injury crashes</t>
  </si>
  <si>
    <t>Expected non injury crashes</t>
  </si>
  <si>
    <t>Speed change factor</t>
  </si>
  <si>
    <t>Elvik et al (2004) p 93 http://www.trg.dk/elvik/740-2004.pdf</t>
  </si>
  <si>
    <t>Light fleet speed</t>
  </si>
  <si>
    <t>Heavy fleet speed</t>
  </si>
  <si>
    <t>Inputs</t>
  </si>
  <si>
    <t>Outputs</t>
  </si>
  <si>
    <t xml:space="preserve">Historic average number of fatal crashes per year </t>
  </si>
  <si>
    <t xml:space="preserve">Historic average number of serious injury crashes per year </t>
  </si>
  <si>
    <t xml:space="preserve">Historic average number of minor injury crashes per year </t>
  </si>
  <si>
    <t xml:space="preserve">Historic average number of non-injury crashes per year </t>
  </si>
  <si>
    <t>Current posted speed limit (kph)</t>
  </si>
  <si>
    <t>Proposed new posted speed limit (kph)</t>
  </si>
  <si>
    <t>Expected annual traffic growth (0-7%)</t>
  </si>
  <si>
    <t>Implementation cost ($m)</t>
  </si>
  <si>
    <t>Years of crash data (maximum 5)</t>
  </si>
  <si>
    <t>User Information</t>
  </si>
  <si>
    <t>Purpose</t>
  </si>
  <si>
    <t>Assumptions</t>
  </si>
  <si>
    <t>Limitations</t>
  </si>
  <si>
    <t>Counterfactual</t>
  </si>
  <si>
    <t>Option</t>
  </si>
  <si>
    <t>Changes</t>
  </si>
  <si>
    <t>This tool should not be used for any purpose other than that stated above.</t>
  </si>
  <si>
    <t>This tool only considers the impact of speed limit changes on crashes and travel time. It does not consider other potential impacts, including but not limited to vehicle operating costs, greenhouse gas emissions, and/or harmful emissions.</t>
  </si>
  <si>
    <t>This tool does not monetise any impact, and as such cannot be used in lieu of a full cost-benefit analysis for investment purposes.</t>
  </si>
  <si>
    <t>Urban or Rural</t>
  </si>
  <si>
    <t>Questions</t>
  </si>
  <si>
    <t>Fatal crashes during data period</t>
  </si>
  <si>
    <t>Serious injury crashes during data period</t>
  </si>
  <si>
    <t>Minor injury crashes during data period</t>
  </si>
  <si>
    <t>Non-injury crashes during data period</t>
  </si>
  <si>
    <t xml:space="preserve">This tool estimates changes (in travel time and the number and severity of crashes) by comparing a predicted future state under the proposed speed limit (the "option") to another predicted future state under the current posted speed limit (the "counterfactual"). </t>
  </si>
  <si>
    <t>Key parameter values applied in this tool include:</t>
  </si>
  <si>
    <t xml:space="preserve">The factor to multiply by the posted speed limit to obtain mean travel speed, when observed mean speeds are unavailable. </t>
  </si>
  <si>
    <t>The factor to multiply by the number of serious injury crashes in CAS to account for known underreporting.</t>
  </si>
  <si>
    <t>The factor to multiply by the number of minor injury crashes in CAS to account for known underreporting.</t>
  </si>
  <si>
    <t>The factor to multiply by the number of non-injury crashes in CAS to account for known underreporting.</t>
  </si>
  <si>
    <t>The assumed change in mean vehicle speed from a 10kph change in the posted speed limit in urban areas.</t>
  </si>
  <si>
    <t>The assumed ratio of fatal/(fatal+serious injury) crashes in 30-50kph areas when there is &lt;5 years of historic crash data.</t>
  </si>
  <si>
    <t>The assumed ratio of fatal/(fatal+serious injury) crashes in 60-70kph areas when there is &lt;5 years of historic crash data.</t>
  </si>
  <si>
    <t>The assumed ratio of fatal/(fatal+serious injury) crashes in 80-110kph areas when there is &lt;5 years of historic crash data.</t>
  </si>
  <si>
    <t>The coefficient for fatal crashes in Elvik's exponential model.</t>
  </si>
  <si>
    <t>The coefficient for serious injury crashes in Elvik's exponential model.</t>
  </si>
  <si>
    <t>The coefficient for minor injury crashes in Elvik's exponential model.</t>
  </si>
  <si>
    <t>The coefficient for non-injury crashes in Elvik's exponential model.</t>
  </si>
  <si>
    <t>The proportion of traffic assumed to be light vehicles in urban areas.</t>
  </si>
  <si>
    <t>The proportion of traffic assumed to be light vehicles in rural areas.</t>
  </si>
  <si>
    <t>The proportion of traffic assumed to be light vehicles in mixed urban-rural areas.</t>
  </si>
  <si>
    <t>The assumed change in mean vehicle speed from a 10kph change in the posted speed limit in mixed urban-rural areas.</t>
  </si>
  <si>
    <t>The assumed change in mean vehicle speed from a 10kph change in the posted speed limit in rural areas.</t>
  </si>
  <si>
    <t>The crash trend adjustment factor with 0% traffic growth in ≤60kph areas.</t>
  </si>
  <si>
    <t>The crash trend adjustment factor with 1% traffic growth in ≤60kph areas.</t>
  </si>
  <si>
    <t>The crash trend adjustment factor with 2% traffic growth in ≤60kph areas.</t>
  </si>
  <si>
    <t>The crash trend adjustment factor with 3% traffic growth in ≤60kph areas.</t>
  </si>
  <si>
    <t>The crash trend adjustment factor with 4% traffic growth in ≤60kph areas.</t>
  </si>
  <si>
    <t>The crash trend adjustment factor with 5% traffic growth in ≤60kph areas.</t>
  </si>
  <si>
    <t>The crash trend adjustment factor with 6% traffic growth in ≤60kph areas.</t>
  </si>
  <si>
    <t>The crash trend adjustment factor with 7% traffic growth in ≤60kph areas.</t>
  </si>
  <si>
    <t>The crash trend adjustment factor with 0% traffic growth in ≥70kph areas.</t>
  </si>
  <si>
    <t>The crash trend adjustment factor with 1% traffic growth in ≥70kph areas.</t>
  </si>
  <si>
    <t>The crash trend adjustment factor with 2% traffic growth in ≥70kph areas.</t>
  </si>
  <si>
    <t>The crash trend adjustment factor with 3% traffic growth in ≥70kph areas.</t>
  </si>
  <si>
    <t>The crash trend adjustment factor with 4% traffic growth in ≥70kph areas.</t>
  </si>
  <si>
    <t>The crash trend adjustment factor with 5% traffic growth in ≥70kph areas.</t>
  </si>
  <si>
    <t>The crash trend adjustment factor with 6% traffic growth in ≥70kph areas.</t>
  </si>
  <si>
    <t>The crash trend adjustment factor with 7% traffic growth in ≥70kph areas.</t>
  </si>
  <si>
    <t>Implementation cost</t>
  </si>
  <si>
    <t>Average</t>
  </si>
  <si>
    <r>
      <t>Increase/</t>
    </r>
    <r>
      <rPr>
        <sz val="12"/>
        <color rgb="FFFF0000"/>
        <rFont val="Lucida Sans"/>
        <family val="2"/>
      </rPr>
      <t>Decrease</t>
    </r>
    <r>
      <rPr>
        <sz val="12"/>
        <color theme="1"/>
        <rFont val="Lucida Sans"/>
        <family val="2"/>
      </rPr>
      <t xml:space="preserve"> in expected number of fatal crashes per year</t>
    </r>
  </si>
  <si>
    <r>
      <t>Increase/</t>
    </r>
    <r>
      <rPr>
        <sz val="12"/>
        <color rgb="FFFF0000"/>
        <rFont val="Lucida Sans"/>
        <family val="2"/>
      </rPr>
      <t>Decrease</t>
    </r>
    <r>
      <rPr>
        <sz val="12"/>
        <color theme="1"/>
        <rFont val="Lucida Sans"/>
        <family val="2"/>
      </rPr>
      <t xml:space="preserve"> in expected number of serious injury crashes per year</t>
    </r>
  </si>
  <si>
    <r>
      <t>Increase/</t>
    </r>
    <r>
      <rPr>
        <sz val="12"/>
        <color rgb="FFFF0000"/>
        <rFont val="Lucida Sans"/>
        <family val="2"/>
      </rPr>
      <t>Decrease</t>
    </r>
    <r>
      <rPr>
        <sz val="12"/>
        <color theme="1"/>
        <rFont val="Lucida Sans"/>
        <family val="2"/>
      </rPr>
      <t xml:space="preserve"> in expected number of minor injury crashes per year</t>
    </r>
  </si>
  <si>
    <r>
      <t>Increase/</t>
    </r>
    <r>
      <rPr>
        <sz val="12"/>
        <color rgb="FFFF0000"/>
        <rFont val="Lucida Sans"/>
        <family val="2"/>
      </rPr>
      <t>Decrease</t>
    </r>
    <r>
      <rPr>
        <sz val="12"/>
        <color theme="1"/>
        <rFont val="Lucida Sans"/>
        <family val="2"/>
      </rPr>
      <t xml:space="preserve"> in expected number of non-injury crashes per year</t>
    </r>
  </si>
  <si>
    <r>
      <t>Increase/</t>
    </r>
    <r>
      <rPr>
        <sz val="12"/>
        <color rgb="FFFF0000"/>
        <rFont val="Lucida Sans"/>
        <family val="2"/>
      </rPr>
      <t>Decrease</t>
    </r>
    <r>
      <rPr>
        <sz val="12"/>
        <color theme="1"/>
        <rFont val="Lucida Sans"/>
        <family val="2"/>
      </rPr>
      <t xml:space="preserve"> in expected mean vehicle operating speed (kph)</t>
    </r>
  </si>
  <si>
    <t>Average light vehicle trip time (minutes)</t>
  </si>
  <si>
    <t>Average heavy vehicle trip time (minutes)</t>
  </si>
  <si>
    <r>
      <t>Increase/</t>
    </r>
    <r>
      <rPr>
        <sz val="12"/>
        <color rgb="FFFF0000"/>
        <rFont val="Lucida Sans"/>
        <family val="2"/>
      </rPr>
      <t>Decrease</t>
    </r>
    <r>
      <rPr>
        <sz val="12"/>
        <color theme="1"/>
        <rFont val="Lucida Sans"/>
        <family val="2"/>
      </rPr>
      <t xml:space="preserve"> in average individual heavy vehicle trip time (minutes.seconds)</t>
    </r>
  </si>
  <si>
    <r>
      <t>Increase/</t>
    </r>
    <r>
      <rPr>
        <sz val="12"/>
        <color rgb="FFFF0000"/>
        <rFont val="Lucida Sans"/>
        <family val="2"/>
      </rPr>
      <t>Decrease</t>
    </r>
    <r>
      <rPr>
        <sz val="12"/>
        <color theme="1"/>
        <rFont val="Lucida Sans"/>
        <family val="2"/>
      </rPr>
      <t xml:space="preserve"> in average individual light vehicle trip time (minutes.seconds)</t>
    </r>
  </si>
  <si>
    <t>The assumed maximum average speed of heavy vehicles regardless of the posted speed limit (since they are legally limited to 90kph)</t>
  </si>
  <si>
    <r>
      <t>Increase/</t>
    </r>
    <r>
      <rPr>
        <sz val="12"/>
        <color rgb="FFFF0000"/>
        <rFont val="Lucida Sans"/>
        <family val="2"/>
      </rPr>
      <t>Decrease</t>
    </r>
    <r>
      <rPr>
        <sz val="12"/>
        <color theme="1"/>
        <rFont val="Lucida Sans"/>
        <family val="2"/>
      </rPr>
      <t xml:space="preserve"> in average annual aggregate travel time (hours)</t>
    </r>
  </si>
  <si>
    <t>(Converted to minutes.seconds)</t>
  </si>
  <si>
    <t>For more information, or if you have any questions about this tool or the methods and assumptions used, please email: speedmanagementprogramme@nzta.govt.nz</t>
  </si>
  <si>
    <t>Light fleet KM travelled</t>
  </si>
  <si>
    <t>Index</t>
  </si>
  <si>
    <t>Current mean travel speed (kph) - [only if known]</t>
  </si>
  <si>
    <t>This tool adheres to the modelling methods and parameters set out in NZTA's Monetised Benefits and Costs Manual (MBCM).</t>
  </si>
  <si>
    <t>This tool only considers up to and including five (5) years of historic crash data, which may be insufficient to adequately identify any long-term trends. This tool also only forecasts five (5) years of expected future impacts, which may be insufficient to adequately predict long-term future impacts of changes in speed limits.</t>
  </si>
  <si>
    <t>This tool was jointly developed by the NZ Transport Agency and the Ministry of Transport to assist in the fulfilment of the evidentiary requirements of the cost benefit disclosure statement as outlined in the Land Transport Rule: Setting of Speed Limits 2024.</t>
  </si>
  <si>
    <t>Optional Cost Impact Analysis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</si>
</sst>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
    <numFmt numFmtId="165" formatCode="0.0"/>
    <numFmt numFmtId="166" formatCode="#,##0.0;[Red]#,##0.0"/>
    <numFmt numFmtId="167" formatCode="#,##0;[Red]#,##0"/>
    <numFmt numFmtId="168" formatCode="0.00;[Red]0.00"/>
  </numFmts>
  <fonts count="17" x14ac:knownFonts="1">
    <font>
      <sz val="11"/>
      <color theme="1"/>
      <name val="Calibri"/>
      <family val="2"/>
      <scheme val="minor"/>
    </font>
    <font>
      <sz val="10"/>
      <color theme="1"/>
      <name val="Lucida Sans"/>
      <family val="2"/>
    </font>
    <font>
      <sz val="12"/>
      <color theme="1"/>
      <name val="Lucida Sans"/>
      <family val="2"/>
    </font>
    <font>
      <b/>
      <sz val="12"/>
      <color theme="1"/>
      <name val="Lucida Sans"/>
      <family val="2"/>
    </font>
    <font>
      <b/>
      <sz val="12"/>
      <color theme="0"/>
      <name val="Lucida Sans"/>
      <family val="2"/>
    </font>
    <font>
      <i/>
      <sz val="12"/>
      <color theme="1"/>
      <name val="Lucida Sans"/>
      <family val="2"/>
    </font>
    <font>
      <b/>
      <sz val="16"/>
      <color rgb="FF0070C0"/>
      <name val="Lucida Sans"/>
      <family val="2"/>
    </font>
    <font>
      <sz val="11"/>
      <color theme="1"/>
      <name val="Calibri"/>
      <family val="2"/>
      <scheme val="minor"/>
    </font>
    <font>
      <b/>
      <sz val="12"/>
      <color theme="1"/>
      <name val="Calibri"/>
      <family val="2"/>
    </font>
    <font>
      <sz val="12"/>
      <name val="Lucida Sans"/>
      <family val="2"/>
    </font>
    <font>
      <sz val="12"/>
      <color rgb="FFFF0000"/>
      <name val="Lucida Sans"/>
      <family val="2"/>
    </font>
    <font>
      <b/>
      <sz val="12"/>
      <name val="Lucida Sans"/>
      <family val="2"/>
    </font>
    <font>
      <sz val="12"/>
      <color rgb="FF00B050"/>
      <name val="Lucida Sans"/>
      <family val="2"/>
    </font>
    <font>
      <sz val="12"/>
      <color theme="1"/>
      <name val="Calibri"/>
      <family val="2"/>
      <scheme val="minor"/>
    </font>
    <font>
      <sz val="10"/>
      <name val="Arial"/>
      <family val="2"/>
    </font>
    <font>
      <sz val="8"/>
      <name val="Verdana"/>
      <family val="2"/>
    </font>
    <font>
      <u/>
      <sz val="10"/>
      <color indexed="12"/>
      <name val="Arial"/>
      <family val="2"/>
    </font>
  </fonts>
  <fills count="7">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92D05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s>
  <cellStyleXfs count="11">
    <xf numFmtId="0" fontId="0" fillId="0" borderId="0"/>
    <xf numFmtId="0" fontId="1" fillId="0" borderId="0"/>
    <xf numFmtId="9" fontId="7" fillId="0" borderId="0" applyFont="0" applyFill="0" applyBorder="0" applyAlignment="0" applyProtection="0"/>
    <xf numFmtId="0" fontId="13" fillId="0" borderId="0"/>
    <xf numFmtId="0" fontId="13" fillId="0" borderId="0"/>
    <xf numFmtId="0" fontId="14" fillId="0" borderId="0"/>
    <xf numFmtId="44" fontId="13" fillId="0" borderId="0" applyFont="0" applyFill="0" applyBorder="0" applyAlignment="0" applyProtection="0"/>
    <xf numFmtId="43" fontId="13" fillId="0" borderId="0" applyFont="0" applyFill="0" applyBorder="0" applyAlignment="0" applyProtection="0"/>
    <xf numFmtId="0" fontId="16" fillId="0" borderId="0" applyNumberFormat="0" applyFill="0" applyBorder="0" applyAlignment="0" applyProtection="0">
      <alignment vertical="top"/>
      <protection locked="0"/>
    </xf>
    <xf numFmtId="9" fontId="13" fillId="0" borderId="0" applyFont="0" applyFill="0" applyBorder="0" applyAlignment="0" applyProtection="0"/>
    <xf numFmtId="0" fontId="15" fillId="6" borderId="17">
      <alignment vertical="center"/>
    </xf>
  </cellStyleXfs>
  <cellXfs count="119">
    <xf numFmtId="0" fontId="0" fillId="0" borderId="0" xfId="0"/>
    <xf numFmtId="0" fontId="2" fillId="0" borderId="0" xfId="1" applyFont="1"/>
    <xf numFmtId="0" fontId="3" fillId="0" borderId="0" xfId="1" applyFont="1"/>
    <xf numFmtId="0" fontId="2" fillId="0" borderId="4" xfId="1" applyFont="1" applyBorder="1"/>
    <xf numFmtId="0" fontId="2" fillId="0" borderId="0" xfId="1" applyFont="1" applyBorder="1"/>
    <xf numFmtId="0" fontId="2" fillId="0" borderId="5" xfId="1" applyFont="1" applyBorder="1"/>
    <xf numFmtId="0" fontId="2" fillId="0" borderId="6" xfId="1" applyFont="1" applyBorder="1"/>
    <xf numFmtId="0" fontId="2" fillId="0" borderId="7" xfId="1" applyFont="1" applyBorder="1"/>
    <xf numFmtId="0" fontId="2" fillId="0" borderId="8" xfId="1" applyFont="1" applyBorder="1"/>
    <xf numFmtId="0" fontId="3" fillId="0" borderId="0" xfId="1" applyFont="1" applyBorder="1"/>
    <xf numFmtId="0" fontId="3" fillId="0" borderId="5" xfId="1" applyFont="1" applyBorder="1"/>
    <xf numFmtId="0" fontId="2" fillId="0" borderId="0" xfId="1" applyFont="1" applyBorder="1" applyAlignment="1">
      <alignment horizontal="right"/>
    </xf>
    <xf numFmtId="4" fontId="2" fillId="0" borderId="0" xfId="1" applyNumberFormat="1" applyFont="1" applyBorder="1"/>
    <xf numFmtId="0" fontId="3" fillId="0" borderId="0" xfId="1" applyFont="1" applyBorder="1" applyAlignment="1">
      <alignment horizontal="right"/>
    </xf>
    <xf numFmtId="0" fontId="3" fillId="0" borderId="5" xfId="1" applyFont="1" applyBorder="1" applyAlignment="1">
      <alignment horizontal="right"/>
    </xf>
    <xf numFmtId="0" fontId="3" fillId="0" borderId="4" xfId="1" applyFont="1" applyBorder="1"/>
    <xf numFmtId="0" fontId="3" fillId="0" borderId="6" xfId="1" applyFont="1" applyBorder="1"/>
    <xf numFmtId="0" fontId="3" fillId="0" borderId="4" xfId="1" applyFont="1" applyBorder="1" applyAlignment="1">
      <alignment horizontal="right"/>
    </xf>
    <xf numFmtId="0" fontId="2" fillId="0" borderId="0" xfId="1" applyFont="1" applyBorder="1" applyAlignment="1">
      <alignment horizontal="right"/>
    </xf>
    <xf numFmtId="0" fontId="2" fillId="0" borderId="7" xfId="1" applyFont="1" applyBorder="1" applyAlignment="1">
      <alignment horizontal="right"/>
    </xf>
    <xf numFmtId="0" fontId="3" fillId="0" borderId="0" xfId="1" applyFont="1" applyBorder="1" applyAlignment="1">
      <alignment horizontal="right"/>
    </xf>
    <xf numFmtId="0" fontId="3" fillId="0" borderId="5" xfId="1" applyFont="1" applyBorder="1" applyAlignment="1">
      <alignment horizontal="right"/>
    </xf>
    <xf numFmtId="0" fontId="5" fillId="0" borderId="0" xfId="1" applyFont="1"/>
    <xf numFmtId="0" fontId="2" fillId="0" borderId="5" xfId="1" applyFont="1" applyBorder="1" applyAlignment="1"/>
    <xf numFmtId="0" fontId="2" fillId="0" borderId="8" xfId="1" applyFont="1" applyBorder="1" applyAlignment="1"/>
    <xf numFmtId="0" fontId="3" fillId="0" borderId="4" xfId="1" applyFont="1" applyBorder="1" applyAlignment="1">
      <alignment horizontal="left"/>
    </xf>
    <xf numFmtId="0" fontId="3" fillId="0" borderId="0" xfId="1" applyFont="1" applyBorder="1" applyAlignment="1">
      <alignment horizontal="left"/>
    </xf>
    <xf numFmtId="0" fontId="3" fillId="0" borderId="6" xfId="1" applyFont="1" applyBorder="1" applyAlignment="1">
      <alignment horizontal="left"/>
    </xf>
    <xf numFmtId="0" fontId="5" fillId="0" borderId="0" xfId="1" applyFont="1" applyBorder="1" applyAlignment="1">
      <alignment horizontal="left"/>
    </xf>
    <xf numFmtId="0" fontId="6" fillId="0" borderId="0" xfId="1" applyFont="1"/>
    <xf numFmtId="0" fontId="4" fillId="2" borderId="0" xfId="1" applyFont="1" applyFill="1"/>
    <xf numFmtId="0" fontId="3" fillId="0" borderId="0" xfId="1" applyFont="1" applyAlignment="1">
      <alignment horizontal="right"/>
    </xf>
    <xf numFmtId="0" fontId="2" fillId="0" borderId="0" xfId="1" applyFont="1" applyBorder="1" applyAlignment="1"/>
    <xf numFmtId="0" fontId="2" fillId="0" borderId="0" xfId="1" applyFont="1" applyBorder="1" applyAlignment="1">
      <alignment horizontal="left"/>
    </xf>
    <xf numFmtId="0" fontId="3" fillId="0" borderId="0" xfId="1" applyFont="1" applyBorder="1" applyAlignment="1"/>
    <xf numFmtId="0" fontId="2" fillId="0" borderId="7" xfId="1" applyFont="1" applyBorder="1" applyAlignment="1">
      <alignment horizontal="left"/>
    </xf>
    <xf numFmtId="0" fontId="2" fillId="0" borderId="7" xfId="1" applyFont="1" applyBorder="1" applyAlignment="1"/>
    <xf numFmtId="4" fontId="3" fillId="0" borderId="0" xfId="1" applyNumberFormat="1" applyFont="1" applyBorder="1" applyAlignment="1">
      <alignment horizontal="right"/>
    </xf>
    <xf numFmtId="0" fontId="2" fillId="0" borderId="9" xfId="1" applyFont="1" applyBorder="1"/>
    <xf numFmtId="0" fontId="2" fillId="0" borderId="11" xfId="1" applyFont="1" applyBorder="1"/>
    <xf numFmtId="2" fontId="2" fillId="0" borderId="0" xfId="1" applyNumberFormat="1" applyFont="1" applyBorder="1" applyAlignment="1">
      <alignment horizontal="right"/>
    </xf>
    <xf numFmtId="2" fontId="5" fillId="0" borderId="0" xfId="1" applyNumberFormat="1" applyFont="1" applyBorder="1" applyAlignment="1">
      <alignment horizontal="left"/>
    </xf>
    <xf numFmtId="0" fontId="2" fillId="0" borderId="12" xfId="1" applyFont="1" applyBorder="1"/>
    <xf numFmtId="0" fontId="2" fillId="0" borderId="0" xfId="1" applyFont="1" applyFill="1"/>
    <xf numFmtId="0" fontId="2" fillId="5" borderId="0" xfId="1" applyFont="1" applyFill="1"/>
    <xf numFmtId="165" fontId="2" fillId="0" borderId="0" xfId="1" applyNumberFormat="1" applyFont="1"/>
    <xf numFmtId="0" fontId="9" fillId="0" borderId="0" xfId="1" applyFont="1" applyFill="1"/>
    <xf numFmtId="37" fontId="9" fillId="0" borderId="0" xfId="1" applyNumberFormat="1" applyFont="1" applyFill="1"/>
    <xf numFmtId="37" fontId="2" fillId="0" borderId="0" xfId="1" applyNumberFormat="1" applyFont="1"/>
    <xf numFmtId="0" fontId="6" fillId="0" borderId="0" xfId="1" applyFont="1" applyAlignment="1"/>
    <xf numFmtId="166" fontId="2" fillId="3" borderId="14" xfId="1" applyNumberFormat="1" applyFont="1" applyFill="1" applyBorder="1" applyAlignment="1">
      <alignment horizontal="right"/>
    </xf>
    <xf numFmtId="164" fontId="2" fillId="0" borderId="4" xfId="1" applyNumberFormat="1" applyFont="1" applyBorder="1" applyAlignment="1">
      <alignment horizontal="center"/>
    </xf>
    <xf numFmtId="164" fontId="2" fillId="0" borderId="0" xfId="1" applyNumberFormat="1" applyFont="1" applyBorder="1" applyAlignment="1">
      <alignment horizontal="center"/>
    </xf>
    <xf numFmtId="164" fontId="5" fillId="0" borderId="0" xfId="1" applyNumberFormat="1" applyFont="1" applyBorder="1" applyAlignment="1">
      <alignment horizontal="left"/>
    </xf>
    <xf numFmtId="2" fontId="2" fillId="0" borderId="8" xfId="1" applyNumberFormat="1" applyFont="1" applyBorder="1" applyAlignment="1">
      <alignment horizontal="right"/>
    </xf>
    <xf numFmtId="0" fontId="4" fillId="0" borderId="0" xfId="1" applyFont="1" applyFill="1" applyAlignment="1">
      <alignment horizontal="left"/>
    </xf>
    <xf numFmtId="0" fontId="11" fillId="0" borderId="0" xfId="1" applyFont="1" applyFill="1" applyAlignment="1">
      <alignment horizontal="left"/>
    </xf>
    <xf numFmtId="0" fontId="9" fillId="0" borderId="0" xfId="1" applyFont="1" applyFill="1" applyAlignment="1">
      <alignment horizontal="left"/>
    </xf>
    <xf numFmtId="2" fontId="9" fillId="0" borderId="0" xfId="1" applyNumberFormat="1" applyFont="1" applyFill="1"/>
    <xf numFmtId="168" fontId="2" fillId="3" borderId="14" xfId="1" applyNumberFormat="1" applyFont="1" applyFill="1" applyBorder="1" applyAlignment="1">
      <alignment horizontal="right"/>
    </xf>
    <xf numFmtId="0" fontId="12" fillId="0" borderId="0" xfId="1" applyFont="1"/>
    <xf numFmtId="0" fontId="2" fillId="0" borderId="0" xfId="1" applyFont="1" applyBorder="1" applyAlignment="1">
      <alignment horizontal="right"/>
    </xf>
    <xf numFmtId="2" fontId="2" fillId="0" borderId="0" xfId="1" applyNumberFormat="1" applyFont="1" applyBorder="1" applyAlignment="1">
      <alignment horizontal="right"/>
    </xf>
    <xf numFmtId="2" fontId="2" fillId="0" borderId="5" xfId="1" applyNumberFormat="1" applyFont="1" applyBorder="1" applyAlignment="1">
      <alignment horizontal="right"/>
    </xf>
    <xf numFmtId="2" fontId="2" fillId="0" borderId="4" xfId="1" applyNumberFormat="1" applyFont="1" applyBorder="1" applyAlignment="1">
      <alignment horizontal="right"/>
    </xf>
    <xf numFmtId="2" fontId="2" fillId="0" borderId="6" xfId="1" applyNumberFormat="1" applyFont="1" applyBorder="1" applyAlignment="1">
      <alignment horizontal="right"/>
    </xf>
    <xf numFmtId="168" fontId="2" fillId="3" borderId="5" xfId="1" applyNumberFormat="1" applyFont="1" applyFill="1" applyBorder="1" applyAlignment="1">
      <alignment horizontal="right"/>
    </xf>
    <xf numFmtId="167" fontId="2" fillId="3" borderId="5" xfId="1" applyNumberFormat="1" applyFont="1" applyFill="1" applyBorder="1" applyAlignment="1">
      <alignment horizontal="right"/>
    </xf>
    <xf numFmtId="0" fontId="2" fillId="0" borderId="9" xfId="1" applyFont="1" applyFill="1" applyBorder="1"/>
    <xf numFmtId="168" fontId="2" fillId="0" borderId="0" xfId="1" applyNumberFormat="1" applyFont="1" applyFill="1" applyBorder="1" applyAlignment="1">
      <alignment horizontal="right"/>
    </xf>
    <xf numFmtId="0" fontId="2" fillId="0" borderId="0" xfId="1" applyFont="1" applyAlignment="1">
      <alignment horizontal="left" vertical="top" wrapText="1"/>
    </xf>
    <xf numFmtId="0" fontId="2" fillId="0" borderId="0" xfId="1" applyFont="1" applyAlignment="1">
      <alignment vertical="top" wrapText="1"/>
    </xf>
    <xf numFmtId="0" fontId="2" fillId="0" borderId="0" xfId="1" applyFont="1" applyAlignment="1">
      <alignment horizontal="left" vertical="top"/>
    </xf>
    <xf numFmtId="0" fontId="2" fillId="0" borderId="0" xfId="1" applyFont="1" applyAlignment="1">
      <alignment horizontal="left"/>
    </xf>
    <xf numFmtId="2" fontId="2" fillId="0" borderId="0" xfId="1" applyNumberFormat="1" applyFont="1" applyAlignment="1">
      <alignment horizontal="left"/>
    </xf>
    <xf numFmtId="0" fontId="2" fillId="3" borderId="13" xfId="1" applyFont="1" applyFill="1" applyBorder="1" applyAlignment="1">
      <alignment horizontal="right"/>
    </xf>
    <xf numFmtId="0" fontId="9" fillId="0" borderId="0" xfId="1" applyFont="1" applyFill="1" applyAlignment="1">
      <alignment horizontal="right"/>
    </xf>
    <xf numFmtId="0" fontId="4" fillId="2" borderId="0" xfId="1" applyFont="1" applyFill="1" applyAlignment="1"/>
    <xf numFmtId="0" fontId="2" fillId="0" borderId="0" xfId="1" applyFont="1" applyAlignment="1">
      <alignment horizontal="right"/>
    </xf>
    <xf numFmtId="165" fontId="3" fillId="0" borderId="0" xfId="1" applyNumberFormat="1" applyFont="1"/>
    <xf numFmtId="37" fontId="3" fillId="0" borderId="0" xfId="1" applyNumberFormat="1" applyFont="1"/>
    <xf numFmtId="2" fontId="11" fillId="0" borderId="0" xfId="1" applyNumberFormat="1" applyFont="1" applyFill="1"/>
    <xf numFmtId="1" fontId="9" fillId="0" borderId="0" xfId="1" applyNumberFormat="1" applyFont="1" applyFill="1"/>
    <xf numFmtId="0" fontId="2" fillId="4" borderId="14" xfId="1" applyFont="1" applyFill="1" applyBorder="1" applyAlignment="1" applyProtection="1">
      <alignment horizontal="right"/>
      <protection locked="0"/>
    </xf>
    <xf numFmtId="0" fontId="2" fillId="4" borderId="5" xfId="1" applyFont="1" applyFill="1" applyBorder="1" applyAlignment="1" applyProtection="1">
      <alignment horizontal="right"/>
      <protection locked="0"/>
    </xf>
    <xf numFmtId="1" fontId="2" fillId="4" borderId="10" xfId="2" applyNumberFormat="1" applyFont="1" applyFill="1" applyBorder="1" applyAlignment="1" applyProtection="1">
      <alignment horizontal="right"/>
      <protection locked="0"/>
    </xf>
    <xf numFmtId="1" fontId="2" fillId="4" borderId="5" xfId="1" applyNumberFormat="1" applyFont="1" applyFill="1" applyBorder="1" applyAlignment="1" applyProtection="1">
      <alignment horizontal="right"/>
      <protection locked="0"/>
    </xf>
    <xf numFmtId="0" fontId="2" fillId="4" borderId="10" xfId="1" applyFont="1" applyFill="1" applyBorder="1" applyAlignment="1" applyProtection="1">
      <alignment horizontal="right"/>
      <protection locked="0"/>
    </xf>
    <xf numFmtId="0" fontId="2" fillId="4" borderId="13" xfId="1" applyFont="1" applyFill="1" applyBorder="1" applyAlignment="1" applyProtection="1">
      <alignment horizontal="right"/>
      <protection locked="0"/>
    </xf>
    <xf numFmtId="168" fontId="2" fillId="3" borderId="5" xfId="1" applyNumberFormat="1" applyFont="1" applyFill="1" applyBorder="1"/>
    <xf numFmtId="166" fontId="2" fillId="3" borderId="5" xfId="1" applyNumberFormat="1" applyFont="1" applyFill="1" applyBorder="1" applyAlignment="1">
      <alignment horizontal="right"/>
    </xf>
    <xf numFmtId="0" fontId="4" fillId="2" borderId="1" xfId="1" applyFont="1" applyFill="1" applyBorder="1" applyAlignment="1">
      <alignment horizontal="center"/>
    </xf>
    <xf numFmtId="0" fontId="4" fillId="2" borderId="3" xfId="1" applyFont="1" applyFill="1" applyBorder="1" applyAlignment="1">
      <alignment horizontal="center"/>
    </xf>
    <xf numFmtId="0" fontId="4" fillId="2" borderId="15" xfId="1" applyFont="1" applyFill="1" applyBorder="1" applyAlignment="1">
      <alignment horizontal="center"/>
    </xf>
    <xf numFmtId="0" fontId="4" fillId="2" borderId="16" xfId="1" applyFont="1" applyFill="1" applyBorder="1" applyAlignment="1">
      <alignment horizontal="center"/>
    </xf>
    <xf numFmtId="0" fontId="2" fillId="0" borderId="0" xfId="1" applyFont="1" applyAlignment="1" applyProtection="1">
      <alignment horizontal="left"/>
      <protection locked="0"/>
    </xf>
    <xf numFmtId="0" fontId="2" fillId="0" borderId="0" xfId="1" applyFont="1" applyAlignment="1">
      <alignment horizontal="left" vertical="top"/>
    </xf>
    <xf numFmtId="0" fontId="6" fillId="0" borderId="0" xfId="1" applyFont="1" applyAlignment="1">
      <alignment horizontal="left"/>
    </xf>
    <xf numFmtId="0" fontId="2" fillId="0" borderId="0" xfId="1" applyFont="1" applyAlignment="1">
      <alignment horizontal="left" vertical="top" wrapText="1"/>
    </xf>
    <xf numFmtId="0" fontId="2" fillId="0" borderId="7" xfId="1" applyFont="1" applyBorder="1" applyAlignment="1">
      <alignment horizontal="right"/>
    </xf>
    <xf numFmtId="0" fontId="2" fillId="0" borderId="8" xfId="1" applyFont="1" applyBorder="1" applyAlignment="1">
      <alignment horizontal="right"/>
    </xf>
    <xf numFmtId="0" fontId="2" fillId="0" borderId="0" xfId="1" applyFont="1" applyBorder="1" applyAlignment="1">
      <alignment horizontal="right"/>
    </xf>
    <xf numFmtId="0" fontId="2" fillId="0" borderId="5" xfId="1" applyFont="1" applyBorder="1" applyAlignment="1">
      <alignment horizontal="right"/>
    </xf>
    <xf numFmtId="0" fontId="3" fillId="0" borderId="4" xfId="1" applyFont="1" applyBorder="1" applyAlignment="1">
      <alignment horizontal="left"/>
    </xf>
    <xf numFmtId="0" fontId="3" fillId="0" borderId="0" xfId="1" applyFont="1" applyBorder="1" applyAlignment="1">
      <alignment horizontal="left"/>
    </xf>
    <xf numFmtId="0" fontId="3" fillId="0" borderId="6" xfId="1" applyFont="1" applyBorder="1" applyAlignment="1">
      <alignment horizontal="left"/>
    </xf>
    <xf numFmtId="0" fontId="3" fillId="0" borderId="7" xfId="1" applyFont="1" applyBorder="1" applyAlignment="1">
      <alignment horizontal="left"/>
    </xf>
    <xf numFmtId="0" fontId="4" fillId="2" borderId="2" xfId="1" applyFont="1" applyFill="1" applyBorder="1" applyAlignment="1">
      <alignment horizontal="center"/>
    </xf>
    <xf numFmtId="2" fontId="4" fillId="2" borderId="1" xfId="1" applyNumberFormat="1" applyFont="1" applyFill="1" applyBorder="1" applyAlignment="1">
      <alignment horizontal="center"/>
    </xf>
    <xf numFmtId="2" fontId="4" fillId="2" borderId="2" xfId="1" applyNumberFormat="1" applyFont="1" applyFill="1" applyBorder="1" applyAlignment="1">
      <alignment horizontal="center"/>
    </xf>
    <xf numFmtId="2" fontId="4" fillId="2" borderId="3" xfId="1" applyNumberFormat="1" applyFont="1" applyFill="1" applyBorder="1" applyAlignment="1">
      <alignment horizontal="center"/>
    </xf>
    <xf numFmtId="164" fontId="2" fillId="0" borderId="6" xfId="1" applyNumberFormat="1" applyFont="1" applyBorder="1" applyAlignment="1">
      <alignment horizontal="center"/>
    </xf>
    <xf numFmtId="164" fontId="2" fillId="0" borderId="7" xfId="1" applyNumberFormat="1" applyFont="1" applyBorder="1" applyAlignment="1">
      <alignment horizontal="center"/>
    </xf>
    <xf numFmtId="164" fontId="2" fillId="0" borderId="8" xfId="1" applyNumberFormat="1" applyFont="1" applyBorder="1" applyAlignment="1">
      <alignment horizontal="center"/>
    </xf>
    <xf numFmtId="164" fontId="4" fillId="2" borderId="1" xfId="1" applyNumberFormat="1" applyFont="1" applyFill="1" applyBorder="1" applyAlignment="1">
      <alignment horizontal="center"/>
    </xf>
    <xf numFmtId="164" fontId="4" fillId="2" borderId="3" xfId="1" applyNumberFormat="1" applyFont="1" applyFill="1" applyBorder="1" applyAlignment="1">
      <alignment horizontal="center"/>
    </xf>
    <xf numFmtId="0" fontId="3" fillId="0" borderId="0" xfId="1" applyFont="1" applyBorder="1" applyAlignment="1">
      <alignment horizontal="right"/>
    </xf>
    <xf numFmtId="0" fontId="3" fillId="0" borderId="5" xfId="1" applyFont="1" applyBorder="1" applyAlignment="1">
      <alignment horizontal="right"/>
    </xf>
    <xf numFmtId="0" fontId="3" fillId="0" borderId="0" xfId="1" applyFont="1" applyBorder="1" applyAlignment="1">
      <alignment horizontal="center"/>
    </xf>
  </cellXfs>
  <cellStyles count="11">
    <cellStyle name="Comma 2" xfId="7" xr:uid="{5F4E9C1B-B5D1-42A3-9B72-6F301DBD369F}"/>
    <cellStyle name="Currency 2" xfId="6" xr:uid="{019322A2-CEBB-4D79-854C-F48E547197FB}"/>
    <cellStyle name="Guide 2" xfId="10" xr:uid="{A4250767-D466-4741-A193-F56800EC2731}"/>
    <cellStyle name="Hyperlink 2" xfId="8" xr:uid="{B6C1D51A-274A-4A47-BCA6-821241E781BC}"/>
    <cellStyle name="Normal" xfId="0" builtinId="0"/>
    <cellStyle name="Normal 2" xfId="1" xr:uid="{0E45D342-6872-4E95-8D40-A9A4E709EC77}"/>
    <cellStyle name="Normal 2 2" xfId="5" xr:uid="{C632D6A3-DA0B-48D2-96ED-4E6CC67DA223}"/>
    <cellStyle name="Normal 3" xfId="3" xr:uid="{46D89E63-9AFF-440E-AE65-5D521F7F99FD}"/>
    <cellStyle name="Normal 4" xfId="4" xr:uid="{92263411-3C20-48BB-BFB2-394356F2FE16}"/>
    <cellStyle name="Percent" xfId="2" builtinId="5"/>
    <cellStyle name="Percent 2" xfId="9" xr:uid="{2AE0C59A-89BC-4F6B-8C0C-C793ED19BA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693E2-B6B9-479F-85CF-48CD47F0B23D}">
  <dimension ref="A1:F18"/>
  <sheetViews>
    <sheetView showGridLines="0" tabSelected="1" zoomScaleNormal="100" workbookViewId="0">
      <selection activeCell="B4" sqref="B4"/>
    </sheetView>
  </sheetViews>
  <sheetFormatPr defaultColWidth="11" defaultRowHeight="15" x14ac:dyDescent="0.25"/>
  <cols>
    <col min="1" max="1" width="58.33203125" style="1" bestFit="1" customWidth="1"/>
    <col min="2" max="2" width="21.6640625" style="1" customWidth="1"/>
    <col min="3" max="3" width="2.44140625" style="1" customWidth="1"/>
    <col min="4" max="4" width="92" style="1" bestFit="1" customWidth="1"/>
    <col min="5" max="5" width="19.109375" style="1" customWidth="1"/>
    <col min="6" max="16384" width="11" style="1"/>
  </cols>
  <sheetData>
    <row r="1" spans="1:5" ht="20.399999999999999" x14ac:dyDescent="0.35">
      <c r="A1" s="29" t="s">
        <v>156</v>
      </c>
      <c r="B1" s="60"/>
    </row>
    <row r="2" spans="1:5" ht="21" thickBot="1" x14ac:dyDescent="0.4">
      <c r="A2" s="29"/>
      <c r="B2" s="60"/>
    </row>
    <row r="3" spans="1:5" x14ac:dyDescent="0.25">
      <c r="A3" s="91" t="s">
        <v>73</v>
      </c>
      <c r="B3" s="92"/>
      <c r="D3" s="93" t="s">
        <v>74</v>
      </c>
      <c r="E3" s="94"/>
    </row>
    <row r="4" spans="1:5" x14ac:dyDescent="0.25">
      <c r="A4" s="39" t="s">
        <v>36</v>
      </c>
      <c r="B4" s="83"/>
      <c r="C4" s="3"/>
      <c r="D4" s="3" t="s">
        <v>141</v>
      </c>
      <c r="E4" s="50" t="str">
        <f>IF(B6="","",Changes!G8)</f>
        <v/>
      </c>
    </row>
    <row r="5" spans="1:5" x14ac:dyDescent="0.25">
      <c r="A5" s="3" t="s">
        <v>94</v>
      </c>
      <c r="B5" s="84"/>
      <c r="C5" s="3"/>
      <c r="D5" s="3" t="s">
        <v>145</v>
      </c>
      <c r="E5" s="66" t="str">
        <f>IF(B6="","",Changes!G14)</f>
        <v/>
      </c>
    </row>
    <row r="6" spans="1:5" x14ac:dyDescent="0.25">
      <c r="A6" s="3" t="s">
        <v>0</v>
      </c>
      <c r="B6" s="84"/>
      <c r="C6" s="3"/>
      <c r="D6" s="3" t="s">
        <v>144</v>
      </c>
      <c r="E6" s="89" t="str">
        <f>IF(B6="","",Changes!G15)</f>
        <v/>
      </c>
    </row>
    <row r="7" spans="1:5" x14ac:dyDescent="0.25">
      <c r="A7" s="3" t="s">
        <v>54</v>
      </c>
      <c r="B7" s="84"/>
      <c r="C7" s="3"/>
      <c r="D7" s="3" t="s">
        <v>147</v>
      </c>
      <c r="E7" s="67" t="str">
        <f>IF(B6="","",Changes!G18)</f>
        <v/>
      </c>
    </row>
    <row r="8" spans="1:5" x14ac:dyDescent="0.25">
      <c r="A8" s="38" t="s">
        <v>81</v>
      </c>
      <c r="B8" s="85"/>
      <c r="C8" s="3"/>
      <c r="D8" s="39" t="s">
        <v>75</v>
      </c>
      <c r="E8" s="59" t="str">
        <f>IF(B6="","",FIXED(B13/$B$12,1))</f>
        <v/>
      </c>
    </row>
    <row r="9" spans="1:5" x14ac:dyDescent="0.25">
      <c r="A9" s="3" t="s">
        <v>79</v>
      </c>
      <c r="B9" s="86"/>
      <c r="C9" s="3"/>
      <c r="D9" s="3" t="s">
        <v>76</v>
      </c>
      <c r="E9" s="66" t="str">
        <f>IF(B6="","",FIXED(B14/$B$12,1))</f>
        <v/>
      </c>
    </row>
    <row r="10" spans="1:5" x14ac:dyDescent="0.25">
      <c r="A10" s="3" t="s">
        <v>80</v>
      </c>
      <c r="B10" s="84"/>
      <c r="C10" s="3"/>
      <c r="D10" s="3" t="s">
        <v>77</v>
      </c>
      <c r="E10" s="66" t="str">
        <f>IF(B6="","",FIXED(B15/$B$12,1))</f>
        <v/>
      </c>
    </row>
    <row r="11" spans="1:5" x14ac:dyDescent="0.25">
      <c r="A11" s="3" t="s">
        <v>152</v>
      </c>
      <c r="B11" s="87"/>
      <c r="D11" s="3" t="s">
        <v>78</v>
      </c>
      <c r="E11" s="66" t="str">
        <f>IF(B6="","",FIXED(B16/$B$12,1))</f>
        <v/>
      </c>
    </row>
    <row r="12" spans="1:5" x14ac:dyDescent="0.25">
      <c r="A12" s="39" t="s">
        <v>83</v>
      </c>
      <c r="B12" s="84"/>
      <c r="D12" s="39" t="s">
        <v>137</v>
      </c>
      <c r="E12" s="50" t="str">
        <f>IF(B6="","",Changes!G9)</f>
        <v/>
      </c>
    </row>
    <row r="13" spans="1:5" x14ac:dyDescent="0.25">
      <c r="A13" s="3" t="s">
        <v>96</v>
      </c>
      <c r="B13" s="84"/>
      <c r="D13" s="3" t="s">
        <v>138</v>
      </c>
      <c r="E13" s="90" t="str">
        <f>IF(B6="","",Changes!G10)</f>
        <v/>
      </c>
    </row>
    <row r="14" spans="1:5" x14ac:dyDescent="0.25">
      <c r="A14" s="3" t="s">
        <v>97</v>
      </c>
      <c r="B14" s="84"/>
      <c r="D14" s="3" t="s">
        <v>139</v>
      </c>
      <c r="E14" s="90" t="str">
        <f>IF(B6="","",Changes!G11)</f>
        <v/>
      </c>
    </row>
    <row r="15" spans="1:5" x14ac:dyDescent="0.25">
      <c r="A15" s="3" t="s">
        <v>98</v>
      </c>
      <c r="B15" s="84"/>
      <c r="D15" s="68" t="s">
        <v>140</v>
      </c>
      <c r="E15" s="90" t="str">
        <f>IF(B6="","",Changes!G12)</f>
        <v/>
      </c>
    </row>
    <row r="16" spans="1:5" ht="15.6" thickBot="1" x14ac:dyDescent="0.3">
      <c r="A16" s="3" t="s">
        <v>99</v>
      </c>
      <c r="B16" s="84"/>
      <c r="D16" s="6" t="s">
        <v>135</v>
      </c>
      <c r="E16" s="75" t="str">
        <f>IF(B18="","","$"&amp;FIXED(B18,3)&amp;"m")</f>
        <v/>
      </c>
    </row>
    <row r="17" spans="1:6" x14ac:dyDescent="0.25">
      <c r="A17" s="38" t="s">
        <v>55</v>
      </c>
      <c r="B17" s="87"/>
      <c r="E17" s="4"/>
    </row>
    <row r="18" spans="1:6" ht="15.6" thickBot="1" x14ac:dyDescent="0.3">
      <c r="A18" s="42" t="s">
        <v>82</v>
      </c>
      <c r="B18" s="88"/>
      <c r="E18" s="69"/>
      <c r="F18" s="4"/>
    </row>
  </sheetData>
  <sheetProtection algorithmName="SHA-512" hashValue="GTk0hRdSSZl0czIbSagcCI8hTiuQXQCvlYJEJoy5EbGoWbP+pp1wvBTwXaGsf4EHPq33YZQNyVbhwiaNgiwIMg==" saltValue="NJJDa/8MmeVUteMlZ5SKHw==" spinCount="100000" sheet="1" selectLockedCells="1"/>
  <mergeCells count="2">
    <mergeCell ref="A3:B3"/>
    <mergeCell ref="D3:E3"/>
  </mergeCells>
  <dataValidations count="7">
    <dataValidation type="list" allowBlank="1" showInputMessage="1" showErrorMessage="1" sqref="B17" xr:uid="{71ABFCAA-568B-4DBE-AFD9-A609BC27B70E}">
      <formula1>"Yes,No"</formula1>
    </dataValidation>
    <dataValidation type="list" allowBlank="1" showInputMessage="1" showErrorMessage="1" sqref="B5" xr:uid="{11B436D0-1809-43BE-A01E-F925E8882CD8}">
      <formula1>"Urban,Rural,Mixed"</formula1>
    </dataValidation>
    <dataValidation type="list" allowBlank="1" showInputMessage="1" showErrorMessage="1" sqref="B8" xr:uid="{1AD2455D-2CB0-4BA7-B0B7-7BD4288C0876}">
      <formula1>"0,1,2,3,4,5,6,7"</formula1>
    </dataValidation>
    <dataValidation type="decimal" allowBlank="1" showInputMessage="1" showErrorMessage="1" sqref="B12" xr:uid="{67278629-CF94-4091-87A5-E36BC3C4B595}">
      <formula1>0</formula1>
      <formula2>5</formula2>
    </dataValidation>
    <dataValidation type="decimal" operator="greaterThanOrEqual" allowBlank="1" showInputMessage="1" showErrorMessage="1" sqref="B13:B16 B7 B6 B18" xr:uid="{1094B527-FA71-48CC-A772-656664C365E6}">
      <formula1>0</formula1>
    </dataValidation>
    <dataValidation type="decimal" allowBlank="1" showInputMessage="1" showErrorMessage="1" sqref="B9 B10" xr:uid="{D2AB9D47-3FD1-493D-BB43-44F7CBE97EEA}">
      <formula1>0</formula1>
      <formula2>120</formula2>
    </dataValidation>
    <dataValidation type="decimal" allowBlank="1" showInputMessage="1" showErrorMessage="1" sqref="B11" xr:uid="{CB4C61F5-171E-41CA-9DB6-A5A34CD4A56B}">
      <formula1>0</formula1>
      <formula2>150</formula2>
    </dataValidation>
  </dataValidations>
  <pageMargins left="0.7" right="0.7" top="0.75" bottom="0.75" header="0.3" footer="0.3"/>
  <pageSetup orientation="portrait" r:id="rId1"/>
  <headerFooter>
    <oddHeader>&amp;L&amp;16&amp;F&amp;R&amp;G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C78C4-98DF-4770-9873-C7F882CF7201}">
  <dimension ref="A1:Q66"/>
  <sheetViews>
    <sheetView showGridLines="0" zoomScaleNormal="100" workbookViewId="0">
      <selection activeCell="A66" sqref="A66:Q66"/>
    </sheetView>
  </sheetViews>
  <sheetFormatPr defaultColWidth="11" defaultRowHeight="15" x14ac:dyDescent="0.25"/>
  <cols>
    <col min="1" max="16384" width="11" style="1"/>
  </cols>
  <sheetData>
    <row r="1" spans="1:15" ht="20.399999999999999" x14ac:dyDescent="0.35">
      <c r="A1" s="97" t="s">
        <v>84</v>
      </c>
      <c r="B1" s="97"/>
      <c r="C1" s="97"/>
    </row>
    <row r="3" spans="1:15" x14ac:dyDescent="0.25">
      <c r="A3" s="2" t="s">
        <v>85</v>
      </c>
    </row>
    <row r="4" spans="1:15" x14ac:dyDescent="0.25">
      <c r="A4" s="2"/>
    </row>
    <row r="5" spans="1:15" ht="15" customHeight="1" x14ac:dyDescent="0.25">
      <c r="A5" s="98" t="s">
        <v>155</v>
      </c>
      <c r="B5" s="98"/>
      <c r="C5" s="98"/>
      <c r="D5" s="98"/>
      <c r="E5" s="98"/>
      <c r="F5" s="98"/>
      <c r="G5" s="98"/>
      <c r="H5" s="98"/>
      <c r="I5" s="98"/>
      <c r="J5" s="98"/>
      <c r="K5" s="98"/>
      <c r="L5" s="98"/>
      <c r="M5" s="98"/>
      <c r="N5" s="98"/>
      <c r="O5" s="98"/>
    </row>
    <row r="6" spans="1:15" x14ac:dyDescent="0.25">
      <c r="A6" s="98"/>
      <c r="B6" s="98"/>
      <c r="C6" s="98"/>
      <c r="D6" s="98"/>
      <c r="E6" s="98"/>
      <c r="F6" s="98"/>
      <c r="G6" s="98"/>
      <c r="H6" s="98"/>
      <c r="I6" s="98"/>
      <c r="J6" s="98"/>
      <c r="K6" s="98"/>
      <c r="L6" s="98"/>
      <c r="M6" s="98"/>
      <c r="N6" s="98"/>
      <c r="O6" s="98"/>
    </row>
    <row r="7" spans="1:15" x14ac:dyDescent="0.25">
      <c r="A7" s="71"/>
      <c r="B7" s="71"/>
      <c r="C7" s="71"/>
      <c r="D7" s="71"/>
      <c r="E7" s="71"/>
      <c r="F7" s="71"/>
      <c r="G7" s="71"/>
      <c r="H7" s="71"/>
      <c r="I7" s="71"/>
      <c r="J7" s="71"/>
      <c r="K7" s="71"/>
      <c r="L7" s="71"/>
      <c r="M7" s="71"/>
    </row>
    <row r="8" spans="1:15" x14ac:dyDescent="0.25">
      <c r="A8" s="96" t="s">
        <v>91</v>
      </c>
      <c r="B8" s="96"/>
      <c r="C8" s="96"/>
      <c r="D8" s="96"/>
      <c r="E8" s="96"/>
      <c r="F8" s="96"/>
      <c r="G8" s="96"/>
      <c r="H8" s="96"/>
      <c r="I8" s="96"/>
      <c r="J8" s="96"/>
      <c r="K8" s="96"/>
      <c r="L8" s="96"/>
      <c r="M8" s="96"/>
      <c r="N8" s="96"/>
      <c r="O8" s="96"/>
    </row>
    <row r="9" spans="1:15" x14ac:dyDescent="0.25">
      <c r="A9" s="72"/>
      <c r="B9" s="72"/>
      <c r="C9" s="72"/>
      <c r="D9" s="72"/>
      <c r="E9" s="72"/>
      <c r="F9" s="72"/>
      <c r="G9" s="72"/>
      <c r="H9" s="72"/>
      <c r="I9" s="72"/>
      <c r="J9" s="72"/>
      <c r="K9" s="72"/>
      <c r="L9" s="72"/>
      <c r="M9" s="72"/>
      <c r="N9" s="72"/>
      <c r="O9" s="72"/>
    </row>
    <row r="10" spans="1:15" x14ac:dyDescent="0.25">
      <c r="A10" s="2" t="s">
        <v>87</v>
      </c>
    </row>
    <row r="11" spans="1:15" x14ac:dyDescent="0.25">
      <c r="A11" s="2"/>
    </row>
    <row r="12" spans="1:15" ht="15" customHeight="1" x14ac:dyDescent="0.25">
      <c r="A12" s="98" t="s">
        <v>154</v>
      </c>
      <c r="B12" s="98"/>
      <c r="C12" s="98"/>
      <c r="D12" s="98"/>
      <c r="E12" s="98"/>
      <c r="F12" s="98"/>
      <c r="G12" s="98"/>
      <c r="H12" s="98"/>
      <c r="I12" s="98"/>
      <c r="J12" s="98"/>
      <c r="K12" s="98"/>
      <c r="L12" s="98"/>
      <c r="M12" s="98"/>
      <c r="N12" s="98"/>
      <c r="O12" s="98"/>
    </row>
    <row r="13" spans="1:15" x14ac:dyDescent="0.25">
      <c r="A13" s="98"/>
      <c r="B13" s="98"/>
      <c r="C13" s="98"/>
      <c r="D13" s="98"/>
      <c r="E13" s="98"/>
      <c r="F13" s="98"/>
      <c r="G13" s="98"/>
      <c r="H13" s="98"/>
      <c r="I13" s="98"/>
      <c r="J13" s="98"/>
      <c r="K13" s="98"/>
      <c r="L13" s="98"/>
      <c r="M13" s="98"/>
      <c r="N13" s="98"/>
      <c r="O13" s="98"/>
    </row>
    <row r="14" spans="1:15" x14ac:dyDescent="0.25">
      <c r="A14" s="98"/>
      <c r="B14" s="98"/>
      <c r="C14" s="98"/>
      <c r="D14" s="98"/>
      <c r="E14" s="98"/>
      <c r="F14" s="98"/>
      <c r="G14" s="98"/>
      <c r="H14" s="98"/>
      <c r="I14" s="98"/>
      <c r="J14" s="98"/>
      <c r="K14" s="98"/>
      <c r="L14" s="98"/>
      <c r="M14" s="98"/>
      <c r="N14" s="98"/>
      <c r="O14" s="98"/>
    </row>
    <row r="15" spans="1:15" x14ac:dyDescent="0.25">
      <c r="A15" s="2"/>
    </row>
    <row r="16" spans="1:15" ht="15" customHeight="1" x14ac:dyDescent="0.25">
      <c r="A16" s="98" t="s">
        <v>92</v>
      </c>
      <c r="B16" s="98"/>
      <c r="C16" s="98"/>
      <c r="D16" s="98"/>
      <c r="E16" s="98"/>
      <c r="F16" s="98"/>
      <c r="G16" s="98"/>
      <c r="H16" s="98"/>
      <c r="I16" s="98"/>
      <c r="J16" s="98"/>
      <c r="K16" s="98"/>
      <c r="L16" s="98"/>
      <c r="M16" s="98"/>
      <c r="N16" s="98"/>
      <c r="O16" s="98"/>
    </row>
    <row r="17" spans="1:15" x14ac:dyDescent="0.25">
      <c r="A17" s="98"/>
      <c r="B17" s="98"/>
      <c r="C17" s="98"/>
      <c r="D17" s="98"/>
      <c r="E17" s="98"/>
      <c r="F17" s="98"/>
      <c r="G17" s="98"/>
      <c r="H17" s="98"/>
      <c r="I17" s="98"/>
      <c r="J17" s="98"/>
      <c r="K17" s="98"/>
      <c r="L17" s="98"/>
      <c r="M17" s="98"/>
      <c r="N17" s="98"/>
      <c r="O17" s="98"/>
    </row>
    <row r="18" spans="1:15" x14ac:dyDescent="0.25">
      <c r="A18" s="71"/>
      <c r="B18" s="71"/>
      <c r="C18" s="71"/>
      <c r="D18" s="71"/>
      <c r="E18" s="71"/>
      <c r="F18" s="71"/>
      <c r="G18" s="71"/>
      <c r="H18" s="71"/>
      <c r="I18" s="71"/>
      <c r="J18" s="71"/>
      <c r="K18" s="71"/>
      <c r="L18" s="71"/>
      <c r="M18" s="71"/>
      <c r="N18" s="71"/>
      <c r="O18" s="71"/>
    </row>
    <row r="19" spans="1:15" x14ac:dyDescent="0.25">
      <c r="A19" s="96" t="s">
        <v>93</v>
      </c>
      <c r="B19" s="96"/>
      <c r="C19" s="96"/>
      <c r="D19" s="96"/>
      <c r="E19" s="96"/>
      <c r="F19" s="96"/>
      <c r="G19" s="96"/>
      <c r="H19" s="96"/>
      <c r="I19" s="96"/>
      <c r="J19" s="96"/>
      <c r="K19" s="96"/>
      <c r="L19" s="96"/>
      <c r="M19" s="96"/>
      <c r="N19" s="96"/>
      <c r="O19" s="96"/>
    </row>
    <row r="20" spans="1:15" x14ac:dyDescent="0.25">
      <c r="A20" s="71"/>
      <c r="B20" s="71"/>
      <c r="C20" s="71"/>
      <c r="D20" s="71"/>
      <c r="E20" s="71"/>
      <c r="F20" s="71"/>
      <c r="G20" s="71"/>
      <c r="H20" s="71"/>
      <c r="I20" s="71"/>
      <c r="J20" s="71"/>
      <c r="K20" s="71"/>
      <c r="L20" s="71"/>
      <c r="M20" s="71"/>
      <c r="N20" s="71"/>
      <c r="O20" s="71"/>
    </row>
    <row r="21" spans="1:15" x14ac:dyDescent="0.25">
      <c r="A21" s="2" t="s">
        <v>86</v>
      </c>
    </row>
    <row r="22" spans="1:15" x14ac:dyDescent="0.25">
      <c r="A22" s="2"/>
    </row>
    <row r="23" spans="1:15" x14ac:dyDescent="0.25">
      <c r="A23" s="98" t="s">
        <v>100</v>
      </c>
      <c r="B23" s="98"/>
      <c r="C23" s="98"/>
      <c r="D23" s="98"/>
      <c r="E23" s="98"/>
      <c r="F23" s="98"/>
      <c r="G23" s="98"/>
      <c r="H23" s="98"/>
      <c r="I23" s="98"/>
      <c r="J23" s="98"/>
      <c r="K23" s="98"/>
      <c r="L23" s="98"/>
      <c r="M23" s="98"/>
      <c r="N23" s="98"/>
      <c r="O23" s="98"/>
    </row>
    <row r="24" spans="1:15" x14ac:dyDescent="0.25">
      <c r="A24" s="98"/>
      <c r="B24" s="98"/>
      <c r="C24" s="98"/>
      <c r="D24" s="98"/>
      <c r="E24" s="98"/>
      <c r="F24" s="98"/>
      <c r="G24" s="98"/>
      <c r="H24" s="98"/>
      <c r="I24" s="98"/>
      <c r="J24" s="98"/>
      <c r="K24" s="98"/>
      <c r="L24" s="98"/>
      <c r="M24" s="98"/>
      <c r="N24" s="98"/>
      <c r="O24" s="98"/>
    </row>
    <row r="25" spans="1:15" x14ac:dyDescent="0.25">
      <c r="A25" s="70"/>
      <c r="B25" s="70"/>
      <c r="C25" s="70"/>
      <c r="D25" s="70"/>
      <c r="E25" s="70"/>
      <c r="F25" s="70"/>
      <c r="G25" s="70"/>
      <c r="H25" s="70"/>
      <c r="I25" s="70"/>
      <c r="J25" s="70"/>
      <c r="K25" s="70"/>
      <c r="L25" s="70"/>
      <c r="M25" s="70"/>
      <c r="N25" s="70"/>
      <c r="O25" s="70"/>
    </row>
    <row r="26" spans="1:15" x14ac:dyDescent="0.25">
      <c r="A26" s="1" t="s">
        <v>153</v>
      </c>
    </row>
    <row r="27" spans="1:15" x14ac:dyDescent="0.25">
      <c r="A27" s="1" t="s">
        <v>101</v>
      </c>
    </row>
    <row r="29" spans="1:15" x14ac:dyDescent="0.25">
      <c r="A29" s="73">
        <v>0.88500000000000001</v>
      </c>
      <c r="B29" s="1" t="s">
        <v>102</v>
      </c>
    </row>
    <row r="30" spans="1:15" x14ac:dyDescent="0.25">
      <c r="A30" s="73">
        <v>86</v>
      </c>
      <c r="B30" s="1" t="s">
        <v>146</v>
      </c>
    </row>
    <row r="31" spans="1:15" x14ac:dyDescent="0.25">
      <c r="A31" s="73">
        <v>1.7</v>
      </c>
      <c r="B31" s="1" t="s">
        <v>103</v>
      </c>
    </row>
    <row r="32" spans="1:15" x14ac:dyDescent="0.25">
      <c r="A32" s="73">
        <v>3.6</v>
      </c>
      <c r="B32" s="1" t="s">
        <v>104</v>
      </c>
    </row>
    <row r="33" spans="1:2" x14ac:dyDescent="0.25">
      <c r="A33" s="73">
        <v>7</v>
      </c>
      <c r="B33" s="1" t="s">
        <v>105</v>
      </c>
    </row>
    <row r="34" spans="1:2" x14ac:dyDescent="0.25">
      <c r="A34" s="73">
        <v>0.7</v>
      </c>
      <c r="B34" s="1" t="s">
        <v>107</v>
      </c>
    </row>
    <row r="35" spans="1:2" x14ac:dyDescent="0.25">
      <c r="A35" s="73">
        <v>0.14000000000000001</v>
      </c>
      <c r="B35" s="1" t="s">
        <v>108</v>
      </c>
    </row>
    <row r="36" spans="1:2" x14ac:dyDescent="0.25">
      <c r="A36" s="73">
        <v>0.18</v>
      </c>
      <c r="B36" s="1" t="s">
        <v>109</v>
      </c>
    </row>
    <row r="37" spans="1:2" x14ac:dyDescent="0.25">
      <c r="A37" s="73">
        <v>0.08</v>
      </c>
      <c r="B37" s="1" t="s">
        <v>110</v>
      </c>
    </row>
    <row r="38" spans="1:2" x14ac:dyDescent="0.25">
      <c r="A38" s="73">
        <v>0.06</v>
      </c>
      <c r="B38" s="1" t="s">
        <v>111</v>
      </c>
    </row>
    <row r="39" spans="1:2" x14ac:dyDescent="0.25">
      <c r="A39" s="73">
        <v>0.04</v>
      </c>
      <c r="B39" s="1" t="s">
        <v>112</v>
      </c>
    </row>
    <row r="40" spans="1:2" x14ac:dyDescent="0.25">
      <c r="A40" s="73">
        <v>0.02</v>
      </c>
      <c r="B40" s="1" t="s">
        <v>113</v>
      </c>
    </row>
    <row r="41" spans="1:2" x14ac:dyDescent="0.25">
      <c r="A41" s="73">
        <v>0.95</v>
      </c>
      <c r="B41" s="1" t="s">
        <v>114</v>
      </c>
    </row>
    <row r="42" spans="1:2" x14ac:dyDescent="0.25">
      <c r="A42" s="73">
        <v>0.92500000000000004</v>
      </c>
      <c r="B42" s="1" t="s">
        <v>116</v>
      </c>
    </row>
    <row r="43" spans="1:2" x14ac:dyDescent="0.25">
      <c r="A43" s="74">
        <v>0.9</v>
      </c>
      <c r="B43" s="1" t="s">
        <v>115</v>
      </c>
    </row>
    <row r="44" spans="1:2" x14ac:dyDescent="0.25">
      <c r="A44" s="73">
        <v>2.5</v>
      </c>
      <c r="B44" s="1" t="s">
        <v>106</v>
      </c>
    </row>
    <row r="45" spans="1:2" x14ac:dyDescent="0.25">
      <c r="A45" s="73">
        <v>3</v>
      </c>
      <c r="B45" s="1" t="s">
        <v>117</v>
      </c>
    </row>
    <row r="46" spans="1:2" x14ac:dyDescent="0.25">
      <c r="A46" s="73">
        <v>4</v>
      </c>
      <c r="B46" s="1" t="s">
        <v>118</v>
      </c>
    </row>
    <row r="47" spans="1:2" x14ac:dyDescent="0.25">
      <c r="A47" s="73">
        <v>0.83</v>
      </c>
      <c r="B47" s="1" t="s">
        <v>119</v>
      </c>
    </row>
    <row r="48" spans="1:2" x14ac:dyDescent="0.25">
      <c r="A48" s="73">
        <v>0.86</v>
      </c>
      <c r="B48" s="1" t="s">
        <v>120</v>
      </c>
    </row>
    <row r="49" spans="1:9" x14ac:dyDescent="0.25">
      <c r="A49" s="73">
        <v>0.9</v>
      </c>
      <c r="B49" s="1" t="s">
        <v>121</v>
      </c>
    </row>
    <row r="50" spans="1:9" x14ac:dyDescent="0.25">
      <c r="A50" s="73">
        <v>0.93</v>
      </c>
      <c r="B50" s="1" t="s">
        <v>122</v>
      </c>
    </row>
    <row r="51" spans="1:9" x14ac:dyDescent="0.25">
      <c r="A51" s="73">
        <v>0.96</v>
      </c>
      <c r="B51" s="1" t="s">
        <v>123</v>
      </c>
    </row>
    <row r="52" spans="1:9" x14ac:dyDescent="0.25">
      <c r="A52" s="73">
        <v>0.99</v>
      </c>
      <c r="B52" s="1" t="s">
        <v>124</v>
      </c>
    </row>
    <row r="53" spans="1:9" x14ac:dyDescent="0.25">
      <c r="A53" s="73">
        <v>1.03</v>
      </c>
      <c r="B53" s="1" t="s">
        <v>125</v>
      </c>
    </row>
    <row r="54" spans="1:9" x14ac:dyDescent="0.25">
      <c r="A54" s="73">
        <v>1.06</v>
      </c>
      <c r="B54" s="1" t="s">
        <v>126</v>
      </c>
    </row>
    <row r="55" spans="1:9" x14ac:dyDescent="0.25">
      <c r="A55" s="73">
        <v>0.95</v>
      </c>
      <c r="B55" s="1" t="s">
        <v>127</v>
      </c>
    </row>
    <row r="56" spans="1:9" x14ac:dyDescent="0.25">
      <c r="A56" s="73">
        <v>0.98</v>
      </c>
      <c r="B56" s="1" t="s">
        <v>128</v>
      </c>
    </row>
    <row r="57" spans="1:9" x14ac:dyDescent="0.25">
      <c r="A57" s="73">
        <v>1.02</v>
      </c>
      <c r="B57" s="1" t="s">
        <v>129</v>
      </c>
    </row>
    <row r="58" spans="1:9" x14ac:dyDescent="0.25">
      <c r="A58" s="73">
        <v>1.06</v>
      </c>
      <c r="B58" s="1" t="s">
        <v>130</v>
      </c>
    </row>
    <row r="59" spans="1:9" x14ac:dyDescent="0.25">
      <c r="A59" s="73">
        <v>1.1000000000000001</v>
      </c>
      <c r="B59" s="1" t="s">
        <v>131</v>
      </c>
    </row>
    <row r="60" spans="1:9" x14ac:dyDescent="0.25">
      <c r="A60" s="73">
        <v>1.1399999999999999</v>
      </c>
      <c r="B60" s="1" t="s">
        <v>132</v>
      </c>
    </row>
    <row r="61" spans="1:9" x14ac:dyDescent="0.25">
      <c r="A61" s="73">
        <v>1.17</v>
      </c>
      <c r="B61" s="1" t="s">
        <v>133</v>
      </c>
    </row>
    <row r="62" spans="1:9" x14ac:dyDescent="0.25">
      <c r="A62" s="73">
        <v>1.21</v>
      </c>
      <c r="B62" s="1" t="s">
        <v>134</v>
      </c>
      <c r="C62" s="32"/>
      <c r="D62" s="61"/>
      <c r="E62" s="61"/>
      <c r="F62" s="4"/>
      <c r="G62" s="4"/>
      <c r="H62" s="4"/>
      <c r="I62" s="4"/>
    </row>
    <row r="63" spans="1:9" x14ac:dyDescent="0.25">
      <c r="A63" s="73"/>
      <c r="B63" s="33"/>
      <c r="C63" s="32"/>
      <c r="D63" s="61"/>
      <c r="E63" s="61"/>
      <c r="F63" s="4"/>
      <c r="G63" s="4"/>
      <c r="H63" s="4"/>
      <c r="I63" s="4"/>
    </row>
    <row r="64" spans="1:9" x14ac:dyDescent="0.25">
      <c r="A64" s="2" t="s">
        <v>95</v>
      </c>
    </row>
    <row r="66" spans="1:17" x14ac:dyDescent="0.25">
      <c r="A66" s="95" t="s">
        <v>149</v>
      </c>
      <c r="B66" s="95"/>
      <c r="C66" s="95"/>
      <c r="D66" s="95"/>
      <c r="E66" s="95"/>
      <c r="F66" s="95"/>
      <c r="G66" s="95"/>
      <c r="H66" s="95"/>
      <c r="I66" s="95"/>
      <c r="J66" s="95"/>
      <c r="K66" s="95"/>
      <c r="L66" s="95"/>
      <c r="M66" s="95"/>
      <c r="N66" s="95"/>
      <c r="O66" s="95"/>
      <c r="P66" s="95"/>
      <c r="Q66" s="95"/>
    </row>
  </sheetData>
  <sheetProtection algorithmName="SHA-512" hashValue="q/GdLx1yS2fHgzy9SU3gzJiv9nQDlSX8YygjSD4WIxFhKO755RDdMu9FEhApDTX7b4PMxRpEm0KvVw7ky9udww==" saltValue="CnzzTOjSfKzQaIVC9IIvGA==" spinCount="100000" sheet="1" objects="1" scenarios="1" selectLockedCells="1"/>
  <mergeCells count="8">
    <mergeCell ref="A66:Q66"/>
    <mergeCell ref="A19:O19"/>
    <mergeCell ref="A1:C1"/>
    <mergeCell ref="A23:O24"/>
    <mergeCell ref="A5:O6"/>
    <mergeCell ref="A8:O8"/>
    <mergeCell ref="A16:O17"/>
    <mergeCell ref="A12:O14"/>
  </mergeCells>
  <pageMargins left="0.7" right="0.7" top="0.75" bottom="0.75" header="0.3" footer="0.3"/>
  <pageSetup orientation="portrait" r:id="rId1"/>
  <headerFooter>
    <oddHeader>&amp;L&amp;16&amp;F&amp;R&amp;G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B5938-A9F2-4CE8-A687-CAC8EF0A8809}">
  <dimension ref="A1:J36"/>
  <sheetViews>
    <sheetView showGridLines="0" zoomScaleNormal="100" workbookViewId="0"/>
  </sheetViews>
  <sheetFormatPr defaultColWidth="11" defaultRowHeight="15" x14ac:dyDescent="0.25"/>
  <cols>
    <col min="1" max="1" width="21" style="1" customWidth="1"/>
    <col min="2" max="2" width="20" style="1" customWidth="1"/>
    <col min="3" max="3" width="16" style="1" customWidth="1"/>
    <col min="4" max="4" width="16.33203125" style="1" customWidth="1"/>
    <col min="5" max="5" width="13.77734375" style="1" customWidth="1"/>
    <col min="6" max="16384" width="11" style="1"/>
  </cols>
  <sheetData>
    <row r="1" spans="1:6" ht="20.399999999999999" x14ac:dyDescent="0.35">
      <c r="A1" s="49" t="s">
        <v>56</v>
      </c>
      <c r="B1" s="49"/>
    </row>
    <row r="2" spans="1:6" ht="15.6" thickBot="1" x14ac:dyDescent="0.3">
      <c r="E2" s="2"/>
      <c r="F2" s="22"/>
    </row>
    <row r="3" spans="1:6" ht="16.2" customHeight="1" x14ac:dyDescent="0.25">
      <c r="A3" s="108" t="s">
        <v>37</v>
      </c>
      <c r="B3" s="109"/>
      <c r="C3" s="110"/>
      <c r="D3" s="41" t="s">
        <v>38</v>
      </c>
      <c r="E3" s="2"/>
    </row>
    <row r="4" spans="1:6" ht="16.2" customHeight="1" thickBot="1" x14ac:dyDescent="0.3">
      <c r="A4" s="111">
        <v>0.88500000000000001</v>
      </c>
      <c r="B4" s="112"/>
      <c r="C4" s="113"/>
      <c r="D4" s="40"/>
      <c r="E4" s="2"/>
    </row>
    <row r="5" spans="1:6" ht="16.2" customHeight="1" thickBot="1" x14ac:dyDescent="0.3">
      <c r="A5" s="51"/>
      <c r="B5" s="52"/>
      <c r="C5" s="52"/>
      <c r="D5" s="40"/>
      <c r="E5" s="2"/>
    </row>
    <row r="6" spans="1:6" ht="16.2" customHeight="1" x14ac:dyDescent="0.25">
      <c r="A6" s="114" t="s">
        <v>69</v>
      </c>
      <c r="B6" s="115"/>
      <c r="C6" s="53" t="s">
        <v>70</v>
      </c>
      <c r="D6" s="40"/>
      <c r="E6" s="2"/>
    </row>
    <row r="7" spans="1:6" ht="16.2" customHeight="1" x14ac:dyDescent="0.25">
      <c r="A7" s="64">
        <v>0.25</v>
      </c>
      <c r="B7" s="63" t="s">
        <v>2</v>
      </c>
      <c r="C7" s="52"/>
      <c r="D7" s="40"/>
      <c r="E7" s="2"/>
    </row>
    <row r="8" spans="1:6" ht="16.2" customHeight="1" x14ac:dyDescent="0.25">
      <c r="A8" s="64">
        <v>0.3</v>
      </c>
      <c r="B8" s="63" t="s">
        <v>7</v>
      </c>
      <c r="C8" s="52"/>
      <c r="D8" s="62"/>
      <c r="E8" s="2"/>
    </row>
    <row r="9" spans="1:6" ht="16.2" customHeight="1" thickBot="1" x14ac:dyDescent="0.3">
      <c r="A9" s="65">
        <v>0.4</v>
      </c>
      <c r="B9" s="54" t="s">
        <v>3</v>
      </c>
      <c r="C9" s="52"/>
      <c r="D9" s="62"/>
      <c r="E9" s="2"/>
    </row>
    <row r="10" spans="1:6" ht="15.6" thickBot="1" x14ac:dyDescent="0.3">
      <c r="A10" s="3"/>
      <c r="B10" s="4"/>
      <c r="C10" s="4"/>
      <c r="D10" s="4"/>
      <c r="E10" s="2"/>
    </row>
    <row r="11" spans="1:6" ht="15.6" customHeight="1" x14ac:dyDescent="0.25">
      <c r="A11" s="91" t="s">
        <v>15</v>
      </c>
      <c r="B11" s="107"/>
      <c r="C11" s="107"/>
      <c r="D11" s="92"/>
      <c r="E11" s="22" t="s">
        <v>20</v>
      </c>
    </row>
    <row r="12" spans="1:6" x14ac:dyDescent="0.25">
      <c r="A12" s="17" t="s">
        <v>16</v>
      </c>
      <c r="B12" s="13" t="s">
        <v>19</v>
      </c>
      <c r="C12" s="13" t="s">
        <v>17</v>
      </c>
      <c r="D12" s="14" t="s">
        <v>18</v>
      </c>
      <c r="E12" s="2"/>
    </row>
    <row r="13" spans="1:6" ht="15.6" thickBot="1" x14ac:dyDescent="0.3">
      <c r="A13" s="6">
        <v>1</v>
      </c>
      <c r="B13" s="7">
        <v>1.7</v>
      </c>
      <c r="C13" s="7">
        <v>3.6</v>
      </c>
      <c r="D13" s="8">
        <v>7</v>
      </c>
      <c r="E13" s="2"/>
    </row>
    <row r="14" spans="1:6" ht="15.6" thickBot="1" x14ac:dyDescent="0.3">
      <c r="E14" s="2"/>
    </row>
    <row r="15" spans="1:6" x14ac:dyDescent="0.25">
      <c r="A15" s="91" t="s">
        <v>8</v>
      </c>
      <c r="B15" s="107"/>
      <c r="C15" s="107"/>
      <c r="D15" s="107"/>
      <c r="E15" s="92"/>
      <c r="F15" s="22" t="s">
        <v>14</v>
      </c>
    </row>
    <row r="16" spans="1:6" x14ac:dyDescent="0.25">
      <c r="A16" s="15" t="s">
        <v>6</v>
      </c>
      <c r="B16" s="116" t="s">
        <v>12</v>
      </c>
      <c r="C16" s="116"/>
      <c r="D16" s="116" t="s">
        <v>13</v>
      </c>
      <c r="E16" s="117"/>
    </row>
    <row r="17" spans="1:10" x14ac:dyDescent="0.25">
      <c r="A17" s="15" t="s">
        <v>9</v>
      </c>
      <c r="B17" s="101">
        <v>7.0000000000000007E-2</v>
      </c>
      <c r="C17" s="101"/>
      <c r="D17" s="101">
        <v>0.93</v>
      </c>
      <c r="E17" s="102"/>
    </row>
    <row r="18" spans="1:10" x14ac:dyDescent="0.25">
      <c r="A18" s="15" t="s">
        <v>10</v>
      </c>
      <c r="B18" s="101">
        <v>0.14000000000000001</v>
      </c>
      <c r="C18" s="101"/>
      <c r="D18" s="101">
        <v>0.86</v>
      </c>
      <c r="E18" s="102"/>
    </row>
    <row r="19" spans="1:10" ht="15.6" thickBot="1" x14ac:dyDescent="0.3">
      <c r="A19" s="16" t="s">
        <v>11</v>
      </c>
      <c r="B19" s="99">
        <v>0.18</v>
      </c>
      <c r="C19" s="99"/>
      <c r="D19" s="99">
        <v>0.82</v>
      </c>
      <c r="E19" s="100"/>
    </row>
    <row r="20" spans="1:10" ht="15.6" thickBot="1" x14ac:dyDescent="0.3">
      <c r="A20" s="9"/>
      <c r="B20" s="11"/>
      <c r="C20" s="11"/>
      <c r="D20" s="11"/>
      <c r="E20" s="11"/>
    </row>
    <row r="21" spans="1:10" ht="15.6" customHeight="1" x14ac:dyDescent="0.25">
      <c r="A21" s="91" t="s">
        <v>22</v>
      </c>
      <c r="B21" s="107"/>
      <c r="C21" s="92"/>
      <c r="D21" s="28" t="s">
        <v>27</v>
      </c>
      <c r="E21" s="11"/>
    </row>
    <row r="22" spans="1:10" x14ac:dyDescent="0.25">
      <c r="A22" s="103" t="s">
        <v>23</v>
      </c>
      <c r="B22" s="104"/>
      <c r="C22" s="23">
        <v>0.08</v>
      </c>
      <c r="D22" s="11"/>
      <c r="E22" s="11"/>
    </row>
    <row r="23" spans="1:10" x14ac:dyDescent="0.25">
      <c r="A23" s="103" t="s">
        <v>24</v>
      </c>
      <c r="B23" s="104"/>
      <c r="C23" s="23">
        <v>0.06</v>
      </c>
      <c r="D23" s="11"/>
      <c r="E23" s="11"/>
    </row>
    <row r="24" spans="1:10" x14ac:dyDescent="0.25">
      <c r="A24" s="103" t="s">
        <v>25</v>
      </c>
      <c r="B24" s="104"/>
      <c r="C24" s="23">
        <v>0.04</v>
      </c>
      <c r="D24" s="11"/>
      <c r="E24" s="11"/>
    </row>
    <row r="25" spans="1:10" ht="15.6" thickBot="1" x14ac:dyDescent="0.3">
      <c r="A25" s="105" t="s">
        <v>26</v>
      </c>
      <c r="B25" s="106"/>
      <c r="C25" s="24">
        <v>0.02</v>
      </c>
      <c r="D25" s="11"/>
      <c r="E25" s="11"/>
    </row>
    <row r="26" spans="1:10" ht="15.6" thickBot="1" x14ac:dyDescent="0.3">
      <c r="A26" s="26"/>
      <c r="B26" s="26"/>
      <c r="C26" s="32"/>
      <c r="D26" s="18"/>
      <c r="E26" s="18"/>
    </row>
    <row r="27" spans="1:10" x14ac:dyDescent="0.25">
      <c r="A27" s="91" t="s">
        <v>29</v>
      </c>
      <c r="B27" s="107"/>
      <c r="C27" s="107"/>
      <c r="D27" s="107"/>
      <c r="E27" s="107"/>
      <c r="F27" s="107"/>
      <c r="G27" s="107"/>
      <c r="H27" s="107"/>
      <c r="I27" s="92"/>
      <c r="J27" s="22" t="s">
        <v>33</v>
      </c>
    </row>
    <row r="28" spans="1:10" x14ac:dyDescent="0.25">
      <c r="A28" s="25"/>
      <c r="B28" s="118" t="s">
        <v>32</v>
      </c>
      <c r="C28" s="118"/>
      <c r="D28" s="118"/>
      <c r="E28" s="118"/>
      <c r="F28" s="118"/>
      <c r="G28" s="118"/>
      <c r="H28" s="118"/>
      <c r="I28" s="5"/>
    </row>
    <row r="29" spans="1:10" x14ac:dyDescent="0.25">
      <c r="A29" s="25" t="s">
        <v>6</v>
      </c>
      <c r="B29" s="26">
        <v>0</v>
      </c>
      <c r="C29" s="34">
        <v>1</v>
      </c>
      <c r="D29" s="20">
        <v>2</v>
      </c>
      <c r="E29" s="20">
        <v>3</v>
      </c>
      <c r="F29" s="9">
        <v>4</v>
      </c>
      <c r="G29" s="9">
        <v>5</v>
      </c>
      <c r="H29" s="9">
        <v>6</v>
      </c>
      <c r="I29" s="10">
        <v>7</v>
      </c>
    </row>
    <row r="30" spans="1:10" ht="15.6" x14ac:dyDescent="0.3">
      <c r="A30" s="25" t="s">
        <v>30</v>
      </c>
      <c r="B30" s="33">
        <v>0.83</v>
      </c>
      <c r="C30" s="32">
        <v>0.86</v>
      </c>
      <c r="D30" s="18">
        <v>0.9</v>
      </c>
      <c r="E30" s="18">
        <v>0.93</v>
      </c>
      <c r="F30" s="4">
        <v>0.96</v>
      </c>
      <c r="G30" s="4">
        <v>0.99</v>
      </c>
      <c r="H30" s="4">
        <v>1.03</v>
      </c>
      <c r="I30" s="5">
        <v>1.06</v>
      </c>
    </row>
    <row r="31" spans="1:10" ht="16.2" thickBot="1" x14ac:dyDescent="0.35">
      <c r="A31" s="27" t="s">
        <v>31</v>
      </c>
      <c r="B31" s="35">
        <v>0.95</v>
      </c>
      <c r="C31" s="36">
        <v>0.98</v>
      </c>
      <c r="D31" s="19">
        <v>1.02</v>
      </c>
      <c r="E31" s="19">
        <v>1.06</v>
      </c>
      <c r="F31" s="7">
        <v>1.1000000000000001</v>
      </c>
      <c r="G31" s="7">
        <v>1.1399999999999999</v>
      </c>
      <c r="H31" s="7">
        <v>1.17</v>
      </c>
      <c r="I31" s="8">
        <v>1.21</v>
      </c>
    </row>
    <row r="32" spans="1:10" ht="15.6" thickBot="1" x14ac:dyDescent="0.3"/>
    <row r="33" spans="1:6" x14ac:dyDescent="0.25">
      <c r="A33" s="91" t="s">
        <v>34</v>
      </c>
      <c r="B33" s="107"/>
      <c r="C33" s="107"/>
      <c r="D33" s="107"/>
      <c r="E33" s="92"/>
      <c r="F33" s="22" t="s">
        <v>21</v>
      </c>
    </row>
    <row r="34" spans="1:6" x14ac:dyDescent="0.25">
      <c r="A34" s="15"/>
      <c r="B34" s="12"/>
      <c r="C34" s="37" t="s">
        <v>2</v>
      </c>
      <c r="D34" s="37" t="s">
        <v>3</v>
      </c>
      <c r="E34" s="21" t="s">
        <v>7</v>
      </c>
    </row>
    <row r="35" spans="1:6" x14ac:dyDescent="0.25">
      <c r="A35" s="103" t="s">
        <v>4</v>
      </c>
      <c r="B35" s="104"/>
      <c r="C35" s="4">
        <v>95</v>
      </c>
      <c r="D35" s="4">
        <v>90</v>
      </c>
      <c r="E35" s="5">
        <v>92.5</v>
      </c>
      <c r="F35" s="22" t="s">
        <v>35</v>
      </c>
    </row>
    <row r="36" spans="1:6" ht="15.6" thickBot="1" x14ac:dyDescent="0.3">
      <c r="A36" s="105" t="s">
        <v>5</v>
      </c>
      <c r="B36" s="106"/>
      <c r="C36" s="7">
        <v>5</v>
      </c>
      <c r="D36" s="7">
        <v>10</v>
      </c>
      <c r="E36" s="8">
        <v>7.5</v>
      </c>
    </row>
  </sheetData>
  <sheetProtection sheet="1" objects="1" scenarios="1" selectLockedCells="1"/>
  <mergeCells count="23">
    <mergeCell ref="B28:H28"/>
    <mergeCell ref="A27:I27"/>
    <mergeCell ref="A35:B35"/>
    <mergeCell ref="A36:B36"/>
    <mergeCell ref="A33:E33"/>
    <mergeCell ref="A3:C3"/>
    <mergeCell ref="A4:C4"/>
    <mergeCell ref="A6:B6"/>
    <mergeCell ref="B16:C16"/>
    <mergeCell ref="D16:E16"/>
    <mergeCell ref="A11:D11"/>
    <mergeCell ref="A15:E15"/>
    <mergeCell ref="A22:B22"/>
    <mergeCell ref="A23:B23"/>
    <mergeCell ref="A24:B24"/>
    <mergeCell ref="A25:B25"/>
    <mergeCell ref="A21:C21"/>
    <mergeCell ref="B19:C19"/>
    <mergeCell ref="D19:E19"/>
    <mergeCell ref="B18:C18"/>
    <mergeCell ref="D18:E18"/>
    <mergeCell ref="D17:E17"/>
    <mergeCell ref="B17:C17"/>
  </mergeCells>
  <pageMargins left="0.7" right="0.7" top="0.75" bottom="0.75" header="0.3" footer="0.3"/>
  <pageSetup orientation="portrait" r:id="rId1"/>
  <headerFooter>
    <oddHeader>&amp;L&amp;16&amp;F&amp;R&amp;G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59986-4C12-4BB8-B4C3-9C25263D4CD2}">
  <dimension ref="A1:H26"/>
  <sheetViews>
    <sheetView zoomScale="80" zoomScaleNormal="80" workbookViewId="0">
      <pane xSplit="1" ySplit="4" topLeftCell="B5" activePane="bottomRight" state="frozen"/>
      <selection pane="topRight" activeCell="B1" sqref="B1"/>
      <selection pane="bottomLeft" activeCell="A4" sqref="A4"/>
      <selection pane="bottomRight"/>
    </sheetView>
  </sheetViews>
  <sheetFormatPr defaultColWidth="11" defaultRowHeight="15" x14ac:dyDescent="0.25"/>
  <cols>
    <col min="1" max="1" width="58.6640625" style="1" bestFit="1" customWidth="1"/>
    <col min="2" max="2" width="18" style="1" customWidth="1"/>
    <col min="3" max="3" width="17.88671875" style="1" bestFit="1" customWidth="1"/>
    <col min="4" max="4" width="18" style="1" customWidth="1"/>
    <col min="5" max="6" width="17.88671875" style="1" bestFit="1" customWidth="1"/>
    <col min="7" max="16384" width="11" style="1"/>
  </cols>
  <sheetData>
    <row r="1" spans="1:8" ht="20.399999999999999" x14ac:dyDescent="0.35">
      <c r="A1" s="29" t="s">
        <v>88</v>
      </c>
    </row>
    <row r="2" spans="1:8" ht="20.399999999999999" x14ac:dyDescent="0.35">
      <c r="A2" s="29"/>
    </row>
    <row r="3" spans="1:8" x14ac:dyDescent="0.25">
      <c r="A3" s="1" t="s">
        <v>151</v>
      </c>
      <c r="B3" s="1">
        <v>1</v>
      </c>
      <c r="C3" s="1">
        <v>2</v>
      </c>
      <c r="D3" s="1">
        <v>3</v>
      </c>
      <c r="E3" s="1">
        <v>4</v>
      </c>
      <c r="F3" s="1">
        <v>5</v>
      </c>
    </row>
    <row r="4" spans="1:8" x14ac:dyDescent="0.25">
      <c r="B4" s="2">
        <v>2025</v>
      </c>
      <c r="C4" s="2">
        <v>2026</v>
      </c>
      <c r="D4" s="2">
        <v>2027</v>
      </c>
      <c r="E4" s="2">
        <v>2028</v>
      </c>
      <c r="F4" s="2">
        <v>2029</v>
      </c>
    </row>
    <row r="5" spans="1:8" x14ac:dyDescent="0.25">
      <c r="A5" s="77" t="s">
        <v>28</v>
      </c>
      <c r="B5" s="77"/>
      <c r="C5" s="77"/>
      <c r="D5" s="77"/>
      <c r="E5" s="77"/>
      <c r="F5" s="77"/>
    </row>
    <row r="6" spans="1:8" s="46" customFormat="1" x14ac:dyDescent="0.25">
      <c r="A6" s="57" t="s">
        <v>71</v>
      </c>
      <c r="B6" s="76">
        <f>IF(Tool!B11="",Tool!B9*'Parameter values'!A4,Tool!B11)</f>
        <v>0</v>
      </c>
      <c r="C6" s="56"/>
      <c r="D6" s="56"/>
      <c r="E6" s="56"/>
      <c r="F6" s="56"/>
    </row>
    <row r="7" spans="1:8" s="43" customFormat="1" x14ac:dyDescent="0.25">
      <c r="A7" s="57" t="s">
        <v>72</v>
      </c>
      <c r="B7" s="76">
        <f>IF(B6&lt;86,B6,86)</f>
        <v>0</v>
      </c>
      <c r="C7" s="55"/>
      <c r="D7" s="55"/>
      <c r="E7" s="55"/>
      <c r="F7" s="55"/>
    </row>
    <row r="8" spans="1:8" x14ac:dyDescent="0.25">
      <c r="A8" s="1" t="s">
        <v>45</v>
      </c>
      <c r="B8" s="45" t="e">
        <f>(Tool!B13/Tool!$B$12)*IF(Tool!$B$17="Yes",'Parameter values'!A$13,1)</f>
        <v>#DIV/0!</v>
      </c>
      <c r="C8" s="44"/>
      <c r="D8" s="44"/>
      <c r="E8" s="44"/>
      <c r="F8" s="44"/>
    </row>
    <row r="9" spans="1:8" x14ac:dyDescent="0.25">
      <c r="A9" s="1" t="s">
        <v>46</v>
      </c>
      <c r="B9" s="1" t="e">
        <f>(Tool!B14/Tool!$B$12)*IF(Tool!$B$17="Yes",'Parameter values'!B$13,1)</f>
        <v>#DIV/0!</v>
      </c>
      <c r="C9" s="44"/>
      <c r="D9" s="44"/>
      <c r="E9" s="44"/>
      <c r="F9" s="44"/>
    </row>
    <row r="10" spans="1:8" x14ac:dyDescent="0.25">
      <c r="A10" s="1" t="s">
        <v>47</v>
      </c>
      <c r="B10" s="1" t="e">
        <f>(Tool!B15/Tool!$B$12)*IF(Tool!$B$17="Yes",'Parameter values'!C$13,1)</f>
        <v>#DIV/0!</v>
      </c>
      <c r="C10" s="44"/>
      <c r="D10" s="44"/>
      <c r="E10" s="44"/>
      <c r="F10" s="44"/>
      <c r="H10" s="43"/>
    </row>
    <row r="11" spans="1:8" x14ac:dyDescent="0.25">
      <c r="A11" s="1" t="s">
        <v>48</v>
      </c>
      <c r="B11" s="1" t="e">
        <f>(Tool!B16/Tool!$B$12)*IF(Tool!$B$17="Yes",'Parameter values'!D$13,1)</f>
        <v>#DIV/0!</v>
      </c>
      <c r="C11" s="44"/>
      <c r="D11" s="44"/>
      <c r="E11" s="44"/>
      <c r="F11" s="44"/>
    </row>
    <row r="12" spans="1:8" x14ac:dyDescent="0.25">
      <c r="A12" s="1" t="s">
        <v>43</v>
      </c>
      <c r="B12" s="45" t="e">
        <f>IF(Tool!$B$12&lt;5,IF(Tool!$B$9&lt;60,'Parameter values'!B17*(B$8+B$9),(IF(Tool!$B$9&gt;70,'Parameter values'!B19*(B$8+B$9),'Parameter values'!B18*(B$8+B$9)))),B8)</f>
        <v>#DIV/0!</v>
      </c>
      <c r="C12" s="44"/>
      <c r="D12" s="44"/>
      <c r="E12" s="44"/>
      <c r="F12" s="44"/>
    </row>
    <row r="13" spans="1:8" x14ac:dyDescent="0.25">
      <c r="A13" s="1" t="s">
        <v>44</v>
      </c>
      <c r="B13" s="45" t="e">
        <f>IF(Tool!$B$12&lt;5,IF(Tool!$B$9&lt;60,'Parameter values'!D17*(B$8+B$9),(IF(Tool!$B$9&gt;70,'Parameter values'!D19*(B$8+B$9),'Parameter values'!D18*(B$8+B$9)))),B9)</f>
        <v>#DIV/0!</v>
      </c>
      <c r="C13" s="44"/>
      <c r="D13" s="44"/>
      <c r="E13" s="44"/>
      <c r="F13" s="44"/>
    </row>
    <row r="14" spans="1:8" x14ac:dyDescent="0.25">
      <c r="A14" s="1" t="s">
        <v>39</v>
      </c>
      <c r="B14" s="45" t="e">
        <f>(HLOOKUP(ROUND(Tool!$B$8,1),'Parameter values'!$A$29:$I$31,IF(Tool!$B$9&lt;70,2,3),TRUE))*B12</f>
        <v>#DIV/0!</v>
      </c>
      <c r="C14" s="45" t="e">
        <f>(HLOOKUP(ROUND(Tool!$B$8,1),'Parameter values'!$A$29:$I$31,IF(Tool!$B$9&lt;70,2,3),TRUE))*B14</f>
        <v>#DIV/0!</v>
      </c>
      <c r="D14" s="45" t="e">
        <f>(HLOOKUP(ROUND(Tool!$B$8,1),'Parameter values'!$A$29:$I$31,IF(Tool!$B$9&lt;70,2,3),TRUE))*C14</f>
        <v>#DIV/0!</v>
      </c>
      <c r="E14" s="45" t="e">
        <f>(HLOOKUP(ROUND(Tool!$B$8,1),'Parameter values'!$A$29:$I$31,IF(Tool!$B$9&lt;70,2,3),TRUE))*D14</f>
        <v>#DIV/0!</v>
      </c>
      <c r="F14" s="45" t="e">
        <f>(HLOOKUP(ROUND(Tool!$B$8,1),'Parameter values'!$A$29:$I$31,IF(Tool!$B$9&lt;70,2,3),TRUE))*E14</f>
        <v>#DIV/0!</v>
      </c>
    </row>
    <row r="15" spans="1:8" x14ac:dyDescent="0.25">
      <c r="A15" s="1" t="s">
        <v>40</v>
      </c>
      <c r="B15" s="45" t="e">
        <f>(HLOOKUP(ROUND(Tool!$B$8,1),'Parameter values'!$A$29:$I$31,IF(Tool!$B$9&lt;70,2,3),TRUE))*B13</f>
        <v>#DIV/0!</v>
      </c>
      <c r="C15" s="45" t="e">
        <f>(HLOOKUP(ROUND(Tool!$B$8,1),'Parameter values'!$A$29:$I$31,IF(Tool!$B$9&lt;70,2,3),TRUE))*B15</f>
        <v>#DIV/0!</v>
      </c>
      <c r="D15" s="45" t="e">
        <f>(HLOOKUP(ROUND(Tool!$B$8,1),'Parameter values'!$A$29:$I$31,IF(Tool!$B$9&lt;70,2,3),TRUE))*C15</f>
        <v>#DIV/0!</v>
      </c>
      <c r="E15" s="45" t="e">
        <f>(HLOOKUP(ROUND(Tool!$B$8,1),'Parameter values'!$A$29:$I$31,IF(Tool!$B$9&lt;70,2,3),TRUE))*D15</f>
        <v>#DIV/0!</v>
      </c>
      <c r="F15" s="45" t="e">
        <f>(HLOOKUP(ROUND(Tool!$B$8,1),'Parameter values'!$A$29:$I$31,IF(Tool!$B$9&lt;70,2,3),TRUE))*E15</f>
        <v>#DIV/0!</v>
      </c>
    </row>
    <row r="16" spans="1:8" x14ac:dyDescent="0.25">
      <c r="A16" s="1" t="s">
        <v>41</v>
      </c>
      <c r="B16" s="45" t="e">
        <f>(HLOOKUP(ROUND(Tool!$B$8,1),'Parameter values'!$A$29:$I$31,IF(Tool!$B$9&lt;70,2,3),TRUE))*B10</f>
        <v>#DIV/0!</v>
      </c>
      <c r="C16" s="45" t="e">
        <f>(HLOOKUP(ROUND(Tool!$B$8,1),'Parameter values'!$A$29:$I$31,IF(Tool!$B$9&lt;70,2,3),TRUE))*B16</f>
        <v>#DIV/0!</v>
      </c>
      <c r="D16" s="45" t="e">
        <f>(HLOOKUP(ROUND(Tool!$B$8,1),'Parameter values'!$A$29:$I$31,IF(Tool!$B$9&lt;70,2,3),TRUE))*C16</f>
        <v>#DIV/0!</v>
      </c>
      <c r="E16" s="45" t="e">
        <f>(HLOOKUP(ROUND(Tool!$B$8,1),'Parameter values'!$A$29:$I$31,IF(Tool!$B$9&lt;70,2,3),TRUE))*D16</f>
        <v>#DIV/0!</v>
      </c>
      <c r="F16" s="45" t="e">
        <f>(HLOOKUP(ROUND(Tool!$B$8,1),'Parameter values'!$A$29:$I$31,IF(Tool!$B$9&lt;70,2,3),TRUE))*E16</f>
        <v>#DIV/0!</v>
      </c>
    </row>
    <row r="17" spans="1:6" x14ac:dyDescent="0.25">
      <c r="A17" s="1" t="s">
        <v>42</v>
      </c>
      <c r="B17" s="45" t="e">
        <f>(HLOOKUP(ROUND(Tool!$B$8,1),'Parameter values'!$A$29:$I$31,IF(Tool!$B$9&lt;70,2,3),TRUE))*B11</f>
        <v>#DIV/0!</v>
      </c>
      <c r="C17" s="45" t="e">
        <f>(HLOOKUP(ROUND(Tool!$B$8,1),'Parameter values'!$A$29:$I$31,IF(Tool!$B$9&lt;70,2,3),TRUE))*B17</f>
        <v>#DIV/0!</v>
      </c>
      <c r="D17" s="45" t="e">
        <f>(HLOOKUP(ROUND(Tool!$B$8,1),'Parameter values'!$A$29:$I$31,IF(Tool!$B$9&lt;70,2,3),TRUE))*C17</f>
        <v>#DIV/0!</v>
      </c>
      <c r="E17" s="45" t="e">
        <f>(HLOOKUP(ROUND(Tool!$B$8,1),'Parameter values'!$A$29:$I$31,IF(Tool!$B$9&lt;70,2,3),TRUE))*D17</f>
        <v>#DIV/0!</v>
      </c>
      <c r="F17" s="45" t="e">
        <f>(HLOOKUP(ROUND(Tool!$B$8,1),'Parameter values'!$A$29:$I$31,IF(Tool!$B$9&lt;70,2,3),TRUE))*E17</f>
        <v>#DIV/0!</v>
      </c>
    </row>
    <row r="18" spans="1:6" x14ac:dyDescent="0.25">
      <c r="A18" s="30" t="s">
        <v>1</v>
      </c>
      <c r="B18" s="30"/>
      <c r="C18" s="30"/>
      <c r="D18" s="30"/>
      <c r="E18" s="30"/>
      <c r="F18" s="30"/>
    </row>
    <row r="19" spans="1:6" s="46" customFormat="1" x14ac:dyDescent="0.25">
      <c r="A19" s="46" t="s">
        <v>142</v>
      </c>
      <c r="B19" s="58" t="e">
        <f>(Tool!B6/B6)*60</f>
        <v>#DIV/0!</v>
      </c>
      <c r="D19" s="58"/>
      <c r="E19" s="82"/>
      <c r="F19" s="58"/>
    </row>
    <row r="20" spans="1:6" s="46" customFormat="1" x14ac:dyDescent="0.25">
      <c r="A20" s="46" t="s">
        <v>143</v>
      </c>
      <c r="B20" s="58" t="e">
        <f>(Tool!B6/B7)*60</f>
        <v>#DIV/0!</v>
      </c>
      <c r="D20" s="58"/>
      <c r="E20" s="82"/>
      <c r="F20" s="58"/>
    </row>
    <row r="21" spans="1:6" x14ac:dyDescent="0.25">
      <c r="A21" s="46" t="s">
        <v>49</v>
      </c>
      <c r="B21" s="47">
        <f>(Tool!$B$7*Tool!$B$6*365)*(1+(Tool!$B$8/100))^B$3</f>
        <v>0</v>
      </c>
      <c r="C21" s="47">
        <f>(Tool!$B$7*Tool!$B$6*365)*(1+(Tool!$B$8/100))^C$3</f>
        <v>0</v>
      </c>
      <c r="D21" s="47">
        <f>(Tool!$B$7*Tool!$B$6*365)*(1+(Tool!$B$8/100))^D$3</f>
        <v>0</v>
      </c>
      <c r="E21" s="47">
        <f>(Tool!$B$7*Tool!$B$6*365)*(1+(Tool!$B$8/100))^E$3</f>
        <v>0</v>
      </c>
      <c r="F21" s="47">
        <f>(Tool!$B$7*Tool!$B$6*365)*(1+(Tool!$B$8/100))^F$3</f>
        <v>0</v>
      </c>
    </row>
    <row r="22" spans="1:6" x14ac:dyDescent="0.25">
      <c r="A22" s="46" t="s">
        <v>150</v>
      </c>
      <c r="B22" s="47">
        <f>((IF(Tool!$B$5="Urban",'Parameter values'!$C$35,IF(Tool!$B$5="Rural",'Parameter values'!$D$35,'Parameter values'!$E$35)))/100)*B21</f>
        <v>0</v>
      </c>
      <c r="C22" s="47">
        <f>((IF(Tool!$B$5="Urban",'Parameter values'!$C$35,IF(Tool!$B$5="Rural",'Parameter values'!$D$35,'Parameter values'!$E$35)))/100)*C21</f>
        <v>0</v>
      </c>
      <c r="D22" s="47">
        <f>((IF(Tool!$B$5="Urban",'Parameter values'!$C$35,IF(Tool!$B$5="Rural",'Parameter values'!$D$35,'Parameter values'!$E$35)))/100)*D21</f>
        <v>0</v>
      </c>
      <c r="E22" s="47">
        <f>((IF(Tool!$B$5="Urban",'Parameter values'!$C$35,IF(Tool!$B$5="Rural",'Parameter values'!$D$35,'Parameter values'!$E$35)))/100)*E21</f>
        <v>0</v>
      </c>
      <c r="F22" s="47">
        <f>((IF(Tool!$B$5="Urban",'Parameter values'!$C$35,IF(Tool!$B$5="Rural",'Parameter values'!$D$35,'Parameter values'!$E$35)))/100)*F21</f>
        <v>0</v>
      </c>
    </row>
    <row r="23" spans="1:6" x14ac:dyDescent="0.25">
      <c r="A23" s="46" t="s">
        <v>50</v>
      </c>
      <c r="B23" s="47">
        <f>((IF(Tool!$B$5="Urban",'Parameter values'!$C$36,IF(Tool!$B$5="Rural",'Parameter values'!$D$36,'Parameter values'!$E$36)))/100)*B21</f>
        <v>0</v>
      </c>
      <c r="C23" s="47">
        <f>((IF(Tool!$B$5="Urban",'Parameter values'!$C$36,IF(Tool!$B$5="Rural",'Parameter values'!$D$36,'Parameter values'!$E$36)))/100)*C21</f>
        <v>0</v>
      </c>
      <c r="D23" s="47">
        <f>((IF(Tool!$B$5="Urban",'Parameter values'!$C$36,IF(Tool!$B$5="Rural",'Parameter values'!$D$36,'Parameter values'!$E$36)))/100)*D21</f>
        <v>0</v>
      </c>
      <c r="E23" s="47">
        <f>((IF(Tool!$B$5="Urban",'Parameter values'!$C$36,IF(Tool!$B$5="Rural",'Parameter values'!$D$36,'Parameter values'!$E$36)))/100)*E21</f>
        <v>0</v>
      </c>
      <c r="F23" s="47">
        <f>((IF(Tool!$B$5="Urban",'Parameter values'!$C$36,IF(Tool!$B$5="Rural",'Parameter values'!$D$36,'Parameter values'!$E$36)))/100)*F21</f>
        <v>0</v>
      </c>
    </row>
    <row r="24" spans="1:6" x14ac:dyDescent="0.25">
      <c r="A24" s="1" t="s">
        <v>51</v>
      </c>
      <c r="B24" s="48" t="e">
        <f>B22/$B$6</f>
        <v>#DIV/0!</v>
      </c>
      <c r="C24" s="48" t="e">
        <f>C22/$B$6</f>
        <v>#DIV/0!</v>
      </c>
      <c r="D24" s="48" t="e">
        <f t="shared" ref="D24:F24" si="0">D22/$B$6</f>
        <v>#DIV/0!</v>
      </c>
      <c r="E24" s="48" t="e">
        <f t="shared" si="0"/>
        <v>#DIV/0!</v>
      </c>
      <c r="F24" s="48" t="e">
        <f t="shared" si="0"/>
        <v>#DIV/0!</v>
      </c>
    </row>
    <row r="25" spans="1:6" x14ac:dyDescent="0.25">
      <c r="A25" s="1" t="s">
        <v>52</v>
      </c>
      <c r="B25" s="48" t="e">
        <f>B23/$B$7</f>
        <v>#DIV/0!</v>
      </c>
      <c r="C25" s="48" t="e">
        <f t="shared" ref="C25:F25" si="1">C23/$B$7</f>
        <v>#DIV/0!</v>
      </c>
      <c r="D25" s="48" t="e">
        <f t="shared" si="1"/>
        <v>#DIV/0!</v>
      </c>
      <c r="E25" s="48" t="e">
        <f t="shared" si="1"/>
        <v>#DIV/0!</v>
      </c>
      <c r="F25" s="48" t="e">
        <f t="shared" si="1"/>
        <v>#DIV/0!</v>
      </c>
    </row>
    <row r="26" spans="1:6" x14ac:dyDescent="0.25">
      <c r="A26" s="1" t="s">
        <v>53</v>
      </c>
      <c r="B26" s="48" t="e">
        <f>SUM(B24:B25)</f>
        <v>#DIV/0!</v>
      </c>
      <c r="C26" s="48" t="e">
        <f t="shared" ref="C26:F26" si="2">SUM(C24:C25)</f>
        <v>#DIV/0!</v>
      </c>
      <c r="D26" s="48" t="e">
        <f t="shared" si="2"/>
        <v>#DIV/0!</v>
      </c>
      <c r="E26" s="48" t="e">
        <f t="shared" si="2"/>
        <v>#DIV/0!</v>
      </c>
      <c r="F26" s="48" t="e">
        <f t="shared" si="2"/>
        <v>#DIV/0!</v>
      </c>
    </row>
  </sheetData>
  <sheetProtection sheet="1" objects="1" scenarios="1" selectLockedCells="1"/>
  <pageMargins left="0.7" right="0.7" top="0.75" bottom="0.75" header="0.3" footer="0.3"/>
  <pageSetup orientation="portrait" r:id="rId1"/>
  <headerFooter>
    <oddHeader>&amp;L&amp;16&amp;F&amp;R&amp;G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347D-357E-4436-8C91-8B126FC9D0DF}">
  <dimension ref="A1:F28"/>
  <sheetViews>
    <sheetView zoomScale="80" zoomScaleNormal="80" workbookViewId="0">
      <pane xSplit="1" ySplit="4" topLeftCell="B5" activePane="bottomRight" state="frozen"/>
      <selection pane="topRight" activeCell="B1" sqref="B1"/>
      <selection pane="bottomLeft" activeCell="A4" sqref="A4"/>
      <selection pane="bottomRight"/>
    </sheetView>
  </sheetViews>
  <sheetFormatPr defaultColWidth="11" defaultRowHeight="15" x14ac:dyDescent="0.25"/>
  <cols>
    <col min="1" max="1" width="58.6640625" style="1" bestFit="1" customWidth="1"/>
    <col min="2" max="2" width="18" style="1" customWidth="1"/>
    <col min="3" max="6" width="17.88671875" style="1" bestFit="1" customWidth="1"/>
    <col min="7" max="16384" width="11" style="1"/>
  </cols>
  <sheetData>
    <row r="1" spans="1:6" ht="20.399999999999999" x14ac:dyDescent="0.35">
      <c r="A1" s="29" t="s">
        <v>89</v>
      </c>
    </row>
    <row r="2" spans="1:6" ht="20.399999999999999" x14ac:dyDescent="0.35">
      <c r="A2" s="29"/>
    </row>
    <row r="3" spans="1:6" x14ac:dyDescent="0.25">
      <c r="A3" s="1" t="s">
        <v>151</v>
      </c>
      <c r="B3" s="1">
        <v>1</v>
      </c>
      <c r="C3" s="1">
        <v>2</v>
      </c>
      <c r="D3" s="1">
        <v>3</v>
      </c>
      <c r="E3" s="1">
        <v>4</v>
      </c>
      <c r="F3" s="1">
        <v>5</v>
      </c>
    </row>
    <row r="4" spans="1:6" x14ac:dyDescent="0.25">
      <c r="B4" s="2">
        <v>2025</v>
      </c>
      <c r="C4" s="2">
        <v>2026</v>
      </c>
      <c r="D4" s="2">
        <v>2027</v>
      </c>
      <c r="E4" s="2">
        <v>2028</v>
      </c>
      <c r="F4" s="2">
        <v>2029</v>
      </c>
    </row>
    <row r="5" spans="1:6" x14ac:dyDescent="0.25">
      <c r="A5" s="77" t="s">
        <v>28</v>
      </c>
      <c r="B5" s="77"/>
      <c r="C5" s="77"/>
      <c r="D5" s="77"/>
      <c r="E5" s="77"/>
      <c r="F5" s="77"/>
    </row>
    <row r="6" spans="1:6" s="46" customFormat="1" x14ac:dyDescent="0.25">
      <c r="A6" s="57" t="s">
        <v>71</v>
      </c>
      <c r="B6" s="76">
        <f>(((Tool!B10-Tool!B9)*(IF(Tool!B5="Urban",'Parameter values'!A7,IF(Tool!B5="Mixed",'Parameter values'!A8,'Parameter values'!A9)))+Counterfactual!B6))</f>
        <v>0</v>
      </c>
      <c r="C6" s="56"/>
      <c r="D6" s="56"/>
      <c r="E6" s="56"/>
      <c r="F6" s="56"/>
    </row>
    <row r="7" spans="1:6" s="43" customFormat="1" x14ac:dyDescent="0.25">
      <c r="A7" s="57" t="s">
        <v>72</v>
      </c>
      <c r="B7" s="76">
        <f>IF(B6&lt;86,B6,86)</f>
        <v>0</v>
      </c>
      <c r="C7" s="55"/>
      <c r="D7" s="55"/>
      <c r="E7" s="55"/>
      <c r="F7" s="55"/>
    </row>
    <row r="8" spans="1:6" x14ac:dyDescent="0.25">
      <c r="A8" s="1" t="s">
        <v>57</v>
      </c>
      <c r="B8" s="45" t="e">
        <f>(IF(Tool!$B$5="Urban",('Parameter values'!$C$35/100),IF(Tool!$B$5="Rural",('Parameter values'!$D$35/100),('Parameter values'!$E$35/100)))*(EXP(($B$6-Counterfactual!$B$6)*'Parameter values'!$C22))*Counterfactual!B14)</f>
        <v>#DIV/0!</v>
      </c>
      <c r="C8" s="45" t="e">
        <f>(IF(Tool!$B$5="Urban",('Parameter values'!$C$35/100),IF(Tool!$B$5="Rural",('Parameter values'!$D$35/100),('Parameter values'!$E$35/100)))*(EXP(($B$6-Counterfactual!$B$6)*'Parameter values'!$C22))*Counterfactual!C14)</f>
        <v>#DIV/0!</v>
      </c>
      <c r="D8" s="45" t="e">
        <f>(IF(Tool!$B$5="Urban",('Parameter values'!$C$35/100),IF(Tool!$B$5="Rural",('Parameter values'!$D$35/100),('Parameter values'!$E$35/100)))*(EXP(($B$6-Counterfactual!$B$6)*'Parameter values'!$C22))*Counterfactual!D14)</f>
        <v>#DIV/0!</v>
      </c>
      <c r="E8" s="45" t="e">
        <f>(IF(Tool!$B$5="Urban",('Parameter values'!$C$35/100),IF(Tool!$B$5="Rural",('Parameter values'!$D$35/100),('Parameter values'!$E$35/100)))*(EXP(($B$6-Counterfactual!$B$6)*'Parameter values'!$C22))*Counterfactual!E14)</f>
        <v>#DIV/0!</v>
      </c>
      <c r="F8" s="45" t="e">
        <f>(IF(Tool!$B$5="Urban",('Parameter values'!$C$35/100),IF(Tool!$B$5="Rural",('Parameter values'!$D$35/100),('Parameter values'!$E$35/100)))*(EXP(($B$6-Counterfactual!$B$6)*'Parameter values'!$C22))*Counterfactual!F14)</f>
        <v>#DIV/0!</v>
      </c>
    </row>
    <row r="9" spans="1:6" x14ac:dyDescent="0.25">
      <c r="A9" s="1" t="s">
        <v>58</v>
      </c>
      <c r="B9" s="45" t="e">
        <f>(IF(Tool!$B$5="Urban",('Parameter values'!$C$35/100),IF(Tool!$B$5="Rural",('Parameter values'!$D$35/100),('Parameter values'!$E$35/100)))*(EXP(($B$6-Counterfactual!$B$6)*'Parameter values'!$C23))*Counterfactual!B15)</f>
        <v>#DIV/0!</v>
      </c>
      <c r="C9" s="45" t="e">
        <f>(IF(Tool!$B$5="Urban",('Parameter values'!$C$35/100),IF(Tool!$B$5="Rural",('Parameter values'!$D$35/100),('Parameter values'!$E$35/100)))*(EXP(($B$6-Counterfactual!$B$6)*'Parameter values'!$C23))*Counterfactual!C15)</f>
        <v>#DIV/0!</v>
      </c>
      <c r="D9" s="45" t="e">
        <f>(IF(Tool!$B$5="Urban",('Parameter values'!$C$35/100),IF(Tool!$B$5="Rural",('Parameter values'!$D$35/100),('Parameter values'!$E$35/100)))*(EXP(($B$6-Counterfactual!$B$6)*'Parameter values'!$C23))*Counterfactual!D15)</f>
        <v>#DIV/0!</v>
      </c>
      <c r="E9" s="45" t="e">
        <f>(IF(Tool!$B$5="Urban",('Parameter values'!$C$35/100),IF(Tool!$B$5="Rural",('Parameter values'!$D$35/100),('Parameter values'!$E$35/100)))*(EXP(($B$6-Counterfactual!$B$6)*'Parameter values'!$C23))*Counterfactual!E15)</f>
        <v>#DIV/0!</v>
      </c>
      <c r="F9" s="45" t="e">
        <f>(IF(Tool!$B$5="Urban",('Parameter values'!$C$35/100),IF(Tool!$B$5="Rural",('Parameter values'!$D$35/100),('Parameter values'!$E$35/100)))*(EXP(($B$6-Counterfactual!$B$6)*'Parameter values'!$C23))*Counterfactual!F15)</f>
        <v>#DIV/0!</v>
      </c>
    </row>
    <row r="10" spans="1:6" x14ac:dyDescent="0.25">
      <c r="A10" s="1" t="s">
        <v>59</v>
      </c>
      <c r="B10" s="45" t="e">
        <f>(IF(Tool!$B$5="Urban",('Parameter values'!$C$35/100),IF(Tool!$B$5="Rural",('Parameter values'!$D$35/100),('Parameter values'!$E$35/100)))*(EXP(($B$6-Counterfactual!$B$6)*'Parameter values'!$C24))*Counterfactual!B16)</f>
        <v>#DIV/0!</v>
      </c>
      <c r="C10" s="45" t="e">
        <f>(IF(Tool!$B$5="Urban",('Parameter values'!$C$35/100),IF(Tool!$B$5="Rural",('Parameter values'!$D$35/100),('Parameter values'!$E$35/100)))*(EXP(($B$6-Counterfactual!$B$6)*'Parameter values'!$C24))*Counterfactual!C16)</f>
        <v>#DIV/0!</v>
      </c>
      <c r="D10" s="45" t="e">
        <f>(IF(Tool!$B$5="Urban",('Parameter values'!$C$35/100),IF(Tool!$B$5="Rural",('Parameter values'!$D$35/100),('Parameter values'!$E$35/100)))*(EXP(($B$6-Counterfactual!$B$6)*'Parameter values'!$C24))*Counterfactual!D16)</f>
        <v>#DIV/0!</v>
      </c>
      <c r="E10" s="45" t="e">
        <f>(IF(Tool!$B$5="Urban",('Parameter values'!$C$35/100),IF(Tool!$B$5="Rural",('Parameter values'!$D$35/100),('Parameter values'!$E$35/100)))*(EXP(($B$6-Counterfactual!$B$6)*'Parameter values'!$C24))*Counterfactual!E16)</f>
        <v>#DIV/0!</v>
      </c>
      <c r="F10" s="45" t="e">
        <f>(IF(Tool!$B$5="Urban",('Parameter values'!$C$35/100),IF(Tool!$B$5="Rural",('Parameter values'!$D$35/100),('Parameter values'!$E$35/100)))*(EXP(($B$6-Counterfactual!$B$6)*'Parameter values'!$C24))*Counterfactual!F16)</f>
        <v>#DIV/0!</v>
      </c>
    </row>
    <row r="11" spans="1:6" x14ac:dyDescent="0.25">
      <c r="A11" s="1" t="s">
        <v>60</v>
      </c>
      <c r="B11" s="45" t="e">
        <f>(IF(Tool!$B$5="Urban",('Parameter values'!$C$35/100),IF(Tool!$B$5="Rural",('Parameter values'!$D$35/100),('Parameter values'!$E$35/100)))*(EXP(($B$6-Counterfactual!$B$6)*'Parameter values'!$C25))*Counterfactual!B17)</f>
        <v>#DIV/0!</v>
      </c>
      <c r="C11" s="45" t="e">
        <f>(IF(Tool!$B$5="Urban",('Parameter values'!$C$35/100),IF(Tool!$B$5="Rural",('Parameter values'!$D$35/100),('Parameter values'!$E$35/100)))*(EXP(($B$6-Counterfactual!$B$6)*'Parameter values'!$C25))*Counterfactual!C17)</f>
        <v>#DIV/0!</v>
      </c>
      <c r="D11" s="45" t="e">
        <f>(IF(Tool!$B$5="Urban",('Parameter values'!$C$35/100),IF(Tool!$B$5="Rural",('Parameter values'!$D$35/100),('Parameter values'!$E$35/100)))*(EXP(($B$6-Counterfactual!$B$6)*'Parameter values'!$C25))*Counterfactual!D17)</f>
        <v>#DIV/0!</v>
      </c>
      <c r="E11" s="45" t="e">
        <f>(IF(Tool!$B$5="Urban",('Parameter values'!$C$35/100),IF(Tool!$B$5="Rural",('Parameter values'!$D$35/100),('Parameter values'!$E$35/100)))*(EXP(($B$6-Counterfactual!$B$6)*'Parameter values'!$C25))*Counterfactual!E17)</f>
        <v>#DIV/0!</v>
      </c>
      <c r="F11" s="45" t="e">
        <f>(IF(Tool!$B$5="Urban",('Parameter values'!$C$35/100),IF(Tool!$B$5="Rural",('Parameter values'!$D$35/100),('Parameter values'!$E$35/100)))*(EXP(($B$6-Counterfactual!$B$6)*'Parameter values'!$C25))*Counterfactual!F17)</f>
        <v>#DIV/0!</v>
      </c>
    </row>
    <row r="12" spans="1:6" x14ac:dyDescent="0.25">
      <c r="A12" s="1" t="s">
        <v>61</v>
      </c>
      <c r="B12" s="45" t="e">
        <f>(IF(Tool!$B$5="Urban",('Parameter values'!$C$36/100),IF(Tool!$B$5="Rural",('Parameter values'!$D$36/100),('Parameter values'!$E$36/100)))*(EXP(($B$7-Counterfactual!$B$7)*'Parameter values'!$C22))*Counterfactual!B14)</f>
        <v>#DIV/0!</v>
      </c>
      <c r="C12" s="45" t="e">
        <f>(IF(Tool!$B$5="Urban",('Parameter values'!$C$36/100),IF(Tool!$B$5="Rural",('Parameter values'!$D$36/100),('Parameter values'!$E$36/100)))*(EXP(($B$7-Counterfactual!$B$7)*'Parameter values'!$C22))*Counterfactual!C14)</f>
        <v>#DIV/0!</v>
      </c>
      <c r="D12" s="45" t="e">
        <f>(IF(Tool!$B$5="Urban",('Parameter values'!$C$36/100),IF(Tool!$B$5="Rural",('Parameter values'!$D$36/100),('Parameter values'!$E$36/100)))*(EXP(($B$7-Counterfactual!$B$7)*'Parameter values'!$C22))*Counterfactual!D14)</f>
        <v>#DIV/0!</v>
      </c>
      <c r="E12" s="45" t="e">
        <f>(IF(Tool!$B$5="Urban",('Parameter values'!$C$36/100),IF(Tool!$B$5="Rural",('Parameter values'!$D$36/100),('Parameter values'!$E$36/100)))*(EXP(($B$7-Counterfactual!$B$7)*'Parameter values'!$C22))*Counterfactual!E14)</f>
        <v>#DIV/0!</v>
      </c>
      <c r="F12" s="45" t="e">
        <f>(IF(Tool!$B$5="Urban",('Parameter values'!$C$36/100),IF(Tool!$B$5="Rural",('Parameter values'!$D$36/100),('Parameter values'!$E$36/100)))*(EXP(($B$7-Counterfactual!$B$7)*'Parameter values'!$C22))*Counterfactual!F14)</f>
        <v>#DIV/0!</v>
      </c>
    </row>
    <row r="13" spans="1:6" x14ac:dyDescent="0.25">
      <c r="A13" s="1" t="s">
        <v>62</v>
      </c>
      <c r="B13" s="45" t="e">
        <f>(IF(Tool!$B$5="Urban",('Parameter values'!$C$36/100),IF(Tool!$B$5="Rural",('Parameter values'!$D$36/100),('Parameter values'!$E$36/100)))*(EXP(($B$7-Counterfactual!$B$7)*'Parameter values'!$C23))*Counterfactual!B15)</f>
        <v>#DIV/0!</v>
      </c>
      <c r="C13" s="45" t="e">
        <f>(IF(Tool!$B$5="Urban",('Parameter values'!$C$36/100),IF(Tool!$B$5="Rural",('Parameter values'!$D$36/100),('Parameter values'!$E$36/100)))*(EXP(($B$7-Counterfactual!$B$7)*'Parameter values'!$C23))*Counterfactual!C15)</f>
        <v>#DIV/0!</v>
      </c>
      <c r="D13" s="45" t="e">
        <f>(IF(Tool!$B$5="Urban",('Parameter values'!$C$36/100),IF(Tool!$B$5="Rural",('Parameter values'!$D$36/100),('Parameter values'!$E$36/100)))*(EXP(($B$7-Counterfactual!$B$7)*'Parameter values'!$C23))*Counterfactual!D15)</f>
        <v>#DIV/0!</v>
      </c>
      <c r="E13" s="45" t="e">
        <f>(IF(Tool!$B$5="Urban",('Parameter values'!$C$36/100),IF(Tool!$B$5="Rural",('Parameter values'!$D$36/100),('Parameter values'!$E$36/100)))*(EXP(($B$7-Counterfactual!$B$7)*'Parameter values'!$C23))*Counterfactual!E15)</f>
        <v>#DIV/0!</v>
      </c>
      <c r="F13" s="45" t="e">
        <f>(IF(Tool!$B$5="Urban",('Parameter values'!$C$36/100),IF(Tool!$B$5="Rural",('Parameter values'!$D$36/100),('Parameter values'!$E$36/100)))*(EXP(($B$7-Counterfactual!$B$7)*'Parameter values'!$C23))*Counterfactual!F15)</f>
        <v>#DIV/0!</v>
      </c>
    </row>
    <row r="14" spans="1:6" x14ac:dyDescent="0.25">
      <c r="A14" s="1" t="s">
        <v>63</v>
      </c>
      <c r="B14" s="45" t="e">
        <f>(IF(Tool!$B$5="Urban",('Parameter values'!$C$36/100),IF(Tool!$B$5="Rural",('Parameter values'!$D$36/100),('Parameter values'!$E$36/100)))*(EXP(($B$7-Counterfactual!$B$7)*'Parameter values'!$C24))*Counterfactual!B16)</f>
        <v>#DIV/0!</v>
      </c>
      <c r="C14" s="45" t="e">
        <f>(IF(Tool!$B$5="Urban",('Parameter values'!$C$36/100),IF(Tool!$B$5="Rural",('Parameter values'!$D$36/100),('Parameter values'!$E$36/100)))*(EXP(($B$7-Counterfactual!$B$7)*'Parameter values'!$C24))*Counterfactual!C16)</f>
        <v>#DIV/0!</v>
      </c>
      <c r="D14" s="45" t="e">
        <f>(IF(Tool!$B$5="Urban",('Parameter values'!$C$36/100),IF(Tool!$B$5="Rural",('Parameter values'!$D$36/100),('Parameter values'!$E$36/100)))*(EXP(($B$7-Counterfactual!$B$7)*'Parameter values'!$C24))*Counterfactual!D16)</f>
        <v>#DIV/0!</v>
      </c>
      <c r="E14" s="45" t="e">
        <f>(IF(Tool!$B$5="Urban",('Parameter values'!$C$36/100),IF(Tool!$B$5="Rural",('Parameter values'!$D$36/100),('Parameter values'!$E$36/100)))*(EXP(($B$7-Counterfactual!$B$7)*'Parameter values'!$C24))*Counterfactual!E16)</f>
        <v>#DIV/0!</v>
      </c>
      <c r="F14" s="45" t="e">
        <f>(IF(Tool!$B$5="Urban",('Parameter values'!$C$36/100),IF(Tool!$B$5="Rural",('Parameter values'!$D$36/100),('Parameter values'!$E$36/100)))*(EXP(($B$7-Counterfactual!$B$7)*'Parameter values'!$C24))*Counterfactual!F16)</f>
        <v>#DIV/0!</v>
      </c>
    </row>
    <row r="15" spans="1:6" x14ac:dyDescent="0.25">
      <c r="A15" s="1" t="s">
        <v>64</v>
      </c>
      <c r="B15" s="45" t="e">
        <f>(IF(Tool!$B$5="Urban",('Parameter values'!$C$36/100),IF(Tool!$B$5="Rural",('Parameter values'!$D$36/100),('Parameter values'!$E$36/100)))*(EXP(($B$7-Counterfactual!$B$7)*'Parameter values'!$C25))*Counterfactual!B17)</f>
        <v>#DIV/0!</v>
      </c>
      <c r="C15" s="45" t="e">
        <f>(IF(Tool!$B$5="Urban",('Parameter values'!$C$36/100),IF(Tool!$B$5="Rural",('Parameter values'!$D$36/100),('Parameter values'!$E$36/100)))*(EXP(($B$7-Counterfactual!$B$7)*'Parameter values'!$C25))*Counterfactual!C17)</f>
        <v>#DIV/0!</v>
      </c>
      <c r="D15" s="45" t="e">
        <f>(IF(Tool!$B$5="Urban",('Parameter values'!$C$36/100),IF(Tool!$B$5="Rural",('Parameter values'!$D$36/100),('Parameter values'!$E$36/100)))*(EXP(($B$7-Counterfactual!$B$7)*'Parameter values'!$C25))*Counterfactual!D17)</f>
        <v>#DIV/0!</v>
      </c>
      <c r="E15" s="45" t="e">
        <f>(IF(Tool!$B$5="Urban",('Parameter values'!$C$36/100),IF(Tool!$B$5="Rural",('Parameter values'!$D$36/100),('Parameter values'!$E$36/100)))*(EXP(($B$7-Counterfactual!$B$7)*'Parameter values'!$C25))*Counterfactual!E17)</f>
        <v>#DIV/0!</v>
      </c>
      <c r="F15" s="45" t="e">
        <f>(IF(Tool!$B$5="Urban",('Parameter values'!$C$36/100),IF(Tool!$B$5="Rural",('Parameter values'!$D$36/100),('Parameter values'!$E$36/100)))*(EXP(($B$7-Counterfactual!$B$7)*'Parameter values'!$C25))*Counterfactual!F17)</f>
        <v>#DIV/0!</v>
      </c>
    </row>
    <row r="16" spans="1:6" x14ac:dyDescent="0.25">
      <c r="A16" s="1" t="s">
        <v>65</v>
      </c>
      <c r="B16" s="45" t="e">
        <f t="shared" ref="B16:F16" si="0">B8+B12</f>
        <v>#DIV/0!</v>
      </c>
      <c r="C16" s="45" t="e">
        <f t="shared" si="0"/>
        <v>#DIV/0!</v>
      </c>
      <c r="D16" s="45" t="e">
        <f t="shared" si="0"/>
        <v>#DIV/0!</v>
      </c>
      <c r="E16" s="45" t="e">
        <f t="shared" si="0"/>
        <v>#DIV/0!</v>
      </c>
      <c r="F16" s="45" t="e">
        <f t="shared" si="0"/>
        <v>#DIV/0!</v>
      </c>
    </row>
    <row r="17" spans="1:6" x14ac:dyDescent="0.25">
      <c r="A17" s="1" t="s">
        <v>66</v>
      </c>
      <c r="B17" s="45" t="e">
        <f t="shared" ref="B17:F17" si="1">B9+B13</f>
        <v>#DIV/0!</v>
      </c>
      <c r="C17" s="45" t="e">
        <f t="shared" si="1"/>
        <v>#DIV/0!</v>
      </c>
      <c r="D17" s="45" t="e">
        <f t="shared" si="1"/>
        <v>#DIV/0!</v>
      </c>
      <c r="E17" s="45" t="e">
        <f t="shared" si="1"/>
        <v>#DIV/0!</v>
      </c>
      <c r="F17" s="45" t="e">
        <f t="shared" si="1"/>
        <v>#DIV/0!</v>
      </c>
    </row>
    <row r="18" spans="1:6" x14ac:dyDescent="0.25">
      <c r="A18" s="1" t="s">
        <v>67</v>
      </c>
      <c r="B18" s="45" t="e">
        <f t="shared" ref="B18:F18" si="2">B10+B14</f>
        <v>#DIV/0!</v>
      </c>
      <c r="C18" s="45" t="e">
        <f t="shared" si="2"/>
        <v>#DIV/0!</v>
      </c>
      <c r="D18" s="45" t="e">
        <f t="shared" si="2"/>
        <v>#DIV/0!</v>
      </c>
      <c r="E18" s="45" t="e">
        <f t="shared" si="2"/>
        <v>#DIV/0!</v>
      </c>
      <c r="F18" s="45" t="e">
        <f t="shared" si="2"/>
        <v>#DIV/0!</v>
      </c>
    </row>
    <row r="19" spans="1:6" x14ac:dyDescent="0.25">
      <c r="A19" s="1" t="s">
        <v>68</v>
      </c>
      <c r="B19" s="45" t="e">
        <f t="shared" ref="B19:F19" si="3">B11+B15</f>
        <v>#DIV/0!</v>
      </c>
      <c r="C19" s="45" t="e">
        <f t="shared" si="3"/>
        <v>#DIV/0!</v>
      </c>
      <c r="D19" s="45" t="e">
        <f t="shared" si="3"/>
        <v>#DIV/0!</v>
      </c>
      <c r="E19" s="45" t="e">
        <f t="shared" si="3"/>
        <v>#DIV/0!</v>
      </c>
      <c r="F19" s="45" t="e">
        <f t="shared" si="3"/>
        <v>#DIV/0!</v>
      </c>
    </row>
    <row r="20" spans="1:6" x14ac:dyDescent="0.25">
      <c r="A20" s="30" t="s">
        <v>1</v>
      </c>
      <c r="B20" s="30"/>
      <c r="C20" s="30"/>
      <c r="D20" s="30"/>
      <c r="E20" s="30"/>
      <c r="F20" s="30"/>
    </row>
    <row r="21" spans="1:6" s="46" customFormat="1" x14ac:dyDescent="0.25">
      <c r="A21" s="46" t="s">
        <v>142</v>
      </c>
      <c r="B21" s="58" t="e">
        <f>(Tool!B6/B6)*60</f>
        <v>#DIV/0!</v>
      </c>
      <c r="D21" s="58"/>
      <c r="E21" s="82"/>
      <c r="F21" s="58"/>
    </row>
    <row r="22" spans="1:6" s="46" customFormat="1" x14ac:dyDescent="0.25">
      <c r="A22" s="46" t="s">
        <v>143</v>
      </c>
      <c r="B22" s="58" t="e">
        <f>(Tool!B6/B7)*60</f>
        <v>#DIV/0!</v>
      </c>
      <c r="D22" s="58"/>
      <c r="E22" s="82"/>
      <c r="F22" s="58"/>
    </row>
    <row r="23" spans="1:6" x14ac:dyDescent="0.25">
      <c r="A23" s="46" t="s">
        <v>49</v>
      </c>
      <c r="B23" s="47">
        <f>(Tool!$B$7*Tool!$B$6*365)*(1+(Tool!$B$8/100))^B$3</f>
        <v>0</v>
      </c>
      <c r="C23" s="47">
        <f>(Tool!$B$7*Tool!$B$6*365)*(1+(Tool!$B$8/100))^C$3</f>
        <v>0</v>
      </c>
      <c r="D23" s="47">
        <f>(Tool!$B$7*Tool!$B$6*365)*(1+(Tool!$B$8/100))^D$3</f>
        <v>0</v>
      </c>
      <c r="E23" s="47">
        <f>(Tool!$B$7*Tool!$B$6*365)*(1+(Tool!$B$8/100))^E$3</f>
        <v>0</v>
      </c>
      <c r="F23" s="47">
        <f>(Tool!$B$7*Tool!$B$6*365)*(1+(Tool!$B$8/100))^F$3</f>
        <v>0</v>
      </c>
    </row>
    <row r="24" spans="1:6" x14ac:dyDescent="0.25">
      <c r="A24" s="46" t="s">
        <v>150</v>
      </c>
      <c r="B24" s="47">
        <f>((IF(Tool!$B$5="Urban",'Parameter values'!$C$35,IF(Tool!$B$5="Rural",'Parameter values'!$D$35,'Parameter values'!$E$35)))/100)*B23</f>
        <v>0</v>
      </c>
      <c r="C24" s="47">
        <f>((IF(Tool!$B$5="Urban",'Parameter values'!$C$35,IF(Tool!$B$5="Rural",'Parameter values'!$D$35,'Parameter values'!$E$35)))/100)*C23</f>
        <v>0</v>
      </c>
      <c r="D24" s="47">
        <f>((IF(Tool!$B$5="Urban",'Parameter values'!$C$35,IF(Tool!$B$5="Rural",'Parameter values'!$D$35,'Parameter values'!$E$35)))/100)*D23</f>
        <v>0</v>
      </c>
      <c r="E24" s="47">
        <f>((IF(Tool!$B$5="Urban",'Parameter values'!$C$35,IF(Tool!$B$5="Rural",'Parameter values'!$D$35,'Parameter values'!$E$35)))/100)*E23</f>
        <v>0</v>
      </c>
      <c r="F24" s="47">
        <f>((IF(Tool!$B$5="Urban",'Parameter values'!$C$35,IF(Tool!$B$5="Rural",'Parameter values'!$D$35,'Parameter values'!$E$35)))/100)*F23</f>
        <v>0</v>
      </c>
    </row>
    <row r="25" spans="1:6" x14ac:dyDescent="0.25">
      <c r="A25" s="46" t="s">
        <v>50</v>
      </c>
      <c r="B25" s="47">
        <f>((IF(Tool!$B$5="Urban",'Parameter values'!$C$36,IF(Tool!$B$5="Rural",'Parameter values'!$D$36,'Parameter values'!$E$36)))/100)*B23</f>
        <v>0</v>
      </c>
      <c r="C25" s="47">
        <f>((IF(Tool!$B$5="Urban",'Parameter values'!$C$36,IF(Tool!$B$5="Rural",'Parameter values'!$D$36,'Parameter values'!$E$36)))/100)*C23</f>
        <v>0</v>
      </c>
      <c r="D25" s="47">
        <f>((IF(Tool!$B$5="Urban",'Parameter values'!$C$36,IF(Tool!$B$5="Rural",'Parameter values'!$D$36,'Parameter values'!$E$36)))/100)*D23</f>
        <v>0</v>
      </c>
      <c r="E25" s="47">
        <f>((IF(Tool!$B$5="Urban",'Parameter values'!$C$36,IF(Tool!$B$5="Rural",'Parameter values'!$D$36,'Parameter values'!$E$36)))/100)*E23</f>
        <v>0</v>
      </c>
      <c r="F25" s="47">
        <f>((IF(Tool!$B$5="Urban",'Parameter values'!$C$36,IF(Tool!$B$5="Rural",'Parameter values'!$D$36,'Parameter values'!$E$36)))/100)*F23</f>
        <v>0</v>
      </c>
    </row>
    <row r="26" spans="1:6" x14ac:dyDescent="0.25">
      <c r="A26" s="1" t="s">
        <v>51</v>
      </c>
      <c r="B26" s="48" t="e">
        <f>B24/$B$6</f>
        <v>#DIV/0!</v>
      </c>
      <c r="C26" s="48" t="e">
        <f t="shared" ref="C26:F26" si="4">C24/$B$6</f>
        <v>#DIV/0!</v>
      </c>
      <c r="D26" s="48" t="e">
        <f t="shared" si="4"/>
        <v>#DIV/0!</v>
      </c>
      <c r="E26" s="48" t="e">
        <f t="shared" si="4"/>
        <v>#DIV/0!</v>
      </c>
      <c r="F26" s="48" t="e">
        <f t="shared" si="4"/>
        <v>#DIV/0!</v>
      </c>
    </row>
    <row r="27" spans="1:6" x14ac:dyDescent="0.25">
      <c r="A27" s="1" t="s">
        <v>52</v>
      </c>
      <c r="B27" s="48" t="e">
        <f>B25/$B$7</f>
        <v>#DIV/0!</v>
      </c>
      <c r="C27" s="48" t="e">
        <f t="shared" ref="C27:F27" si="5">C25/$B$7</f>
        <v>#DIV/0!</v>
      </c>
      <c r="D27" s="48" t="e">
        <f t="shared" si="5"/>
        <v>#DIV/0!</v>
      </c>
      <c r="E27" s="48" t="e">
        <f t="shared" si="5"/>
        <v>#DIV/0!</v>
      </c>
      <c r="F27" s="48" t="e">
        <f t="shared" si="5"/>
        <v>#DIV/0!</v>
      </c>
    </row>
    <row r="28" spans="1:6" x14ac:dyDescent="0.25">
      <c r="A28" s="1" t="s">
        <v>53</v>
      </c>
      <c r="B28" s="48" t="e">
        <f>SUM(B26:B27)</f>
        <v>#DIV/0!</v>
      </c>
      <c r="C28" s="48" t="e">
        <f t="shared" ref="C28:F28" si="6">SUM(C26:C27)</f>
        <v>#DIV/0!</v>
      </c>
      <c r="D28" s="48" t="e">
        <f t="shared" si="6"/>
        <v>#DIV/0!</v>
      </c>
      <c r="E28" s="48" t="e">
        <f t="shared" si="6"/>
        <v>#DIV/0!</v>
      </c>
      <c r="F28" s="48" t="e">
        <f t="shared" si="6"/>
        <v>#DIV/0!</v>
      </c>
    </row>
  </sheetData>
  <sheetProtection sheet="1" objects="1" scenarios="1" selectLockedCells="1"/>
  <pageMargins left="0.7" right="0.7" top="0.75" bottom="0.75" header="0.3" footer="0.3"/>
  <pageSetup orientation="portrait" r:id="rId1"/>
  <headerFooter>
    <oddHeader>&amp;L&amp;16&amp;F&amp;R&amp;G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ACA9A-2D3B-4868-AE45-A206631CB185}">
  <dimension ref="A1:H18"/>
  <sheetViews>
    <sheetView zoomScale="80" zoomScaleNormal="80" workbookViewId="0">
      <pane xSplit="1" ySplit="4" topLeftCell="B5" activePane="bottomRight" state="frozen"/>
      <selection pane="topRight" activeCell="B1" sqref="B1"/>
      <selection pane="bottomLeft" activeCell="A4" sqref="A4"/>
      <selection pane="bottomRight"/>
    </sheetView>
  </sheetViews>
  <sheetFormatPr defaultColWidth="11" defaultRowHeight="15" x14ac:dyDescent="0.25"/>
  <cols>
    <col min="1" max="1" width="58.6640625" style="1" bestFit="1" customWidth="1"/>
    <col min="2" max="2" width="18" style="1" customWidth="1"/>
    <col min="3" max="6" width="17.88671875" style="1" bestFit="1" customWidth="1"/>
    <col min="7" max="7" width="11.21875" style="1" bestFit="1" customWidth="1"/>
    <col min="8" max="16384" width="11" style="1"/>
  </cols>
  <sheetData>
    <row r="1" spans="1:8" ht="20.399999999999999" x14ac:dyDescent="0.35">
      <c r="A1" s="29" t="s">
        <v>90</v>
      </c>
    </row>
    <row r="2" spans="1:8" ht="20.399999999999999" x14ac:dyDescent="0.35">
      <c r="A2" s="29"/>
    </row>
    <row r="3" spans="1:8" x14ac:dyDescent="0.25">
      <c r="A3" s="1" t="s">
        <v>151</v>
      </c>
      <c r="B3" s="1">
        <v>1</v>
      </c>
      <c r="C3" s="1">
        <v>2</v>
      </c>
      <c r="D3" s="1">
        <v>3</v>
      </c>
      <c r="E3" s="1">
        <v>4</v>
      </c>
      <c r="F3" s="1">
        <v>5</v>
      </c>
    </row>
    <row r="4" spans="1:8" x14ac:dyDescent="0.25">
      <c r="B4" s="2">
        <v>2025</v>
      </c>
      <c r="C4" s="2">
        <v>2026</v>
      </c>
      <c r="D4" s="2">
        <v>2027</v>
      </c>
      <c r="E4" s="2">
        <v>2028</v>
      </c>
      <c r="F4" s="2">
        <v>2029</v>
      </c>
    </row>
    <row r="5" spans="1:8" x14ac:dyDescent="0.25">
      <c r="A5" s="77" t="s">
        <v>28</v>
      </c>
      <c r="B5" s="77"/>
      <c r="C5" s="77"/>
      <c r="D5" s="77"/>
      <c r="E5" s="77"/>
      <c r="F5" s="77"/>
      <c r="G5" s="78" t="s">
        <v>136</v>
      </c>
    </row>
    <row r="6" spans="1:8" s="46" customFormat="1" x14ac:dyDescent="0.25">
      <c r="A6" s="57" t="s">
        <v>71</v>
      </c>
      <c r="B6" s="57">
        <f>Option!B6-Counterfactual!B6</f>
        <v>0</v>
      </c>
      <c r="C6" s="56"/>
      <c r="D6" s="56"/>
      <c r="E6" s="56"/>
      <c r="F6" s="56"/>
      <c r="G6" s="46">
        <f>B6*((IF(Tool!B5="Urban",'Parameter values'!C35,IF(Tool!B5="Rural",'Parameter values'!D35,'Parameter values'!E35)))/100)</f>
        <v>0</v>
      </c>
    </row>
    <row r="7" spans="1:8" s="43" customFormat="1" x14ac:dyDescent="0.25">
      <c r="A7" s="57" t="s">
        <v>72</v>
      </c>
      <c r="B7" s="57">
        <f>Option!B7-Counterfactual!B7</f>
        <v>0</v>
      </c>
      <c r="C7" s="55"/>
      <c r="D7" s="55"/>
      <c r="E7" s="55"/>
      <c r="F7" s="55"/>
      <c r="G7" s="46">
        <f>B7*((IF(Tool!B5="Urban",'Parameter values'!C36,IF(Tool!B6="Rural",'Parameter values'!D36,'Parameter values'!E36)))/100)</f>
        <v>0</v>
      </c>
    </row>
    <row r="8" spans="1:8" x14ac:dyDescent="0.25">
      <c r="A8" s="1" t="s">
        <v>64</v>
      </c>
      <c r="B8" s="45"/>
      <c r="C8" s="45"/>
      <c r="D8" s="45"/>
      <c r="E8" s="45"/>
      <c r="F8" s="45"/>
      <c r="G8" s="31">
        <f>SUM(G6:G7)</f>
        <v>0</v>
      </c>
    </row>
    <row r="9" spans="1:8" x14ac:dyDescent="0.25">
      <c r="A9" s="1" t="s">
        <v>65</v>
      </c>
      <c r="B9" s="45" t="e">
        <f>Option!B16-Counterfactual!B14</f>
        <v>#DIV/0!</v>
      </c>
      <c r="C9" s="45" t="e">
        <f>Option!C16-Counterfactual!C14</f>
        <v>#DIV/0!</v>
      </c>
      <c r="D9" s="45" t="e">
        <f>Option!D16-Counterfactual!D14</f>
        <v>#DIV/0!</v>
      </c>
      <c r="E9" s="45" t="e">
        <f>Option!E16-Counterfactual!E14</f>
        <v>#DIV/0!</v>
      </c>
      <c r="F9" s="45" t="e">
        <f>Option!F16-Counterfactual!F14</f>
        <v>#DIV/0!</v>
      </c>
      <c r="G9" s="79" t="e">
        <f>AVERAGE(B9:F9)</f>
        <v>#DIV/0!</v>
      </c>
    </row>
    <row r="10" spans="1:8" x14ac:dyDescent="0.25">
      <c r="A10" s="1" t="s">
        <v>66</v>
      </c>
      <c r="B10" s="45" t="e">
        <f>Option!B17-Counterfactual!B15</f>
        <v>#DIV/0!</v>
      </c>
      <c r="C10" s="45" t="e">
        <f>Option!C17-Counterfactual!C15</f>
        <v>#DIV/0!</v>
      </c>
      <c r="D10" s="45" t="e">
        <f>Option!D17-Counterfactual!D15</f>
        <v>#DIV/0!</v>
      </c>
      <c r="E10" s="45" t="e">
        <f>Option!E17-Counterfactual!E15</f>
        <v>#DIV/0!</v>
      </c>
      <c r="F10" s="45" t="e">
        <f>Option!F17-Counterfactual!F15</f>
        <v>#DIV/0!</v>
      </c>
      <c r="G10" s="79" t="e">
        <f t="shared" ref="G10:G12" si="0">AVERAGE(B10:F10)</f>
        <v>#DIV/0!</v>
      </c>
    </row>
    <row r="11" spans="1:8" x14ac:dyDescent="0.25">
      <c r="A11" s="1" t="s">
        <v>67</v>
      </c>
      <c r="B11" s="45" t="e">
        <f>Option!B18-Counterfactual!B16</f>
        <v>#DIV/0!</v>
      </c>
      <c r="C11" s="45" t="e">
        <f>Option!C18-Counterfactual!C16</f>
        <v>#DIV/0!</v>
      </c>
      <c r="D11" s="45" t="e">
        <f>Option!D18-Counterfactual!D16</f>
        <v>#DIV/0!</v>
      </c>
      <c r="E11" s="45" t="e">
        <f>Option!E18-Counterfactual!E16</f>
        <v>#DIV/0!</v>
      </c>
      <c r="F11" s="45" t="e">
        <f>Option!F18-Counterfactual!F16</f>
        <v>#DIV/0!</v>
      </c>
      <c r="G11" s="79" t="e">
        <f t="shared" si="0"/>
        <v>#DIV/0!</v>
      </c>
    </row>
    <row r="12" spans="1:8" x14ac:dyDescent="0.25">
      <c r="A12" s="1" t="s">
        <v>68</v>
      </c>
      <c r="B12" s="45" t="e">
        <f>Option!B19-Counterfactual!B17</f>
        <v>#DIV/0!</v>
      </c>
      <c r="C12" s="45" t="e">
        <f>Option!C19-Counterfactual!C17</f>
        <v>#DIV/0!</v>
      </c>
      <c r="D12" s="45" t="e">
        <f>Option!D19-Counterfactual!D17</f>
        <v>#DIV/0!</v>
      </c>
      <c r="E12" s="45" t="e">
        <f>Option!E19-Counterfactual!E17</f>
        <v>#DIV/0!</v>
      </c>
      <c r="F12" s="45" t="e">
        <f>Option!F19-Counterfactual!F17</f>
        <v>#DIV/0!</v>
      </c>
      <c r="G12" s="79" t="e">
        <f t="shared" si="0"/>
        <v>#DIV/0!</v>
      </c>
    </row>
    <row r="13" spans="1:8" x14ac:dyDescent="0.25">
      <c r="A13" s="30" t="s">
        <v>1</v>
      </c>
      <c r="B13" s="30"/>
      <c r="C13" s="30"/>
      <c r="D13" s="30"/>
      <c r="E13" s="30"/>
      <c r="F13" s="30"/>
    </row>
    <row r="14" spans="1:8" s="46" customFormat="1" x14ac:dyDescent="0.25">
      <c r="A14" s="46" t="s">
        <v>142</v>
      </c>
      <c r="B14" s="58" t="e">
        <f>Option!B21-Counterfactual!B19</f>
        <v>#DIV/0!</v>
      </c>
      <c r="D14" s="58"/>
      <c r="E14" s="82"/>
      <c r="F14" s="58"/>
      <c r="G14" s="81" t="e">
        <f>DOLLARFR(B14,60)</f>
        <v>#DIV/0!</v>
      </c>
      <c r="H14" s="46" t="s">
        <v>148</v>
      </c>
    </row>
    <row r="15" spans="1:8" s="46" customFormat="1" x14ac:dyDescent="0.25">
      <c r="A15" s="46" t="s">
        <v>143</v>
      </c>
      <c r="B15" s="58" t="e">
        <f>Option!B22-Counterfactual!B20</f>
        <v>#DIV/0!</v>
      </c>
      <c r="C15" s="46" t="e">
        <f>INT(ABS(B15))</f>
        <v>#DIV/0!</v>
      </c>
      <c r="D15" s="58" t="e">
        <f>ABS(B15)-C15</f>
        <v>#DIV/0!</v>
      </c>
      <c r="E15" s="82" t="e">
        <f>D15*60</f>
        <v>#DIV/0!</v>
      </c>
      <c r="F15" s="58" t="e">
        <f>C15+(E15/100)</f>
        <v>#DIV/0!</v>
      </c>
      <c r="G15" s="81" t="e">
        <f>DOLLARFR(B15,60)</f>
        <v>#DIV/0!</v>
      </c>
    </row>
    <row r="16" spans="1:8" x14ac:dyDescent="0.25">
      <c r="A16" s="1" t="s">
        <v>51</v>
      </c>
      <c r="B16" s="47" t="e">
        <f>Option!B26-Counterfactual!B24</f>
        <v>#DIV/0!</v>
      </c>
      <c r="C16" s="47" t="e">
        <f>Option!C26-Counterfactual!C24</f>
        <v>#DIV/0!</v>
      </c>
      <c r="D16" s="47" t="e">
        <f>Option!D26-Counterfactual!D24</f>
        <v>#DIV/0!</v>
      </c>
      <c r="E16" s="47" t="e">
        <f>Option!E26-Counterfactual!E24</f>
        <v>#DIV/0!</v>
      </c>
      <c r="F16" s="47" t="e">
        <f>Option!F26-Counterfactual!F24</f>
        <v>#DIV/0!</v>
      </c>
    </row>
    <row r="17" spans="1:7" x14ac:dyDescent="0.25">
      <c r="A17" s="1" t="s">
        <v>52</v>
      </c>
      <c r="B17" s="47" t="e">
        <f>Option!B27-Counterfactual!B25</f>
        <v>#DIV/0!</v>
      </c>
      <c r="C17" s="47" t="e">
        <f>Option!C27-Counterfactual!C25</f>
        <v>#DIV/0!</v>
      </c>
      <c r="D17" s="47" t="e">
        <f>Option!D27-Counterfactual!D25</f>
        <v>#DIV/0!</v>
      </c>
      <c r="E17" s="47" t="e">
        <f>Option!E27-Counterfactual!E25</f>
        <v>#DIV/0!</v>
      </c>
      <c r="F17" s="47" t="e">
        <f>Option!F27-Counterfactual!F25</f>
        <v>#DIV/0!</v>
      </c>
    </row>
    <row r="18" spans="1:7" x14ac:dyDescent="0.25">
      <c r="A18" s="1" t="s">
        <v>53</v>
      </c>
      <c r="B18" s="48" t="e">
        <f>SUM(B16:B17)</f>
        <v>#DIV/0!</v>
      </c>
      <c r="C18" s="48" t="e">
        <f t="shared" ref="C18:F18" si="1">SUM(C16:C17)</f>
        <v>#DIV/0!</v>
      </c>
      <c r="D18" s="48" t="e">
        <f t="shared" si="1"/>
        <v>#DIV/0!</v>
      </c>
      <c r="E18" s="48" t="e">
        <f t="shared" si="1"/>
        <v>#DIV/0!</v>
      </c>
      <c r="F18" s="48" t="e">
        <f t="shared" si="1"/>
        <v>#DIV/0!</v>
      </c>
      <c r="G18" s="80" t="e">
        <f>AVERAGE(B18:F18)</f>
        <v>#DIV/0!</v>
      </c>
    </row>
  </sheetData>
  <sheetProtection sheet="1" objects="1" scenarios="1" selectLockedCells="1"/>
  <pageMargins left="0.7" right="0.7" top="0.75" bottom="0.75" header="0.3" footer="0.3"/>
  <pageSetup orientation="portrait" r:id="rId1"/>
  <headerFooter>
    <oddHeader>&amp;L&amp;16&amp;F&amp;R&amp;G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Tool</vt:lpstr>
      <vt:lpstr>User Information</vt:lpstr>
      <vt:lpstr>Parameter values</vt:lpstr>
      <vt:lpstr>Counterfactual</vt:lpstr>
      <vt:lpstr>Option</vt:lpstr>
      <vt:lpstr>Changes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Bryce Hartell</cp:lastModifiedBy>
  <dcterms:created xsi:type="dcterms:W3CDTF">2024-03-27T22:34:32Z</dcterms:created>
  <dcterms:modified xsi:type="dcterms:W3CDTF">2024-10-28T23:38:46Z</dcterms:modified>
</cp:coreProperties>
</file>